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5.xml" ContentType="application/vnd.openxmlformats-officedocument.spreadsheetml.comments+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mattw/Documents/Analysis/OCO/"/>
    </mc:Choice>
  </mc:AlternateContent>
  <xr:revisionPtr revIDLastSave="0" documentId="13_ncr:1_{E9EF798B-F241-624D-9B23-D52216D3075F}" xr6:coauthVersionLast="36" xr6:coauthVersionMax="36" xr10:uidLastSave="{00000000-0000-0000-0000-000000000000}"/>
  <bookViews>
    <workbookView xWindow="3560" yWindow="1060" windowWidth="30500" windowHeight="17640" tabRatio="500" activeTab="4" xr2:uid="{00000000-000D-0000-FFFF-FFFF00000000}"/>
  </bookViews>
  <sheets>
    <sheet name="OCO_TOA" sheetId="51" r:id="rId1"/>
    <sheet name="OCO_CBO_TOA" sheetId="12" r:id="rId2"/>
    <sheet name="CBO_Enacted_PB16" sheetId="29" r:id="rId3"/>
    <sheet name="GB_Tab6_1" sheetId="18" r:id="rId4"/>
    <sheet name="OCO_BA" sheetId="57" r:id="rId5"/>
    <sheet name="OCO_DoD_BA" sheetId="54" r:id="rId6"/>
    <sheet name="GB_Tab2-1" sheetId="1" r:id="rId7"/>
    <sheet name="GB_Tab6-8" sheetId="56" r:id="rId8"/>
    <sheet name="DoD_Overview_PB19" sheetId="55" r:id="rId9"/>
    <sheet name="98GulfWar" sheetId="50" r:id="rId10"/>
    <sheet name="OCO_Strength" sheetId="47" r:id="rId11"/>
    <sheet name="OCO_Strength_CRS" sheetId="27" r:id="rId12"/>
    <sheet name="pgdp" sheetId="39" r:id="rId13"/>
  </sheets>
  <definedNames>
    <definedName name="_Fill" localSheetId="8" hidden="1">#REF!</definedName>
    <definedName name="_Fill" localSheetId="4" hidden="1">#REF!</definedName>
    <definedName name="_Fill" localSheetId="5" hidden="1">#REF!</definedName>
    <definedName name="_Fill" localSheetId="0" hidden="1">#REF!</definedName>
    <definedName name="_Fill" hidden="1">#REF!</definedName>
    <definedName name="_xlnm._FilterDatabase" localSheetId="2" hidden="1">CBO_Enacted_PB16!$A$51:$CU$247</definedName>
    <definedName name="_xlnm._FilterDatabase" localSheetId="6" hidden="1">'GB_Tab2-1'!$AM$47:$AO$302</definedName>
    <definedName name="_xlnm.Print_Area" localSheetId="3">GB_Tab6_1!$A$1:$L$43</definedName>
    <definedName name="_xlnm.Print_Area" localSheetId="7">'GB_Tab6-8'!$A$1:$L$43</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D31" i="18" l="1"/>
  <c r="BE31" i="18"/>
  <c r="BF31" i="18"/>
  <c r="BG31" i="18"/>
  <c r="BH31" i="18"/>
  <c r="BI31" i="18"/>
  <c r="BJ31" i="18"/>
  <c r="BK31" i="18"/>
  <c r="BL31" i="18"/>
  <c r="BM31" i="18"/>
  <c r="BN31" i="18"/>
  <c r="BO31" i="18"/>
  <c r="BP31" i="18"/>
  <c r="BQ31" i="18"/>
  <c r="BR31" i="18"/>
  <c r="BS31" i="18"/>
  <c r="BT31" i="18"/>
  <c r="BU31" i="18"/>
  <c r="BV31" i="18"/>
  <c r="BW31" i="18"/>
  <c r="BX31" i="18"/>
  <c r="BY31" i="18"/>
  <c r="BC31" i="18"/>
  <c r="Z45" i="54" l="1"/>
  <c r="BV48" i="56" l="1"/>
  <c r="BU32" i="56"/>
  <c r="B11" i="57" l="1"/>
  <c r="BV49" i="56" l="1"/>
  <c r="BU48" i="56"/>
  <c r="BT48" i="56"/>
  <c r="BS48" i="56"/>
  <c r="BR48" i="56"/>
  <c r="BQ48" i="56"/>
  <c r="BP48" i="56"/>
  <c r="BO48" i="56"/>
  <c r="BN48" i="56"/>
  <c r="BM48" i="56"/>
  <c r="BL48" i="56"/>
  <c r="BK48" i="56"/>
  <c r="BJ48" i="56"/>
  <c r="BI48" i="56"/>
  <c r="BH48" i="56"/>
  <c r="BG48" i="56"/>
  <c r="BF48" i="56"/>
  <c r="BE48" i="56"/>
  <c r="BD48" i="56"/>
  <c r="BC48" i="56"/>
  <c r="BD47" i="56"/>
  <c r="BE47" i="56"/>
  <c r="BF47" i="56"/>
  <c r="BG47" i="56"/>
  <c r="BH47" i="56"/>
  <c r="BI47" i="56"/>
  <c r="BJ47" i="56"/>
  <c r="BK47" i="56"/>
  <c r="BL47" i="56"/>
  <c r="BM47" i="56"/>
  <c r="BN47" i="56"/>
  <c r="BO47" i="56"/>
  <c r="BP47" i="56"/>
  <c r="BQ47" i="56"/>
  <c r="BR47" i="56"/>
  <c r="BS47" i="56"/>
  <c r="BT47" i="56"/>
  <c r="BU47" i="56"/>
  <c r="BC47" i="56"/>
  <c r="BV47" i="56" l="1"/>
  <c r="BZ16" i="56" l="1"/>
  <c r="BZ15" i="56"/>
  <c r="BZ29" i="56"/>
  <c r="BZ30" i="56"/>
  <c r="J53" i="54" l="1"/>
  <c r="C51" i="54" l="1"/>
  <c r="D51" i="54"/>
  <c r="E51" i="54"/>
  <c r="AC51" i="54"/>
  <c r="AB51" i="54"/>
  <c r="AA51" i="54"/>
  <c r="Z51" i="54"/>
  <c r="Y51" i="54"/>
  <c r="X51" i="54"/>
  <c r="W51" i="54"/>
  <c r="V51" i="54"/>
  <c r="U51" i="54"/>
  <c r="T51" i="54"/>
  <c r="S51" i="54"/>
  <c r="R51" i="54"/>
  <c r="Q51" i="54"/>
  <c r="P51" i="54"/>
  <c r="O51" i="54"/>
  <c r="N51" i="54"/>
  <c r="M51" i="54"/>
  <c r="L51" i="54"/>
  <c r="K51" i="54"/>
  <c r="J51" i="54"/>
  <c r="I51" i="54"/>
  <c r="H51" i="54"/>
  <c r="G51" i="54"/>
  <c r="Y53" i="54"/>
  <c r="BB32" i="56" l="1"/>
  <c r="BA32" i="56"/>
  <c r="AZ32" i="56"/>
  <c r="AY32" i="56"/>
  <c r="AY33" i="56" s="1"/>
  <c r="AX32" i="56"/>
  <c r="AX33" i="56" s="1"/>
  <c r="AW32" i="56"/>
  <c r="AW33" i="56" s="1"/>
  <c r="AV32" i="56"/>
  <c r="AV33" i="56" s="1"/>
  <c r="AU32" i="56"/>
  <c r="AU33" i="56" s="1"/>
  <c r="AQ32" i="56"/>
  <c r="AP32" i="56"/>
  <c r="AP33" i="56" s="1"/>
  <c r="AO32" i="56"/>
  <c r="AO33" i="56" s="1"/>
  <c r="AN32" i="56"/>
  <c r="AN33" i="56" s="1"/>
  <c r="AM32" i="56"/>
  <c r="AM33" i="56" s="1"/>
  <c r="AL32" i="56"/>
  <c r="AK32" i="56"/>
  <c r="AJ32" i="56"/>
  <c r="AI32" i="56"/>
  <c r="AH32" i="56"/>
  <c r="AH33" i="56" s="1"/>
  <c r="AG32" i="56"/>
  <c r="AG33" i="56" s="1"/>
  <c r="AF32" i="56"/>
  <c r="AF33" i="56" s="1"/>
  <c r="AE32" i="56"/>
  <c r="AE33" i="56" s="1"/>
  <c r="AD32" i="56"/>
  <c r="AC32" i="56"/>
  <c r="AB32" i="56"/>
  <c r="AA32" i="56"/>
  <c r="Z32" i="56"/>
  <c r="Z33" i="56" s="1"/>
  <c r="Y32" i="56"/>
  <c r="Y33" i="56" s="1"/>
  <c r="X32" i="56"/>
  <c r="X33" i="56" s="1"/>
  <c r="W32" i="56"/>
  <c r="W33" i="56" s="1"/>
  <c r="V32" i="56"/>
  <c r="U32" i="56"/>
  <c r="T32" i="56"/>
  <c r="S32" i="56"/>
  <c r="R32" i="56"/>
  <c r="R33" i="56" s="1"/>
  <c r="Q32" i="56"/>
  <c r="Q33" i="56" s="1"/>
  <c r="P32" i="56"/>
  <c r="P33" i="56" s="1"/>
  <c r="O32" i="56"/>
  <c r="O33" i="56" s="1"/>
  <c r="N32" i="56"/>
  <c r="M32" i="56"/>
  <c r="L32" i="56"/>
  <c r="K32" i="56"/>
  <c r="J32" i="56"/>
  <c r="J33" i="56" s="1"/>
  <c r="I32" i="56"/>
  <c r="I33" i="56" s="1"/>
  <c r="H32" i="56"/>
  <c r="H33" i="56" s="1"/>
  <c r="G32" i="56"/>
  <c r="G33" i="56" s="1"/>
  <c r="F32" i="56"/>
  <c r="E32" i="56"/>
  <c r="D32" i="56"/>
  <c r="C32" i="56"/>
  <c r="C33" i="56" s="1"/>
  <c r="B32" i="56"/>
  <c r="B33" i="56" s="1"/>
  <c r="BB33" i="56"/>
  <c r="BA33" i="56"/>
  <c r="AZ33" i="56"/>
  <c r="AQ33" i="56"/>
  <c r="AL33" i="56"/>
  <c r="AK33" i="56"/>
  <c r="AJ33" i="56"/>
  <c r="AI33" i="56"/>
  <c r="AD33" i="56"/>
  <c r="AC33" i="56"/>
  <c r="AB33" i="56"/>
  <c r="AA33" i="56"/>
  <c r="V33" i="56"/>
  <c r="U33" i="56"/>
  <c r="T33" i="56"/>
  <c r="S33" i="56"/>
  <c r="N33" i="56"/>
  <c r="M33" i="56"/>
  <c r="L33" i="56"/>
  <c r="K33" i="56"/>
  <c r="F33" i="56"/>
  <c r="E33" i="56"/>
  <c r="D33" i="56"/>
  <c r="BY33" i="56"/>
  <c r="BX33" i="56"/>
  <c r="BW33" i="56"/>
  <c r="BV33" i="56"/>
  <c r="BD16" i="56" l="1"/>
  <c r="BE16" i="56"/>
  <c r="BF16" i="56"/>
  <c r="BG16" i="56"/>
  <c r="BH16" i="56"/>
  <c r="BI16" i="56"/>
  <c r="BJ16" i="56"/>
  <c r="BK16" i="56"/>
  <c r="BL16" i="56"/>
  <c r="BM16" i="56"/>
  <c r="BN16" i="56"/>
  <c r="BO16" i="56"/>
  <c r="BP16" i="56"/>
  <c r="BQ16" i="56"/>
  <c r="BR16" i="56"/>
  <c r="BS16" i="56"/>
  <c r="BT16" i="56"/>
  <c r="BU16" i="56"/>
  <c r="BC16" i="56"/>
  <c r="AS16" i="56"/>
  <c r="AT16" i="56"/>
  <c r="AT18" i="56" s="1"/>
  <c r="AT32" i="56" s="1"/>
  <c r="AT33" i="56" s="1"/>
  <c r="AR16" i="56"/>
  <c r="AR18" i="56" s="1"/>
  <c r="AR32" i="56" s="1"/>
  <c r="AR33" i="56" s="1"/>
  <c r="BC19" i="18"/>
  <c r="BB19" i="18"/>
  <c r="BA19"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B19" i="18"/>
  <c r="BR17" i="18"/>
  <c r="BQ17" i="18"/>
  <c r="BP17" i="18"/>
  <c r="BO17" i="18"/>
  <c r="BN17" i="18"/>
  <c r="BM17" i="18"/>
  <c r="BL17" i="18"/>
  <c r="BK17" i="18"/>
  <c r="BJ17" i="18"/>
  <c r="BI17" i="18"/>
  <c r="BH17" i="18"/>
  <c r="BG17" i="18"/>
  <c r="BF17" i="18"/>
  <c r="BE17" i="18"/>
  <c r="BD17" i="18"/>
  <c r="BC17" i="18"/>
  <c r="AS17" i="18"/>
  <c r="AT17" i="18"/>
  <c r="AR17" i="18"/>
  <c r="BB18" i="56"/>
  <c r="BA18" i="56"/>
  <c r="AZ18" i="56"/>
  <c r="AY18" i="56"/>
  <c r="AX18" i="56"/>
  <c r="AW18" i="56"/>
  <c r="AV18" i="56"/>
  <c r="AU18" i="56"/>
  <c r="AS18" i="56"/>
  <c r="AS32" i="56" s="1"/>
  <c r="AS33" i="56" s="1"/>
  <c r="AQ18" i="56"/>
  <c r="AP18" i="56"/>
  <c r="AO18" i="56"/>
  <c r="AN18" i="56"/>
  <c r="AM18" i="56"/>
  <c r="AL18" i="56"/>
  <c r="AK18" i="56"/>
  <c r="AJ18" i="56"/>
  <c r="AI18" i="56"/>
  <c r="AH18" i="56"/>
  <c r="AG18" i="56"/>
  <c r="AF18" i="56"/>
  <c r="AE18" i="56"/>
  <c r="AD18" i="56"/>
  <c r="AC18" i="56"/>
  <c r="AB18" i="56"/>
  <c r="AA18" i="56"/>
  <c r="Z18" i="56"/>
  <c r="Y18" i="56"/>
  <c r="X18" i="56"/>
  <c r="W18" i="56"/>
  <c r="V18" i="56"/>
  <c r="U18" i="56"/>
  <c r="T18" i="56"/>
  <c r="S18" i="56"/>
  <c r="R18" i="56"/>
  <c r="Q18" i="56"/>
  <c r="P18" i="56"/>
  <c r="O18" i="56"/>
  <c r="N18" i="56"/>
  <c r="M18" i="56"/>
  <c r="L18" i="56"/>
  <c r="K18" i="56"/>
  <c r="J18" i="56"/>
  <c r="I18" i="56"/>
  <c r="H18" i="56"/>
  <c r="G18" i="56"/>
  <c r="F18" i="56"/>
  <c r="E18" i="56"/>
  <c r="D18" i="56"/>
  <c r="C18" i="56"/>
  <c r="B18" i="56"/>
  <c r="H14" i="12" l="1"/>
  <c r="I14" i="12"/>
  <c r="J14" i="12"/>
  <c r="K14" i="12"/>
  <c r="L14" i="12"/>
  <c r="M14" i="12"/>
  <c r="N14" i="12"/>
  <c r="O14" i="12"/>
  <c r="P14" i="12"/>
  <c r="Q14" i="12"/>
  <c r="R14" i="12"/>
  <c r="S14" i="12"/>
  <c r="G14" i="12"/>
  <c r="AH30" i="18" l="1"/>
  <c r="AH31" i="18"/>
  <c r="BY33" i="18"/>
  <c r="BX33" i="18"/>
  <c r="BW33" i="18"/>
  <c r="BV33" i="18"/>
  <c r="BU33" i="18"/>
  <c r="BT33" i="18"/>
  <c r="BS33" i="18"/>
  <c r="BR33" i="18"/>
  <c r="BQ33" i="18"/>
  <c r="BP33" i="18"/>
  <c r="BO33" i="18"/>
  <c r="BN33" i="18"/>
  <c r="BM33" i="18"/>
  <c r="BL33" i="18"/>
  <c r="BK33" i="18"/>
  <c r="BJ33" i="18"/>
  <c r="BI33" i="18"/>
  <c r="BH33" i="18"/>
  <c r="BG33" i="18"/>
  <c r="BF33" i="18"/>
  <c r="BE33" i="18"/>
  <c r="BD33" i="18"/>
  <c r="BC33" i="18"/>
  <c r="BY19" i="18"/>
  <c r="BX19" i="18"/>
  <c r="BW19" i="18"/>
  <c r="BV19" i="18"/>
  <c r="BR19" i="18"/>
  <c r="BQ19" i="18"/>
  <c r="BP19" i="18"/>
  <c r="BO19" i="18"/>
  <c r="BN19" i="18"/>
  <c r="BM19" i="18"/>
  <c r="BL19" i="18"/>
  <c r="BK19" i="18"/>
  <c r="BJ19" i="18"/>
  <c r="BI19" i="18"/>
  <c r="BH19" i="18"/>
  <c r="BG19" i="18"/>
  <c r="BF19" i="18"/>
  <c r="BE19" i="18"/>
  <c r="BD19" i="18"/>
  <c r="BC18" i="56"/>
  <c r="BD18" i="56"/>
  <c r="BE18" i="56"/>
  <c r="BF18" i="56"/>
  <c r="BG18" i="56"/>
  <c r="BH18" i="56"/>
  <c r="BI18" i="56"/>
  <c r="BJ18" i="56"/>
  <c r="BK18" i="56"/>
  <c r="BL18" i="56"/>
  <c r="BM18" i="56"/>
  <c r="BN18" i="56"/>
  <c r="BO18" i="56"/>
  <c r="BP18" i="56"/>
  <c r="BQ18" i="56"/>
  <c r="BR18" i="56"/>
  <c r="BS18" i="56"/>
  <c r="BT18" i="56"/>
  <c r="BU18" i="56"/>
  <c r="BV18" i="56"/>
  <c r="BW18" i="56"/>
  <c r="BX18" i="56"/>
  <c r="BY18" i="56"/>
  <c r="D26" i="54" l="1"/>
  <c r="D27" i="54" s="1"/>
  <c r="E26" i="54"/>
  <c r="E27" i="54" s="1"/>
  <c r="C26" i="54"/>
  <c r="C28" i="54" s="1"/>
  <c r="D22" i="54"/>
  <c r="E22" i="54"/>
  <c r="C22" i="54"/>
  <c r="H26" i="54"/>
  <c r="I26" i="54"/>
  <c r="J26" i="54"/>
  <c r="K26" i="54"/>
  <c r="L26" i="54"/>
  <c r="M26" i="54"/>
  <c r="N26" i="54"/>
  <c r="O26" i="54"/>
  <c r="P26" i="54"/>
  <c r="Q26" i="54"/>
  <c r="R26" i="54"/>
  <c r="S26" i="54"/>
  <c r="T26" i="54"/>
  <c r="U26" i="54"/>
  <c r="V26" i="54"/>
  <c r="W26" i="54"/>
  <c r="X26" i="54"/>
  <c r="Y26" i="54"/>
  <c r="Z26" i="54"/>
  <c r="AA26" i="54"/>
  <c r="AB26" i="54"/>
  <c r="AC26" i="54"/>
  <c r="G26" i="54"/>
  <c r="B7" i="57"/>
  <c r="C7" i="57"/>
  <c r="D7" i="57"/>
  <c r="C27" i="54" l="1"/>
  <c r="E28" i="54"/>
  <c r="D28" i="54"/>
  <c r="BU45" i="56"/>
  <c r="BT45" i="56"/>
  <c r="BS45" i="56"/>
  <c r="BR45" i="56"/>
  <c r="BQ45" i="56"/>
  <c r="BP45" i="56"/>
  <c r="BO45" i="56"/>
  <c r="BN45" i="56"/>
  <c r="BM45" i="56"/>
  <c r="BL45" i="56"/>
  <c r="BK45" i="56"/>
  <c r="BJ45" i="56"/>
  <c r="BI45" i="56"/>
  <c r="BH45" i="56"/>
  <c r="BG45" i="56"/>
  <c r="BF45" i="56"/>
  <c r="BE45" i="56"/>
  <c r="BD45" i="56"/>
  <c r="BC45" i="56"/>
  <c r="BB45" i="56"/>
  <c r="BA45" i="56"/>
  <c r="AZ45" i="56"/>
  <c r="AY45" i="56"/>
  <c r="AX45" i="56"/>
  <c r="AW45" i="56"/>
  <c r="AV45" i="56"/>
  <c r="AU45" i="56"/>
  <c r="AT45" i="56"/>
  <c r="AS45" i="56"/>
  <c r="AR45" i="56"/>
  <c r="AQ45" i="56"/>
  <c r="AP45" i="56"/>
  <c r="AO45" i="56"/>
  <c r="AN45" i="56"/>
  <c r="AM45" i="56"/>
  <c r="AL45" i="56"/>
  <c r="AK45" i="56"/>
  <c r="AJ45" i="56"/>
  <c r="AI45" i="56"/>
  <c r="AH45" i="56"/>
  <c r="AG45" i="56"/>
  <c r="AF45" i="56"/>
  <c r="AE45" i="56"/>
  <c r="AD45" i="56"/>
  <c r="AC45" i="56"/>
  <c r="AB45" i="56"/>
  <c r="AA45" i="56"/>
  <c r="Z45" i="56"/>
  <c r="Y45" i="56"/>
  <c r="X45" i="56"/>
  <c r="W45" i="56"/>
  <c r="V45" i="56"/>
  <c r="U45" i="56"/>
  <c r="T45" i="56"/>
  <c r="S45" i="56"/>
  <c r="R45" i="56"/>
  <c r="Q45" i="56"/>
  <c r="P45" i="56"/>
  <c r="O45" i="56"/>
  <c r="N45" i="56"/>
  <c r="M45" i="56"/>
  <c r="L45" i="56"/>
  <c r="K45" i="56"/>
  <c r="J45" i="56"/>
  <c r="I45" i="56"/>
  <c r="H45" i="56"/>
  <c r="G45" i="56"/>
  <c r="F45" i="56"/>
  <c r="E45" i="56"/>
  <c r="BX32" i="56"/>
  <c r="BW32" i="56"/>
  <c r="BP32" i="56"/>
  <c r="BP33" i="56" s="1"/>
  <c r="BO32" i="56"/>
  <c r="BO33" i="56" s="1"/>
  <c r="BH32" i="56"/>
  <c r="BH33" i="56" s="1"/>
  <c r="BG32" i="56"/>
  <c r="BG33" i="56" s="1"/>
  <c r="BY31" i="56"/>
  <c r="BX31" i="56"/>
  <c r="BW31" i="56"/>
  <c r="BV31" i="56"/>
  <c r="BU31" i="56"/>
  <c r="BT31" i="56"/>
  <c r="BS31" i="56"/>
  <c r="BR31" i="56"/>
  <c r="BQ31" i="56"/>
  <c r="BP31" i="56"/>
  <c r="BO31" i="56"/>
  <c r="BN31" i="56"/>
  <c r="BM31" i="56"/>
  <c r="BL31" i="56"/>
  <c r="BK31" i="56"/>
  <c r="BJ31" i="56"/>
  <c r="BI31" i="56"/>
  <c r="BH31" i="56"/>
  <c r="BG31" i="56"/>
  <c r="BF31" i="56"/>
  <c r="BE31" i="56"/>
  <c r="BD31" i="56"/>
  <c r="BC31" i="56"/>
  <c r="BB31" i="56"/>
  <c r="BA31" i="56"/>
  <c r="AZ31" i="56"/>
  <c r="AY31" i="56"/>
  <c r="AX31" i="56"/>
  <c r="AW31" i="56"/>
  <c r="AV31" i="56"/>
  <c r="AU31" i="56"/>
  <c r="AT31" i="56"/>
  <c r="AS31" i="56"/>
  <c r="AR31" i="56"/>
  <c r="AQ31" i="56"/>
  <c r="AP31" i="56"/>
  <c r="AO31" i="56"/>
  <c r="AN31" i="56"/>
  <c r="AM31" i="56"/>
  <c r="AL31" i="56"/>
  <c r="AK31" i="56"/>
  <c r="AJ31" i="56"/>
  <c r="AI31" i="56"/>
  <c r="AH31" i="56"/>
  <c r="AG31" i="56"/>
  <c r="AF31" i="56"/>
  <c r="AE31" i="56"/>
  <c r="AD31" i="56"/>
  <c r="AC31" i="56"/>
  <c r="AB31" i="56"/>
  <c r="AA31" i="56"/>
  <c r="Z31" i="56"/>
  <c r="Y31" i="56"/>
  <c r="X31" i="56"/>
  <c r="W31" i="56"/>
  <c r="V31" i="56"/>
  <c r="U31" i="56"/>
  <c r="T31" i="56"/>
  <c r="S31" i="56"/>
  <c r="R31" i="56"/>
  <c r="Q31" i="56"/>
  <c r="P31" i="56"/>
  <c r="O31" i="56"/>
  <c r="N31" i="56"/>
  <c r="M31" i="56"/>
  <c r="L31" i="56"/>
  <c r="K31" i="56"/>
  <c r="J31" i="56"/>
  <c r="I31" i="56"/>
  <c r="H31" i="56"/>
  <c r="G31" i="56"/>
  <c r="F31" i="56"/>
  <c r="E31" i="56"/>
  <c r="D31" i="56"/>
  <c r="C31" i="56"/>
  <c r="B31" i="56"/>
  <c r="BY30" i="56"/>
  <c r="BX30" i="56"/>
  <c r="BW30" i="56"/>
  <c r="BV30" i="56"/>
  <c r="BU30" i="56"/>
  <c r="BT30" i="56"/>
  <c r="BS30" i="56"/>
  <c r="BR30" i="56"/>
  <c r="BQ30" i="56"/>
  <c r="BP30" i="56"/>
  <c r="BO30" i="56"/>
  <c r="BN30" i="56"/>
  <c r="BM30" i="56"/>
  <c r="BL30" i="56"/>
  <c r="BK30" i="56"/>
  <c r="BJ30" i="56"/>
  <c r="BI30" i="56"/>
  <c r="BH30" i="56"/>
  <c r="BG30" i="56"/>
  <c r="BF30" i="56"/>
  <c r="BE30" i="56"/>
  <c r="BD30" i="56"/>
  <c r="BC30" i="56"/>
  <c r="BB30" i="56"/>
  <c r="BA30" i="56"/>
  <c r="AZ30" i="56"/>
  <c r="AY30" i="56"/>
  <c r="AX30" i="56"/>
  <c r="AW30" i="56"/>
  <c r="AV30" i="56"/>
  <c r="AU30" i="56"/>
  <c r="AT30" i="56"/>
  <c r="AS30" i="56"/>
  <c r="AR30" i="56"/>
  <c r="AQ30" i="56"/>
  <c r="AP30" i="56"/>
  <c r="AO30" i="56"/>
  <c r="AN30" i="56"/>
  <c r="AM30" i="56"/>
  <c r="AL30" i="56"/>
  <c r="AK30" i="56"/>
  <c r="AJ30" i="56"/>
  <c r="AI30" i="56"/>
  <c r="AH30" i="56"/>
  <c r="AG30" i="56"/>
  <c r="AF30" i="56"/>
  <c r="AE30" i="56"/>
  <c r="AD30" i="56"/>
  <c r="AC30" i="56"/>
  <c r="AB30" i="56"/>
  <c r="AA30" i="56"/>
  <c r="Z30" i="56"/>
  <c r="Y30" i="56"/>
  <c r="X30" i="56"/>
  <c r="W30" i="56"/>
  <c r="V30" i="56"/>
  <c r="U30" i="56"/>
  <c r="T30" i="56"/>
  <c r="S30" i="56"/>
  <c r="R30" i="56"/>
  <c r="Q30" i="56"/>
  <c r="P30" i="56"/>
  <c r="O30" i="56"/>
  <c r="N30" i="56"/>
  <c r="M30" i="56"/>
  <c r="L30" i="56"/>
  <c r="K30" i="56"/>
  <c r="J30" i="56"/>
  <c r="I30" i="56"/>
  <c r="H30" i="56"/>
  <c r="G30" i="56"/>
  <c r="F30" i="56"/>
  <c r="E30" i="56"/>
  <c r="D30" i="56"/>
  <c r="C30" i="56"/>
  <c r="B30" i="56"/>
  <c r="BY29" i="56"/>
  <c r="BX29" i="56"/>
  <c r="BW29" i="56"/>
  <c r="BV29" i="56"/>
  <c r="BU29" i="56"/>
  <c r="BT29" i="56"/>
  <c r="BS29" i="56"/>
  <c r="BR29" i="56"/>
  <c r="BQ29" i="56"/>
  <c r="BP29" i="56"/>
  <c r="BO29" i="56"/>
  <c r="BN29" i="56"/>
  <c r="BM29" i="56"/>
  <c r="BL29" i="56"/>
  <c r="BK29" i="56"/>
  <c r="BJ29" i="56"/>
  <c r="BI29" i="56"/>
  <c r="BH29" i="56"/>
  <c r="BG29" i="56"/>
  <c r="BF29" i="56"/>
  <c r="BE29" i="56"/>
  <c r="BD29" i="56"/>
  <c r="BC29" i="56"/>
  <c r="BB29" i="56"/>
  <c r="BA29" i="56"/>
  <c r="AZ29" i="56"/>
  <c r="AY29" i="56"/>
  <c r="AX29" i="56"/>
  <c r="AW29" i="56"/>
  <c r="AV29" i="56"/>
  <c r="AU29" i="56"/>
  <c r="AT29" i="56"/>
  <c r="AS29" i="56"/>
  <c r="AR29" i="56"/>
  <c r="AQ29" i="56"/>
  <c r="AP29" i="56"/>
  <c r="AO29" i="56"/>
  <c r="AN29" i="56"/>
  <c r="AM29" i="56"/>
  <c r="AL29" i="56"/>
  <c r="AK29" i="56"/>
  <c r="AJ29" i="56"/>
  <c r="AI29" i="56"/>
  <c r="AH29" i="56"/>
  <c r="AG29" i="56"/>
  <c r="AF29" i="56"/>
  <c r="AE29" i="56"/>
  <c r="AD29" i="56"/>
  <c r="AC29" i="56"/>
  <c r="AB29" i="56"/>
  <c r="AA29" i="56"/>
  <c r="Z29" i="56"/>
  <c r="Y29" i="56"/>
  <c r="X29" i="56"/>
  <c r="W29" i="56"/>
  <c r="V29" i="56"/>
  <c r="U29" i="56"/>
  <c r="T29" i="56"/>
  <c r="S29" i="56"/>
  <c r="R29" i="56"/>
  <c r="Q29" i="56"/>
  <c r="P29" i="56"/>
  <c r="O29" i="56"/>
  <c r="N29" i="56"/>
  <c r="M29" i="56"/>
  <c r="L29" i="56"/>
  <c r="K29" i="56"/>
  <c r="J29" i="56"/>
  <c r="I29" i="56"/>
  <c r="H29" i="56"/>
  <c r="G29" i="56"/>
  <c r="F29" i="56"/>
  <c r="E29" i="56"/>
  <c r="D29" i="56"/>
  <c r="C29" i="56"/>
  <c r="B29" i="56"/>
  <c r="BY28" i="56"/>
  <c r="BX28" i="56"/>
  <c r="BW28" i="56"/>
  <c r="BV28" i="56"/>
  <c r="BU28" i="56"/>
  <c r="BT28" i="56"/>
  <c r="BS28" i="56"/>
  <c r="BR28" i="56"/>
  <c r="BQ28" i="56"/>
  <c r="BP28" i="56"/>
  <c r="BO28" i="56"/>
  <c r="BN28" i="56"/>
  <c r="BM28" i="56"/>
  <c r="BL28" i="56"/>
  <c r="BK28" i="56"/>
  <c r="BJ28" i="56"/>
  <c r="BI28" i="56"/>
  <c r="BH28" i="56"/>
  <c r="BG28" i="56"/>
  <c r="BF28" i="56"/>
  <c r="BE28" i="56"/>
  <c r="BD28" i="56"/>
  <c r="BC28" i="56"/>
  <c r="BB28" i="56"/>
  <c r="BA28" i="56"/>
  <c r="AZ28" i="56"/>
  <c r="AY28" i="56"/>
  <c r="AX28" i="56"/>
  <c r="AW28" i="56"/>
  <c r="AV28" i="56"/>
  <c r="AU28" i="56"/>
  <c r="AT28" i="56"/>
  <c r="AS28" i="56"/>
  <c r="AR28" i="56"/>
  <c r="AQ28" i="56"/>
  <c r="AP28" i="56"/>
  <c r="AO28" i="56"/>
  <c r="AN28" i="56"/>
  <c r="AM28" i="56"/>
  <c r="AL28" i="56"/>
  <c r="AK28" i="56"/>
  <c r="AJ28" i="56"/>
  <c r="AI28" i="56"/>
  <c r="AH28" i="56"/>
  <c r="AG28" i="56"/>
  <c r="AF28" i="56"/>
  <c r="AE28" i="56"/>
  <c r="AD28" i="56"/>
  <c r="AC28" i="56"/>
  <c r="AB28" i="56"/>
  <c r="AA28" i="56"/>
  <c r="Z28" i="56"/>
  <c r="Y28" i="56"/>
  <c r="X28" i="56"/>
  <c r="W28" i="56"/>
  <c r="V28" i="56"/>
  <c r="U28" i="56"/>
  <c r="T28" i="56"/>
  <c r="S28" i="56"/>
  <c r="R28" i="56"/>
  <c r="Q28" i="56"/>
  <c r="P28" i="56"/>
  <c r="O28" i="56"/>
  <c r="N28" i="56"/>
  <c r="M28" i="56"/>
  <c r="L28" i="56"/>
  <c r="K28" i="56"/>
  <c r="J28" i="56"/>
  <c r="I28" i="56"/>
  <c r="H28" i="56"/>
  <c r="G28" i="56"/>
  <c r="F28" i="56"/>
  <c r="E28" i="56"/>
  <c r="D28" i="56"/>
  <c r="C28" i="56"/>
  <c r="B28" i="56"/>
  <c r="BY27" i="56"/>
  <c r="BX27" i="56"/>
  <c r="BW27" i="56"/>
  <c r="BV27" i="56"/>
  <c r="BU27" i="56"/>
  <c r="BT27" i="56"/>
  <c r="BS27" i="56"/>
  <c r="BR27" i="56"/>
  <c r="BQ27" i="56"/>
  <c r="BP27" i="56"/>
  <c r="BO27" i="56"/>
  <c r="BN27" i="56"/>
  <c r="BM27" i="56"/>
  <c r="BL27" i="56"/>
  <c r="BK27" i="56"/>
  <c r="BJ27" i="56"/>
  <c r="BI27" i="56"/>
  <c r="BH27" i="56"/>
  <c r="BG27" i="56"/>
  <c r="BF27" i="56"/>
  <c r="BE27" i="56"/>
  <c r="BD27" i="56"/>
  <c r="BC27" i="56"/>
  <c r="BB27" i="56"/>
  <c r="BA27" i="56"/>
  <c r="AZ27" i="56"/>
  <c r="AY27" i="56"/>
  <c r="AX27" i="56"/>
  <c r="AW27" i="56"/>
  <c r="AV27" i="56"/>
  <c r="AU27" i="56"/>
  <c r="AT27" i="56"/>
  <c r="AS27" i="56"/>
  <c r="AR27" i="56"/>
  <c r="AQ27" i="56"/>
  <c r="AP27" i="56"/>
  <c r="AO27" i="56"/>
  <c r="AN27" i="56"/>
  <c r="AM27" i="56"/>
  <c r="AL27" i="56"/>
  <c r="AK27" i="56"/>
  <c r="AJ27" i="56"/>
  <c r="AI27" i="56"/>
  <c r="AH27" i="56"/>
  <c r="AG27" i="56"/>
  <c r="AF27" i="56"/>
  <c r="AE27" i="56"/>
  <c r="AD27" i="56"/>
  <c r="AC27" i="56"/>
  <c r="AB27" i="56"/>
  <c r="AA27" i="56"/>
  <c r="Z27" i="56"/>
  <c r="Y27" i="56"/>
  <c r="X27" i="56"/>
  <c r="W27" i="56"/>
  <c r="V27" i="56"/>
  <c r="U27" i="56"/>
  <c r="T27" i="56"/>
  <c r="S27" i="56"/>
  <c r="R27" i="56"/>
  <c r="Q27" i="56"/>
  <c r="P27" i="56"/>
  <c r="O27" i="56"/>
  <c r="N27" i="56"/>
  <c r="M27" i="56"/>
  <c r="L27" i="56"/>
  <c r="K27" i="56"/>
  <c r="J27" i="56"/>
  <c r="I27" i="56"/>
  <c r="H27" i="56"/>
  <c r="G27" i="56"/>
  <c r="F27" i="56"/>
  <c r="E27" i="56"/>
  <c r="D27" i="56"/>
  <c r="C27" i="56"/>
  <c r="B27" i="56"/>
  <c r="BY26" i="56"/>
  <c r="BX26" i="56"/>
  <c r="BW26" i="56"/>
  <c r="BV26" i="56"/>
  <c r="BU26" i="56"/>
  <c r="BT26" i="56"/>
  <c r="BS26" i="56"/>
  <c r="BR26" i="56"/>
  <c r="BQ26" i="56"/>
  <c r="BP26" i="56"/>
  <c r="BO26" i="56"/>
  <c r="BN26" i="56"/>
  <c r="BM26" i="56"/>
  <c r="BL26" i="56"/>
  <c r="BK26" i="56"/>
  <c r="BJ26" i="56"/>
  <c r="BI26" i="56"/>
  <c r="BH26" i="56"/>
  <c r="BG26" i="56"/>
  <c r="BF26" i="56"/>
  <c r="BE26" i="56"/>
  <c r="BD26" i="56"/>
  <c r="BC26" i="56"/>
  <c r="BB26" i="56"/>
  <c r="BA26" i="56"/>
  <c r="AZ26" i="56"/>
  <c r="AY26" i="56"/>
  <c r="AX26" i="56"/>
  <c r="AW26" i="56"/>
  <c r="AV26" i="56"/>
  <c r="AU26" i="56"/>
  <c r="AT26" i="56"/>
  <c r="AS26" i="56"/>
  <c r="AR26" i="56"/>
  <c r="AQ26" i="56"/>
  <c r="AP26" i="56"/>
  <c r="AO26" i="56"/>
  <c r="AN26" i="56"/>
  <c r="AM26" i="56"/>
  <c r="AL26" i="56"/>
  <c r="AK26" i="56"/>
  <c r="AJ26" i="56"/>
  <c r="AI26" i="56"/>
  <c r="AH26" i="56"/>
  <c r="AG26" i="56"/>
  <c r="AF26" i="56"/>
  <c r="AE26" i="56"/>
  <c r="AD26" i="56"/>
  <c r="AC26" i="56"/>
  <c r="AB26" i="56"/>
  <c r="AA26" i="56"/>
  <c r="Z26" i="56"/>
  <c r="Y26" i="56"/>
  <c r="X26" i="56"/>
  <c r="W26" i="56"/>
  <c r="V26" i="56"/>
  <c r="U26" i="56"/>
  <c r="T26" i="56"/>
  <c r="S26" i="56"/>
  <c r="R26" i="56"/>
  <c r="Q26" i="56"/>
  <c r="P26" i="56"/>
  <c r="O26" i="56"/>
  <c r="N26" i="56"/>
  <c r="M26" i="56"/>
  <c r="L26" i="56"/>
  <c r="K26" i="56"/>
  <c r="J26" i="56"/>
  <c r="I26" i="56"/>
  <c r="H26" i="56"/>
  <c r="G26" i="56"/>
  <c r="F26" i="56"/>
  <c r="E26" i="56"/>
  <c r="D26" i="56"/>
  <c r="C26" i="56"/>
  <c r="B26" i="56"/>
  <c r="BY25" i="56"/>
  <c r="BX25" i="56"/>
  <c r="BW25" i="56"/>
  <c r="BV25" i="56"/>
  <c r="BU25" i="56"/>
  <c r="BT25" i="56"/>
  <c r="BS25" i="56"/>
  <c r="BR25" i="56"/>
  <c r="BQ25" i="56"/>
  <c r="BP25" i="56"/>
  <c r="BO25" i="56"/>
  <c r="BN25" i="56"/>
  <c r="BM25" i="56"/>
  <c r="BL25" i="56"/>
  <c r="BK25" i="56"/>
  <c r="BJ25" i="56"/>
  <c r="BI25" i="56"/>
  <c r="BH25" i="56"/>
  <c r="BG25" i="56"/>
  <c r="BF25" i="56"/>
  <c r="BE25" i="56"/>
  <c r="BD25" i="56"/>
  <c r="BC25" i="56"/>
  <c r="BB25" i="56"/>
  <c r="BA25" i="56"/>
  <c r="AZ25" i="56"/>
  <c r="AY25" i="56"/>
  <c r="AX25" i="56"/>
  <c r="AW25" i="56"/>
  <c r="AV25" i="56"/>
  <c r="AU25" i="56"/>
  <c r="AT25" i="56"/>
  <c r="AS25" i="56"/>
  <c r="AR25" i="56"/>
  <c r="AQ25" i="56"/>
  <c r="AP25" i="56"/>
  <c r="AO25" i="56"/>
  <c r="AN25" i="56"/>
  <c r="AM25" i="56"/>
  <c r="AL25" i="56"/>
  <c r="AK25" i="56"/>
  <c r="AJ25" i="56"/>
  <c r="AI25" i="56"/>
  <c r="AH25" i="56"/>
  <c r="AG25" i="56"/>
  <c r="AF25" i="56"/>
  <c r="AE25" i="56"/>
  <c r="AD25" i="56"/>
  <c r="AC25" i="56"/>
  <c r="AB25" i="56"/>
  <c r="AA25" i="56"/>
  <c r="Z25" i="56"/>
  <c r="Y25" i="56"/>
  <c r="X25" i="56"/>
  <c r="W25" i="56"/>
  <c r="V25" i="56"/>
  <c r="U25" i="56"/>
  <c r="T25" i="56"/>
  <c r="S25" i="56"/>
  <c r="R25" i="56"/>
  <c r="Q25" i="56"/>
  <c r="P25" i="56"/>
  <c r="O25" i="56"/>
  <c r="N25" i="56"/>
  <c r="M25" i="56"/>
  <c r="L25" i="56"/>
  <c r="K25" i="56"/>
  <c r="J25" i="56"/>
  <c r="I25" i="56"/>
  <c r="H25" i="56"/>
  <c r="G25" i="56"/>
  <c r="F25" i="56"/>
  <c r="E25" i="56"/>
  <c r="D25" i="56"/>
  <c r="C25" i="56"/>
  <c r="B25" i="56"/>
  <c r="BY24" i="56"/>
  <c r="BX24" i="56"/>
  <c r="BW24" i="56"/>
  <c r="BV24" i="56"/>
  <c r="BU24" i="56"/>
  <c r="BT24" i="56"/>
  <c r="BS24" i="56"/>
  <c r="BR24" i="56"/>
  <c r="BQ24" i="56"/>
  <c r="BP24" i="56"/>
  <c r="BO24" i="56"/>
  <c r="BN24" i="56"/>
  <c r="BM24" i="56"/>
  <c r="BL24" i="56"/>
  <c r="BK24" i="56"/>
  <c r="BJ24" i="56"/>
  <c r="BI24" i="56"/>
  <c r="BH24" i="56"/>
  <c r="BG24" i="56"/>
  <c r="BF24" i="56"/>
  <c r="BE24" i="56"/>
  <c r="BD24" i="56"/>
  <c r="BC24" i="56"/>
  <c r="BB24" i="56"/>
  <c r="BA24" i="56"/>
  <c r="AZ24" i="56"/>
  <c r="AY24" i="56"/>
  <c r="AX24" i="56"/>
  <c r="AW24" i="56"/>
  <c r="AV24" i="56"/>
  <c r="AU24" i="56"/>
  <c r="AT24" i="56"/>
  <c r="AS24" i="56"/>
  <c r="AR24" i="56"/>
  <c r="AQ24" i="56"/>
  <c r="AP24" i="56"/>
  <c r="AO24" i="56"/>
  <c r="AN24" i="56"/>
  <c r="AM24" i="56"/>
  <c r="AL24" i="56"/>
  <c r="AK24" i="56"/>
  <c r="AJ24" i="56"/>
  <c r="AI24" i="56"/>
  <c r="AH24" i="56"/>
  <c r="AG24" i="56"/>
  <c r="AF24" i="56"/>
  <c r="AE24" i="56"/>
  <c r="AD24" i="56"/>
  <c r="AC24" i="56"/>
  <c r="AB24" i="56"/>
  <c r="AA24" i="56"/>
  <c r="Z24" i="56"/>
  <c r="Y24" i="56"/>
  <c r="X24" i="56"/>
  <c r="W24" i="56"/>
  <c r="V24" i="56"/>
  <c r="U24" i="56"/>
  <c r="T24" i="56"/>
  <c r="S24" i="56"/>
  <c r="R24" i="56"/>
  <c r="Q24" i="56"/>
  <c r="P24" i="56"/>
  <c r="O24" i="56"/>
  <c r="N24" i="56"/>
  <c r="M24" i="56"/>
  <c r="L24" i="56"/>
  <c r="K24" i="56"/>
  <c r="J24" i="56"/>
  <c r="I24" i="56"/>
  <c r="H24" i="56"/>
  <c r="G24" i="56"/>
  <c r="F24" i="56"/>
  <c r="E24" i="56"/>
  <c r="D24" i="56"/>
  <c r="C24" i="56"/>
  <c r="B24" i="56"/>
  <c r="BY23" i="56"/>
  <c r="BX23" i="56"/>
  <c r="BW23" i="56"/>
  <c r="BV23" i="56"/>
  <c r="BU23" i="56"/>
  <c r="BT23" i="56"/>
  <c r="BS23" i="56"/>
  <c r="BR23" i="56"/>
  <c r="BQ23" i="56"/>
  <c r="BP23" i="56"/>
  <c r="BO23" i="56"/>
  <c r="BN23" i="56"/>
  <c r="BM23" i="56"/>
  <c r="BL23" i="56"/>
  <c r="BK23" i="56"/>
  <c r="BJ23" i="56"/>
  <c r="BI23" i="56"/>
  <c r="BH23" i="56"/>
  <c r="BG23" i="56"/>
  <c r="BF23" i="56"/>
  <c r="BE23" i="56"/>
  <c r="BD23" i="56"/>
  <c r="BC23" i="56"/>
  <c r="BB23" i="56"/>
  <c r="BA23" i="56"/>
  <c r="AZ23" i="56"/>
  <c r="AY23" i="56"/>
  <c r="AX23" i="56"/>
  <c r="AW23" i="56"/>
  <c r="AV23" i="56"/>
  <c r="AU23" i="56"/>
  <c r="AT23" i="56"/>
  <c r="AS23" i="56"/>
  <c r="AR23" i="56"/>
  <c r="AQ23" i="56"/>
  <c r="AP23" i="56"/>
  <c r="AO23" i="56"/>
  <c r="AN23" i="56"/>
  <c r="AM23" i="56"/>
  <c r="AL23" i="56"/>
  <c r="AK23" i="56"/>
  <c r="AJ23" i="56"/>
  <c r="AI23" i="56"/>
  <c r="AH23" i="56"/>
  <c r="AG23" i="56"/>
  <c r="AF23" i="56"/>
  <c r="AE23" i="56"/>
  <c r="AD23" i="56"/>
  <c r="AC23" i="56"/>
  <c r="AB23" i="56"/>
  <c r="AA23" i="56"/>
  <c r="Z23" i="56"/>
  <c r="Y23" i="56"/>
  <c r="X23" i="56"/>
  <c r="W23" i="56"/>
  <c r="V23" i="56"/>
  <c r="U23" i="56"/>
  <c r="T23" i="56"/>
  <c r="S23" i="56"/>
  <c r="R23" i="56"/>
  <c r="Q23" i="56"/>
  <c r="P23" i="56"/>
  <c r="O23" i="56"/>
  <c r="N23" i="56"/>
  <c r="M23" i="56"/>
  <c r="L23" i="56"/>
  <c r="K23" i="56"/>
  <c r="J23" i="56"/>
  <c r="I23" i="56"/>
  <c r="H23" i="56"/>
  <c r="G23" i="56"/>
  <c r="F23" i="56"/>
  <c r="E23" i="56"/>
  <c r="D23" i="56"/>
  <c r="C23" i="56"/>
  <c r="B23" i="56"/>
  <c r="BY22" i="56"/>
  <c r="BX22" i="56"/>
  <c r="BW22" i="56"/>
  <c r="BV22" i="56"/>
  <c r="BU22" i="56"/>
  <c r="BT22" i="56"/>
  <c r="BS22" i="56"/>
  <c r="BR22" i="56"/>
  <c r="BQ22" i="56"/>
  <c r="BP22" i="56"/>
  <c r="BO22" i="56"/>
  <c r="BN22" i="56"/>
  <c r="BM22" i="56"/>
  <c r="BL22" i="56"/>
  <c r="BK22" i="56"/>
  <c r="BJ22" i="56"/>
  <c r="BI22" i="56"/>
  <c r="BH22" i="56"/>
  <c r="BG22" i="56"/>
  <c r="BF22" i="56"/>
  <c r="BE22" i="56"/>
  <c r="BD22" i="56"/>
  <c r="BC22" i="56"/>
  <c r="BB22" i="56"/>
  <c r="BA22" i="56"/>
  <c r="AZ22" i="56"/>
  <c r="AY22" i="56"/>
  <c r="AX22" i="56"/>
  <c r="AW22" i="56"/>
  <c r="AV22" i="56"/>
  <c r="AU22" i="56"/>
  <c r="AT22" i="56"/>
  <c r="AS22" i="56"/>
  <c r="AR22" i="56"/>
  <c r="AQ22" i="56"/>
  <c r="AP22" i="56"/>
  <c r="AO22" i="56"/>
  <c r="AN22" i="56"/>
  <c r="AM22" i="56"/>
  <c r="AL22" i="56"/>
  <c r="AK22" i="56"/>
  <c r="AJ22" i="56"/>
  <c r="AI22" i="56"/>
  <c r="AH22" i="56"/>
  <c r="AG22" i="56"/>
  <c r="AF22" i="56"/>
  <c r="AE22" i="56"/>
  <c r="AD22" i="56"/>
  <c r="AC22" i="56"/>
  <c r="AB22" i="56"/>
  <c r="AA22" i="56"/>
  <c r="Z22" i="56"/>
  <c r="Y22" i="56"/>
  <c r="X22" i="56"/>
  <c r="W22" i="56"/>
  <c r="V22" i="56"/>
  <c r="U22" i="56"/>
  <c r="T22" i="56"/>
  <c r="S22" i="56"/>
  <c r="R22" i="56"/>
  <c r="Q22" i="56"/>
  <c r="P22" i="56"/>
  <c r="O22" i="56"/>
  <c r="N22" i="56"/>
  <c r="M22" i="56"/>
  <c r="L22" i="56"/>
  <c r="K22" i="56"/>
  <c r="J22" i="56"/>
  <c r="I22" i="56"/>
  <c r="H22" i="56"/>
  <c r="G22" i="56"/>
  <c r="F22" i="56"/>
  <c r="E22" i="56"/>
  <c r="D22" i="56"/>
  <c r="C22" i="56"/>
  <c r="B22" i="56"/>
  <c r="BY21" i="56"/>
  <c r="BX21" i="56"/>
  <c r="BW21" i="56"/>
  <c r="BV21" i="56"/>
  <c r="BU21" i="56"/>
  <c r="BT21" i="56"/>
  <c r="BS21" i="56"/>
  <c r="BR21" i="56"/>
  <c r="BQ21" i="56"/>
  <c r="BP21" i="56"/>
  <c r="BO21" i="56"/>
  <c r="BN21" i="56"/>
  <c r="BM21" i="56"/>
  <c r="BL21" i="56"/>
  <c r="BK21" i="56"/>
  <c r="BJ21" i="56"/>
  <c r="BI21" i="56"/>
  <c r="BH21" i="56"/>
  <c r="BG21" i="56"/>
  <c r="BF21" i="56"/>
  <c r="BE21" i="56"/>
  <c r="BD21" i="56"/>
  <c r="BC21" i="56"/>
  <c r="BB21" i="56"/>
  <c r="BA21" i="56"/>
  <c r="AZ21" i="56"/>
  <c r="AY21" i="56"/>
  <c r="AX21" i="56"/>
  <c r="AW21" i="56"/>
  <c r="AV21" i="56"/>
  <c r="AU21" i="56"/>
  <c r="AT21" i="56"/>
  <c r="AS21" i="56"/>
  <c r="AR21" i="56"/>
  <c r="AQ21" i="56"/>
  <c r="AP21" i="56"/>
  <c r="AO21" i="56"/>
  <c r="AN21" i="56"/>
  <c r="AM21" i="56"/>
  <c r="AL21" i="56"/>
  <c r="AK21" i="56"/>
  <c r="AJ21" i="56"/>
  <c r="AI21" i="56"/>
  <c r="AH21" i="56"/>
  <c r="AG21" i="56"/>
  <c r="AF21" i="56"/>
  <c r="AE21" i="56"/>
  <c r="AD21" i="56"/>
  <c r="AC21" i="56"/>
  <c r="AB21" i="56"/>
  <c r="AA21" i="56"/>
  <c r="Z21" i="56"/>
  <c r="Y21" i="56"/>
  <c r="X21" i="56"/>
  <c r="W21" i="56"/>
  <c r="V21" i="56"/>
  <c r="U21" i="56"/>
  <c r="T21" i="56"/>
  <c r="S21" i="56"/>
  <c r="R21" i="56"/>
  <c r="Q21" i="56"/>
  <c r="P21" i="56"/>
  <c r="O21" i="56"/>
  <c r="N21" i="56"/>
  <c r="M21" i="56"/>
  <c r="L21" i="56"/>
  <c r="K21" i="56"/>
  <c r="J21" i="56"/>
  <c r="I21" i="56"/>
  <c r="H21" i="56"/>
  <c r="G21" i="56"/>
  <c r="F21" i="56"/>
  <c r="E21" i="56"/>
  <c r="D21" i="56"/>
  <c r="C21" i="56"/>
  <c r="B21" i="56"/>
  <c r="BY20" i="56"/>
  <c r="BX20" i="56"/>
  <c r="BW20" i="56"/>
  <c r="BV20" i="56"/>
  <c r="BU20" i="56"/>
  <c r="BT20" i="56"/>
  <c r="BS20" i="56"/>
  <c r="BR20" i="56"/>
  <c r="BQ20" i="56"/>
  <c r="BP20" i="56"/>
  <c r="BO20" i="56"/>
  <c r="BN20" i="56"/>
  <c r="BM20" i="56"/>
  <c r="BL20" i="56"/>
  <c r="BK20" i="56"/>
  <c r="BJ20" i="56"/>
  <c r="BI20" i="56"/>
  <c r="BH20" i="56"/>
  <c r="BG20" i="56"/>
  <c r="BF20" i="56"/>
  <c r="BE20" i="56"/>
  <c r="BD20" i="56"/>
  <c r="BC20" i="56"/>
  <c r="BB20" i="56"/>
  <c r="BA20" i="56"/>
  <c r="AZ20" i="56"/>
  <c r="AY20" i="56"/>
  <c r="AX20" i="56"/>
  <c r="AW20" i="56"/>
  <c r="AV20" i="56"/>
  <c r="AU20" i="56"/>
  <c r="AT20" i="56"/>
  <c r="AS20" i="56"/>
  <c r="AR20" i="56"/>
  <c r="AQ20" i="56"/>
  <c r="AP20" i="56"/>
  <c r="AO20" i="56"/>
  <c r="AN20" i="56"/>
  <c r="AM20" i="56"/>
  <c r="AL20" i="56"/>
  <c r="AK20" i="56"/>
  <c r="AJ20" i="56"/>
  <c r="AI20" i="56"/>
  <c r="AH20" i="56"/>
  <c r="AG20" i="56"/>
  <c r="AF20" i="56"/>
  <c r="AE20" i="56"/>
  <c r="AD20" i="56"/>
  <c r="AC20" i="56"/>
  <c r="AB20" i="56"/>
  <c r="AA20" i="56"/>
  <c r="Z20" i="56"/>
  <c r="Y20" i="56"/>
  <c r="X20" i="56"/>
  <c r="W20" i="56"/>
  <c r="V20" i="56"/>
  <c r="U20" i="56"/>
  <c r="T20" i="56"/>
  <c r="S20" i="56"/>
  <c r="R20" i="56"/>
  <c r="Q20" i="56"/>
  <c r="P20" i="56"/>
  <c r="O20" i="56"/>
  <c r="N20" i="56"/>
  <c r="M20" i="56"/>
  <c r="L20" i="56"/>
  <c r="K20" i="56"/>
  <c r="J20" i="56"/>
  <c r="I20" i="56"/>
  <c r="H20" i="56"/>
  <c r="G20" i="56"/>
  <c r="F20" i="56"/>
  <c r="E20" i="56"/>
  <c r="D20" i="56"/>
  <c r="C20" i="56"/>
  <c r="B20" i="56"/>
  <c r="BY32" i="56"/>
  <c r="BV32" i="56"/>
  <c r="BU33" i="56"/>
  <c r="BT32" i="56"/>
  <c r="BT33" i="56" s="1"/>
  <c r="BS32" i="56"/>
  <c r="BS33" i="56" s="1"/>
  <c r="BR32" i="56"/>
  <c r="BR33" i="56" s="1"/>
  <c r="BQ32" i="56"/>
  <c r="BQ33" i="56" s="1"/>
  <c r="BN32" i="56"/>
  <c r="BN33" i="56" s="1"/>
  <c r="BM32" i="56"/>
  <c r="BM33" i="56" s="1"/>
  <c r="BL32" i="56"/>
  <c r="BL33" i="56" s="1"/>
  <c r="BK32" i="56"/>
  <c r="BK33" i="56" s="1"/>
  <c r="BJ32" i="56"/>
  <c r="BJ33" i="56" s="1"/>
  <c r="BI32" i="56"/>
  <c r="BI33" i="56" s="1"/>
  <c r="BF32" i="56"/>
  <c r="BF33" i="56" s="1"/>
  <c r="BE32" i="56"/>
  <c r="BE33" i="56" s="1"/>
  <c r="BD32" i="56"/>
  <c r="BD33" i="56" s="1"/>
  <c r="BC32" i="56"/>
  <c r="BC33" i="56" s="1"/>
  <c r="W12" i="55" l="1"/>
  <c r="W13" i="55"/>
  <c r="AD44" i="1" l="1" a="1"/>
  <c r="AD44" i="1" s="1"/>
  <c r="AE44" i="1" a="1"/>
  <c r="AE44" i="1" s="1"/>
  <c r="AF44" i="1" a="1"/>
  <c r="AF44" i="1" s="1"/>
  <c r="AG44" i="1" a="1"/>
  <c r="AG44" i="1" s="1"/>
  <c r="AH44" i="1" a="1"/>
  <c r="AH44" i="1" s="1"/>
  <c r="AI44" i="1" a="1"/>
  <c r="AI44" i="1" s="1"/>
  <c r="AJ44" i="1" a="1"/>
  <c r="AJ44" i="1" s="1"/>
  <c r="AC44" i="1" a="1"/>
  <c r="AC44" i="1" s="1"/>
  <c r="AD43" i="1" a="1"/>
  <c r="AD43" i="1" s="1"/>
  <c r="AE43" i="1" a="1"/>
  <c r="AE43" i="1" s="1"/>
  <c r="AF43" i="1" a="1"/>
  <c r="AF43" i="1" s="1"/>
  <c r="AG43" i="1" a="1"/>
  <c r="AG43" i="1" s="1"/>
  <c r="AH43" i="1" a="1"/>
  <c r="AH43" i="1" s="1"/>
  <c r="AI43" i="1" a="1"/>
  <c r="AI43" i="1" s="1"/>
  <c r="AJ43" i="1" a="1"/>
  <c r="AJ43" i="1" s="1"/>
  <c r="AC43" i="1" a="1"/>
  <c r="AC43" i="1" s="1"/>
  <c r="AC45" i="1" l="1" a="1"/>
  <c r="AC45" i="1" s="1"/>
  <c r="AJ45" i="1" a="1"/>
  <c r="AJ45" i="1" s="1"/>
  <c r="AI45" i="1" a="1"/>
  <c r="AI45" i="1" s="1"/>
  <c r="AH45" i="1" a="1"/>
  <c r="AH45" i="1" s="1"/>
  <c r="AG45" i="1" a="1"/>
  <c r="AG45" i="1" s="1"/>
  <c r="AF45" i="1" a="1"/>
  <c r="AF45" i="1" s="1"/>
  <c r="AE45" i="1" a="1"/>
  <c r="AE45" i="1" s="1"/>
  <c r="AD45" i="1" a="1"/>
  <c r="AD45" i="1" s="1"/>
  <c r="AL302" i="1"/>
  <c r="AL301" i="1"/>
  <c r="AL300" i="1"/>
  <c r="AL299" i="1"/>
  <c r="AL298" i="1"/>
  <c r="AL297" i="1"/>
  <c r="AL296" i="1"/>
  <c r="AL295" i="1"/>
  <c r="AL294" i="1"/>
  <c r="AL293" i="1"/>
  <c r="AL292" i="1"/>
  <c r="AL291" i="1"/>
  <c r="AL290" i="1"/>
  <c r="AL289" i="1"/>
  <c r="AL288" i="1"/>
  <c r="AL287" i="1"/>
  <c r="AT287" i="1" s="1"/>
  <c r="AL286" i="1"/>
  <c r="AL285" i="1"/>
  <c r="AL284" i="1"/>
  <c r="AL283" i="1"/>
  <c r="AL282" i="1"/>
  <c r="AL281" i="1"/>
  <c r="AL280" i="1"/>
  <c r="AL279" i="1"/>
  <c r="AL278" i="1"/>
  <c r="AL277" i="1"/>
  <c r="AS277" i="1" s="1"/>
  <c r="AL276" i="1"/>
  <c r="AL275" i="1"/>
  <c r="AL274" i="1"/>
  <c r="AL273" i="1"/>
  <c r="AL272" i="1"/>
  <c r="AT272" i="1" s="1"/>
  <c r="AL271" i="1"/>
  <c r="AL270" i="1"/>
  <c r="AL269" i="1"/>
  <c r="AL268" i="1"/>
  <c r="AL267" i="1"/>
  <c r="AL266" i="1"/>
  <c r="AL265" i="1"/>
  <c r="AL264" i="1"/>
  <c r="AL263" i="1"/>
  <c r="AP263" i="1" s="1"/>
  <c r="AL262" i="1"/>
  <c r="AL261" i="1"/>
  <c r="AL260" i="1"/>
  <c r="AL259" i="1"/>
  <c r="AL258" i="1"/>
  <c r="AL257" i="1"/>
  <c r="AL256" i="1"/>
  <c r="AL255" i="1"/>
  <c r="AL254" i="1"/>
  <c r="AL253" i="1"/>
  <c r="AL252" i="1"/>
  <c r="AL251" i="1"/>
  <c r="AL250" i="1"/>
  <c r="AL249" i="1"/>
  <c r="AL248" i="1"/>
  <c r="AL247" i="1"/>
  <c r="AL246" i="1"/>
  <c r="AL245" i="1"/>
  <c r="AL244" i="1"/>
  <c r="AL243" i="1"/>
  <c r="AL242" i="1"/>
  <c r="AL241" i="1"/>
  <c r="AQ241" i="1" s="1"/>
  <c r="AL240" i="1"/>
  <c r="AL239" i="1"/>
  <c r="AL238" i="1"/>
  <c r="AP238" i="1" s="1"/>
  <c r="AL237" i="1"/>
  <c r="AL236" i="1"/>
  <c r="AL235" i="1"/>
  <c r="AL234" i="1"/>
  <c r="AL233" i="1"/>
  <c r="AL232" i="1"/>
  <c r="AL231" i="1"/>
  <c r="AL230" i="1"/>
  <c r="AR230" i="1" s="1"/>
  <c r="AL229" i="1"/>
  <c r="AL228" i="1"/>
  <c r="AL227" i="1"/>
  <c r="AL226" i="1"/>
  <c r="AL225" i="1"/>
  <c r="AL224" i="1"/>
  <c r="AL223" i="1"/>
  <c r="AL222" i="1"/>
  <c r="AL221" i="1"/>
  <c r="AL220" i="1"/>
  <c r="AP220" i="1" s="1"/>
  <c r="AL219" i="1"/>
  <c r="AU219" i="1" s="1"/>
  <c r="AL218" i="1"/>
  <c r="AL217" i="1"/>
  <c r="AL216" i="1"/>
  <c r="AL215" i="1"/>
  <c r="AL214" i="1"/>
  <c r="AL213" i="1"/>
  <c r="AL212" i="1"/>
  <c r="AT212" i="1" s="1"/>
  <c r="AL211" i="1"/>
  <c r="AL210" i="1"/>
  <c r="AL209" i="1"/>
  <c r="AL208" i="1"/>
  <c r="AL207" i="1"/>
  <c r="AL206" i="1"/>
  <c r="AL205" i="1"/>
  <c r="AQ205" i="1" s="1"/>
  <c r="AL204" i="1"/>
  <c r="AP204" i="1" s="1"/>
  <c r="AL203" i="1"/>
  <c r="AL202" i="1"/>
  <c r="AL201" i="1"/>
  <c r="AU201" i="1" s="1"/>
  <c r="AL200" i="1"/>
  <c r="AL199" i="1"/>
  <c r="AL198" i="1"/>
  <c r="AL197" i="1"/>
  <c r="AU197" i="1" s="1"/>
  <c r="AL196" i="1"/>
  <c r="AS196" i="1" s="1"/>
  <c r="AL195" i="1"/>
  <c r="AL194" i="1"/>
  <c r="AQ194" i="1" s="1"/>
  <c r="AL193" i="1"/>
  <c r="AL192" i="1"/>
  <c r="AW192" i="1" s="1"/>
  <c r="AL191" i="1"/>
  <c r="AL190" i="1"/>
  <c r="AL189" i="1"/>
  <c r="AR189" i="1" s="1"/>
  <c r="AL188" i="1"/>
  <c r="AL187" i="1"/>
  <c r="AQ187" i="1" s="1"/>
  <c r="AL186" i="1"/>
  <c r="AQ186" i="1" s="1"/>
  <c r="AL185" i="1"/>
  <c r="AL184" i="1"/>
  <c r="AL183" i="1"/>
  <c r="AU183" i="1" s="1"/>
  <c r="AL182" i="1"/>
  <c r="AU182" i="1" s="1"/>
  <c r="AL181" i="1"/>
  <c r="AL180" i="1"/>
  <c r="AL179" i="1"/>
  <c r="AL178" i="1"/>
  <c r="AL177" i="1"/>
  <c r="AL176" i="1"/>
  <c r="AL175" i="1"/>
  <c r="AL174" i="1"/>
  <c r="AR174" i="1" s="1"/>
  <c r="AL173" i="1"/>
  <c r="AL172" i="1"/>
  <c r="AL171" i="1"/>
  <c r="AL170" i="1"/>
  <c r="AL169" i="1"/>
  <c r="AL168" i="1"/>
  <c r="AL167" i="1"/>
  <c r="AV167" i="1" s="1"/>
  <c r="AL166" i="1"/>
  <c r="AL165" i="1"/>
  <c r="AS165" i="1" s="1"/>
  <c r="AL164" i="1"/>
  <c r="AL163" i="1"/>
  <c r="AL162" i="1"/>
  <c r="AL161" i="1"/>
  <c r="AL160" i="1"/>
  <c r="AL159" i="1"/>
  <c r="AV159" i="1" s="1"/>
  <c r="AL158" i="1"/>
  <c r="AL157" i="1"/>
  <c r="AR157" i="1" s="1"/>
  <c r="AL156" i="1"/>
  <c r="AS156" i="1" s="1"/>
  <c r="AL155" i="1"/>
  <c r="AL154" i="1"/>
  <c r="AT154" i="1" s="1"/>
  <c r="AL153" i="1"/>
  <c r="AV153" i="1" s="1"/>
  <c r="AL152" i="1"/>
  <c r="AS152" i="1" s="1"/>
  <c r="AL151" i="1"/>
  <c r="AL150" i="1"/>
  <c r="AL149" i="1"/>
  <c r="AW149" i="1" s="1"/>
  <c r="AL148" i="1"/>
  <c r="AL147" i="1"/>
  <c r="AV147" i="1" s="1"/>
  <c r="AL146" i="1"/>
  <c r="AL145" i="1"/>
  <c r="AV145" i="1" s="1"/>
  <c r="AL144" i="1"/>
  <c r="AL143" i="1"/>
  <c r="AL142" i="1"/>
  <c r="AL141" i="1"/>
  <c r="AV141" i="1" s="1"/>
  <c r="AL140" i="1"/>
  <c r="AL139" i="1"/>
  <c r="AL138" i="1"/>
  <c r="AL137" i="1"/>
  <c r="AP137" i="1" s="1"/>
  <c r="AL136" i="1"/>
  <c r="AL135" i="1"/>
  <c r="AV135" i="1" s="1"/>
  <c r="AL134" i="1"/>
  <c r="AL133" i="1"/>
  <c r="AV133" i="1" s="1"/>
  <c r="AL132" i="1"/>
  <c r="AL131" i="1"/>
  <c r="AV131" i="1" s="1"/>
  <c r="AL130" i="1"/>
  <c r="AL129" i="1"/>
  <c r="AP129" i="1" s="1"/>
  <c r="AL128" i="1"/>
  <c r="AL127" i="1"/>
  <c r="AP127" i="1" s="1"/>
  <c r="AL126" i="1"/>
  <c r="AL125" i="1"/>
  <c r="AU125" i="1" s="1"/>
  <c r="AL124" i="1"/>
  <c r="AL123" i="1"/>
  <c r="AL122" i="1"/>
  <c r="AU122" i="1" s="1"/>
  <c r="AL121" i="1"/>
  <c r="AP121" i="1" s="1"/>
  <c r="AL120" i="1"/>
  <c r="AW120" i="1" s="1"/>
  <c r="AL119" i="1"/>
  <c r="AQ119" i="1" s="1"/>
  <c r="AL118" i="1"/>
  <c r="AL117" i="1"/>
  <c r="AW117" i="1" s="1"/>
  <c r="AL116" i="1"/>
  <c r="AQ116" i="1" s="1"/>
  <c r="AL115" i="1"/>
  <c r="AL114" i="1"/>
  <c r="AQ114" i="1" s="1"/>
  <c r="AL113" i="1"/>
  <c r="AP113" i="1" s="1"/>
  <c r="AL112" i="1"/>
  <c r="AW112" i="1" s="1"/>
  <c r="AL111" i="1"/>
  <c r="AQ111" i="1" s="1"/>
  <c r="AL110" i="1"/>
  <c r="AL109" i="1"/>
  <c r="AW109" i="1" s="1"/>
  <c r="AL108" i="1"/>
  <c r="AQ108" i="1" s="1"/>
  <c r="AL107" i="1"/>
  <c r="AL106" i="1"/>
  <c r="AU106" i="1" s="1"/>
  <c r="AL105" i="1"/>
  <c r="AP105" i="1" s="1"/>
  <c r="AL104" i="1"/>
  <c r="AW104" i="1" s="1"/>
  <c r="AL103" i="1"/>
  <c r="AU103" i="1" s="1"/>
  <c r="AL102" i="1"/>
  <c r="AL101" i="1"/>
  <c r="AW101" i="1" s="1"/>
  <c r="AL100" i="1"/>
  <c r="AQ100" i="1" s="1"/>
  <c r="AL99" i="1"/>
  <c r="AW99" i="1" s="1"/>
  <c r="AL98" i="1"/>
  <c r="AL97" i="1"/>
  <c r="AL96" i="1"/>
  <c r="AL95" i="1"/>
  <c r="AU95" i="1" s="1"/>
  <c r="AL94" i="1"/>
  <c r="AL93" i="1"/>
  <c r="AW93" i="1" s="1"/>
  <c r="AL92" i="1"/>
  <c r="AQ92" i="1" s="1"/>
  <c r="AL91" i="1"/>
  <c r="AW91" i="1" s="1"/>
  <c r="AL90" i="1"/>
  <c r="AV90" i="1" s="1"/>
  <c r="AL89" i="1"/>
  <c r="AP89" i="1" s="1"/>
  <c r="AL88" i="1"/>
  <c r="AL87" i="1"/>
  <c r="AQ87" i="1" s="1"/>
  <c r="AL86" i="1"/>
  <c r="AL85" i="1"/>
  <c r="AV85" i="1" s="1"/>
  <c r="AL84" i="1"/>
  <c r="AQ84" i="1" s="1"/>
  <c r="AL83" i="1"/>
  <c r="AW83" i="1" s="1"/>
  <c r="AL82" i="1"/>
  <c r="AV82" i="1" s="1"/>
  <c r="AL81" i="1"/>
  <c r="AL80" i="1"/>
  <c r="AL79" i="1"/>
  <c r="AU79" i="1" s="1"/>
  <c r="AL78" i="1"/>
  <c r="AL77" i="1"/>
  <c r="AU77" i="1" s="1"/>
  <c r="AL76" i="1"/>
  <c r="AQ76" i="1" s="1"/>
  <c r="AL75" i="1"/>
  <c r="AW75" i="1" s="1"/>
  <c r="AL74" i="1"/>
  <c r="AV74" i="1" s="1"/>
  <c r="AL73" i="1"/>
  <c r="AL72" i="1"/>
  <c r="AV72" i="1" s="1"/>
  <c r="AL71" i="1"/>
  <c r="AU71" i="1" s="1"/>
  <c r="AL70" i="1"/>
  <c r="AL69" i="1"/>
  <c r="AW69" i="1" s="1"/>
  <c r="AL68" i="1"/>
  <c r="AQ68" i="1" s="1"/>
  <c r="AL67" i="1"/>
  <c r="AW67" i="1" s="1"/>
  <c r="AL66" i="1"/>
  <c r="AV66" i="1" s="1"/>
  <c r="AL65" i="1"/>
  <c r="AQ65" i="1" s="1"/>
  <c r="AL64" i="1"/>
  <c r="AW64" i="1" s="1"/>
  <c r="AL63" i="1"/>
  <c r="AL62" i="1"/>
  <c r="AU62" i="1" s="1"/>
  <c r="AL61" i="1"/>
  <c r="AP61" i="1" s="1"/>
  <c r="AL60" i="1"/>
  <c r="AW60" i="1" s="1"/>
  <c r="AL59" i="1"/>
  <c r="AW59" i="1" s="1"/>
  <c r="AL58" i="1"/>
  <c r="AU58" i="1" s="1"/>
  <c r="AL57" i="1"/>
  <c r="AL56" i="1"/>
  <c r="AL55" i="1"/>
  <c r="AW55" i="1" s="1"/>
  <c r="AL54" i="1"/>
  <c r="AV54" i="1" s="1"/>
  <c r="AL53" i="1"/>
  <c r="AR53" i="1" s="1"/>
  <c r="AL52" i="1"/>
  <c r="AW52" i="1" s="1"/>
  <c r="AL51" i="1"/>
  <c r="AU51" i="1" s="1"/>
  <c r="AL50" i="1"/>
  <c r="AV50" i="1" s="1"/>
  <c r="AL49" i="1"/>
  <c r="AR49" i="1" s="1"/>
  <c r="AL48" i="1"/>
  <c r="AR48" i="1" s="1"/>
  <c r="AO46" i="1"/>
  <c r="AJ46" i="1"/>
  <c r="AI46" i="1"/>
  <c r="AH46" i="1"/>
  <c r="AG46" i="1"/>
  <c r="AF46" i="1"/>
  <c r="AE46" i="1"/>
  <c r="AD46" i="1"/>
  <c r="AC46" i="1"/>
  <c r="AA46" i="1"/>
  <c r="AP100" i="1" l="1"/>
  <c r="AP147" i="1"/>
  <c r="AV69" i="1"/>
  <c r="AQ95" i="1"/>
  <c r="AV109" i="1"/>
  <c r="AV125" i="1"/>
  <c r="AR205" i="1"/>
  <c r="AV112" i="1"/>
  <c r="AW125" i="1"/>
  <c r="AT49" i="1"/>
  <c r="AQ74" i="1"/>
  <c r="AV129" i="1"/>
  <c r="AR152" i="1"/>
  <c r="AP52" i="1"/>
  <c r="AW77" i="1"/>
  <c r="AU101" i="1"/>
  <c r="AU117" i="1"/>
  <c r="AP131" i="1"/>
  <c r="AQ159" i="1"/>
  <c r="AU82" i="1"/>
  <c r="AV117" i="1"/>
  <c r="AU135" i="1"/>
  <c r="AR277" i="1"/>
  <c r="AP53" i="1"/>
  <c r="AP87" i="1"/>
  <c r="AP108" i="1"/>
  <c r="AP141" i="1"/>
  <c r="AQ201" i="1"/>
  <c r="AR58" i="1"/>
  <c r="AU141" i="1"/>
  <c r="AS287" i="1"/>
  <c r="AU109" i="1"/>
  <c r="AT102" i="1"/>
  <c r="AS102" i="1"/>
  <c r="AR102" i="1"/>
  <c r="AW102" i="1"/>
  <c r="AV102" i="1"/>
  <c r="AU102" i="1"/>
  <c r="AQ102" i="1"/>
  <c r="AP102" i="1"/>
  <c r="AP158" i="1"/>
  <c r="AW158" i="1"/>
  <c r="AS158" i="1"/>
  <c r="AR158" i="1"/>
  <c r="AQ158" i="1"/>
  <c r="AV158" i="1"/>
  <c r="AU158" i="1"/>
  <c r="AT158" i="1"/>
  <c r="AV214" i="1"/>
  <c r="AQ214" i="1"/>
  <c r="AP214" i="1"/>
  <c r="AW214" i="1"/>
  <c r="AU214" i="1"/>
  <c r="AT214" i="1"/>
  <c r="AW262" i="1"/>
  <c r="AV262" i="1"/>
  <c r="AU262" i="1"/>
  <c r="AT262" i="1"/>
  <c r="AS262" i="1"/>
  <c r="AQ262" i="1"/>
  <c r="AP262" i="1"/>
  <c r="AT230" i="1"/>
  <c r="AT63" i="1"/>
  <c r="AS63" i="1"/>
  <c r="AR63" i="1"/>
  <c r="AQ63" i="1"/>
  <c r="AP63" i="1"/>
  <c r="AT143" i="1"/>
  <c r="AS143" i="1"/>
  <c r="AR143" i="1"/>
  <c r="AQ143" i="1"/>
  <c r="AW143" i="1"/>
  <c r="AP175" i="1"/>
  <c r="AW175" i="1"/>
  <c r="AV175" i="1"/>
  <c r="AT175" i="1"/>
  <c r="AS175" i="1"/>
  <c r="AR175" i="1"/>
  <c r="AQ175" i="1"/>
  <c r="AU175" i="1"/>
  <c r="AV199" i="1"/>
  <c r="AR199" i="1"/>
  <c r="AQ199" i="1"/>
  <c r="AP199" i="1"/>
  <c r="AS199" i="1"/>
  <c r="AW199" i="1"/>
  <c r="AU199" i="1"/>
  <c r="AT199" i="1"/>
  <c r="AV207" i="1"/>
  <c r="AR207" i="1"/>
  <c r="AQ207" i="1"/>
  <c r="AP207" i="1"/>
  <c r="AW207" i="1"/>
  <c r="AU207" i="1"/>
  <c r="AT207" i="1"/>
  <c r="AS207" i="1"/>
  <c r="AV215" i="1"/>
  <c r="AR215" i="1"/>
  <c r="AQ215" i="1"/>
  <c r="AP215" i="1"/>
  <c r="AW215" i="1"/>
  <c r="AU215" i="1"/>
  <c r="AT215" i="1"/>
  <c r="AS215" i="1"/>
  <c r="AW223" i="1"/>
  <c r="AV223" i="1"/>
  <c r="AP223" i="1"/>
  <c r="AQ223" i="1"/>
  <c r="AU223" i="1"/>
  <c r="AT223" i="1"/>
  <c r="AS223" i="1"/>
  <c r="AW231" i="1"/>
  <c r="AV231" i="1"/>
  <c r="AP231" i="1"/>
  <c r="AU231" i="1"/>
  <c r="AT231" i="1"/>
  <c r="AS231" i="1"/>
  <c r="AR231" i="1"/>
  <c r="AQ231" i="1"/>
  <c r="AW239" i="1"/>
  <c r="AV239" i="1"/>
  <c r="AP239" i="1"/>
  <c r="AQ239" i="1"/>
  <c r="AU239" i="1"/>
  <c r="AT239" i="1"/>
  <c r="AS239" i="1"/>
  <c r="AR239" i="1"/>
  <c r="AW247" i="1"/>
  <c r="AV247" i="1"/>
  <c r="AU247" i="1"/>
  <c r="AR247" i="1"/>
  <c r="AQ247" i="1"/>
  <c r="AP247" i="1"/>
  <c r="AT247" i="1"/>
  <c r="AS247" i="1"/>
  <c r="AW255" i="1"/>
  <c r="AV255" i="1"/>
  <c r="AU255" i="1"/>
  <c r="AT255" i="1"/>
  <c r="AS255" i="1"/>
  <c r="AR255" i="1"/>
  <c r="AQ255" i="1"/>
  <c r="AP255" i="1"/>
  <c r="AW263" i="1"/>
  <c r="AV263" i="1"/>
  <c r="AU263" i="1"/>
  <c r="AT263" i="1"/>
  <c r="AS263" i="1"/>
  <c r="AR263" i="1"/>
  <c r="AQ48" i="1"/>
  <c r="AQ50" i="1"/>
  <c r="AU55" i="1"/>
  <c r="AR62" i="1"/>
  <c r="AQ66" i="1"/>
  <c r="AU74" i="1"/>
  <c r="AP79" i="1"/>
  <c r="AV104" i="1"/>
  <c r="AQ167" i="1"/>
  <c r="AS174" i="1"/>
  <c r="AR214" i="1"/>
  <c r="AQ263" i="1"/>
  <c r="AT94" i="1"/>
  <c r="AS94" i="1"/>
  <c r="AR94" i="1"/>
  <c r="AW94" i="1"/>
  <c r="AV94" i="1"/>
  <c r="AU94" i="1"/>
  <c r="AQ94" i="1"/>
  <c r="AP94" i="1"/>
  <c r="AP150" i="1"/>
  <c r="AW150" i="1"/>
  <c r="AV150" i="1"/>
  <c r="AU150" i="1"/>
  <c r="AT150" i="1"/>
  <c r="AS150" i="1"/>
  <c r="AR150" i="1"/>
  <c r="AV206" i="1"/>
  <c r="AQ206" i="1"/>
  <c r="AP206" i="1"/>
  <c r="AT206" i="1"/>
  <c r="AS206" i="1"/>
  <c r="AR206" i="1"/>
  <c r="AW206" i="1"/>
  <c r="AU206" i="1"/>
  <c r="AW254" i="1"/>
  <c r="AV254" i="1"/>
  <c r="AU254" i="1"/>
  <c r="AT254" i="1"/>
  <c r="AS254" i="1"/>
  <c r="AR254" i="1"/>
  <c r="AQ254" i="1"/>
  <c r="AT87" i="1"/>
  <c r="AS87" i="1"/>
  <c r="AR87" i="1"/>
  <c r="AW87" i="1"/>
  <c r="AV87" i="1"/>
  <c r="AT135" i="1"/>
  <c r="AS135" i="1"/>
  <c r="AR135" i="1"/>
  <c r="AQ135" i="1"/>
  <c r="AW135" i="1"/>
  <c r="AP159" i="1"/>
  <c r="AW159" i="1"/>
  <c r="AU159" i="1"/>
  <c r="AT159" i="1"/>
  <c r="AS159" i="1"/>
  <c r="AR159" i="1"/>
  <c r="AT56" i="1"/>
  <c r="AS56" i="1"/>
  <c r="AV56" i="1"/>
  <c r="AU56" i="1"/>
  <c r="AR56" i="1"/>
  <c r="AQ56" i="1"/>
  <c r="AP56" i="1"/>
  <c r="AT96" i="1"/>
  <c r="AS96" i="1"/>
  <c r="AR96" i="1"/>
  <c r="AU96" i="1"/>
  <c r="AQ96" i="1"/>
  <c r="AP96" i="1"/>
  <c r="AT128" i="1"/>
  <c r="AS128" i="1"/>
  <c r="AR128" i="1"/>
  <c r="AQ128" i="1"/>
  <c r="AW128" i="1"/>
  <c r="AV128" i="1"/>
  <c r="AU128" i="1"/>
  <c r="AP128" i="1"/>
  <c r="AT136" i="1"/>
  <c r="AS136" i="1"/>
  <c r="AR136" i="1"/>
  <c r="AQ136" i="1"/>
  <c r="AW136" i="1"/>
  <c r="AV136" i="1"/>
  <c r="AU136" i="1"/>
  <c r="AP136" i="1"/>
  <c r="AT144" i="1"/>
  <c r="AS144" i="1"/>
  <c r="AR144" i="1"/>
  <c r="AQ144" i="1"/>
  <c r="AW144" i="1"/>
  <c r="AV144" i="1"/>
  <c r="AU144" i="1"/>
  <c r="AP144" i="1"/>
  <c r="AP152" i="1"/>
  <c r="AQ152" i="1"/>
  <c r="AW152" i="1"/>
  <c r="AV152" i="1"/>
  <c r="AU152" i="1"/>
  <c r="AT152" i="1"/>
  <c r="AP160" i="1"/>
  <c r="AW160" i="1"/>
  <c r="AV160" i="1"/>
  <c r="AU160" i="1"/>
  <c r="AT160" i="1"/>
  <c r="AS160" i="1"/>
  <c r="AR160" i="1"/>
  <c r="AP168" i="1"/>
  <c r="AW168" i="1"/>
  <c r="AV168" i="1"/>
  <c r="AU168" i="1"/>
  <c r="AT168" i="1"/>
  <c r="AS168" i="1"/>
  <c r="AR168" i="1"/>
  <c r="AP176" i="1"/>
  <c r="AW176" i="1"/>
  <c r="AV176" i="1"/>
  <c r="AU176" i="1"/>
  <c r="AT176" i="1"/>
  <c r="AR176" i="1"/>
  <c r="AQ176" i="1"/>
  <c r="AP184" i="1"/>
  <c r="AW184" i="1"/>
  <c r="AV184" i="1"/>
  <c r="AU184" i="1"/>
  <c r="AT184" i="1"/>
  <c r="AS184" i="1"/>
  <c r="AR184" i="1"/>
  <c r="AV192" i="1"/>
  <c r="AS192" i="1"/>
  <c r="AR192" i="1"/>
  <c r="AQ192" i="1"/>
  <c r="AU192" i="1"/>
  <c r="AT192" i="1"/>
  <c r="AP192" i="1"/>
  <c r="AV200" i="1"/>
  <c r="AS200" i="1"/>
  <c r="AR200" i="1"/>
  <c r="AQ200" i="1"/>
  <c r="AW200" i="1"/>
  <c r="AU200" i="1"/>
  <c r="AT200" i="1"/>
  <c r="AV208" i="1"/>
  <c r="AS208" i="1"/>
  <c r="AR208" i="1"/>
  <c r="AQ208" i="1"/>
  <c r="AT208" i="1"/>
  <c r="AP208" i="1"/>
  <c r="AV216" i="1"/>
  <c r="AU216" i="1"/>
  <c r="AS216" i="1"/>
  <c r="AR216" i="1"/>
  <c r="AQ216" i="1"/>
  <c r="AP216" i="1"/>
  <c r="AW216" i="1"/>
  <c r="AT216" i="1"/>
  <c r="AW224" i="1"/>
  <c r="AV224" i="1"/>
  <c r="AR224" i="1"/>
  <c r="AQ224" i="1"/>
  <c r="AU224" i="1"/>
  <c r="AT224" i="1"/>
  <c r="AS224" i="1"/>
  <c r="AP224" i="1"/>
  <c r="AW232" i="1"/>
  <c r="AV232" i="1"/>
  <c r="AR232" i="1"/>
  <c r="AQ232" i="1"/>
  <c r="AU232" i="1"/>
  <c r="AT232" i="1"/>
  <c r="AS232" i="1"/>
  <c r="AP232" i="1"/>
  <c r="AW240" i="1"/>
  <c r="AV240" i="1"/>
  <c r="AU240" i="1"/>
  <c r="AR240" i="1"/>
  <c r="AQ240" i="1"/>
  <c r="AT240" i="1"/>
  <c r="AS240" i="1"/>
  <c r="AP240" i="1"/>
  <c r="AW248" i="1"/>
  <c r="AV248" i="1"/>
  <c r="AU248" i="1"/>
  <c r="AR248" i="1"/>
  <c r="AQ248" i="1"/>
  <c r="AT248" i="1"/>
  <c r="AS248" i="1"/>
  <c r="AP248" i="1"/>
  <c r="AR50" i="1"/>
  <c r="AV55" i="1"/>
  <c r="AU59" i="1"/>
  <c r="AU66" i="1"/>
  <c r="AP71" i="1"/>
  <c r="AQ79" i="1"/>
  <c r="AU87" i="1"/>
  <c r="AP92" i="1"/>
  <c r="AV96" i="1"/>
  <c r="AQ122" i="1"/>
  <c r="AU131" i="1"/>
  <c r="AU147" i="1"/>
  <c r="AQ160" i="1"/>
  <c r="AS176" i="1"/>
  <c r="AQ184" i="1"/>
  <c r="AP194" i="1"/>
  <c r="AS214" i="1"/>
  <c r="AT54" i="1"/>
  <c r="AS54" i="1"/>
  <c r="AP54" i="1"/>
  <c r="AW54" i="1"/>
  <c r="AT110" i="1"/>
  <c r="AS110" i="1"/>
  <c r="AR110" i="1"/>
  <c r="AW110" i="1"/>
  <c r="AV110" i="1"/>
  <c r="AU110" i="1"/>
  <c r="AQ110" i="1"/>
  <c r="AP110" i="1"/>
  <c r="AP166" i="1"/>
  <c r="AW166" i="1"/>
  <c r="AS166" i="1"/>
  <c r="AR166" i="1"/>
  <c r="AQ166" i="1"/>
  <c r="AV166" i="1"/>
  <c r="AU166" i="1"/>
  <c r="AT166" i="1"/>
  <c r="AW222" i="1"/>
  <c r="AV222" i="1"/>
  <c r="AU222" i="1"/>
  <c r="AT222" i="1"/>
  <c r="AS222" i="1"/>
  <c r="AR222" i="1"/>
  <c r="AQ222" i="1"/>
  <c r="AP222" i="1"/>
  <c r="AW48" i="1"/>
  <c r="AP48" i="1"/>
  <c r="AV48" i="1"/>
  <c r="AU48" i="1"/>
  <c r="AT103" i="1"/>
  <c r="AS103" i="1"/>
  <c r="AR103" i="1"/>
  <c r="AW103" i="1"/>
  <c r="AV103" i="1"/>
  <c r="AP151" i="1"/>
  <c r="AW151" i="1"/>
  <c r="AV151" i="1"/>
  <c r="AU151" i="1"/>
  <c r="AS151" i="1"/>
  <c r="AR151" i="1"/>
  <c r="AQ151" i="1"/>
  <c r="AT88" i="1"/>
  <c r="AS88" i="1"/>
  <c r="AR88" i="1"/>
  <c r="AU88" i="1"/>
  <c r="AQ88" i="1"/>
  <c r="AP88" i="1"/>
  <c r="AT57" i="1"/>
  <c r="AS57" i="1"/>
  <c r="AW57" i="1"/>
  <c r="AV57" i="1"/>
  <c r="AU57" i="1"/>
  <c r="AR57" i="1"/>
  <c r="AT97" i="1"/>
  <c r="AS97" i="1"/>
  <c r="AR97" i="1"/>
  <c r="AW97" i="1"/>
  <c r="AV97" i="1"/>
  <c r="AU97" i="1"/>
  <c r="AQ97" i="1"/>
  <c r="AT137" i="1"/>
  <c r="AS137" i="1"/>
  <c r="AR137" i="1"/>
  <c r="AQ137" i="1"/>
  <c r="AW137" i="1"/>
  <c r="AP161" i="1"/>
  <c r="AW161" i="1"/>
  <c r="AQ161" i="1"/>
  <c r="AV161" i="1"/>
  <c r="AT161" i="1"/>
  <c r="AS161" i="1"/>
  <c r="AR161" i="1"/>
  <c r="AP177" i="1"/>
  <c r="AW177" i="1"/>
  <c r="AV177" i="1"/>
  <c r="AR177" i="1"/>
  <c r="AQ177" i="1"/>
  <c r="AU177" i="1"/>
  <c r="AP185" i="1"/>
  <c r="AW185" i="1"/>
  <c r="AV185" i="1"/>
  <c r="AR185" i="1"/>
  <c r="AQ185" i="1"/>
  <c r="AU185" i="1"/>
  <c r="AT185" i="1"/>
  <c r="AS185" i="1"/>
  <c r="AV193" i="1"/>
  <c r="AT193" i="1"/>
  <c r="AS193" i="1"/>
  <c r="AR193" i="1"/>
  <c r="AW193" i="1"/>
  <c r="AU193" i="1"/>
  <c r="AQ193" i="1"/>
  <c r="AP193" i="1"/>
  <c r="AV201" i="1"/>
  <c r="AT201" i="1"/>
  <c r="AS201" i="1"/>
  <c r="AR201" i="1"/>
  <c r="AP201" i="1"/>
  <c r="AW201" i="1"/>
  <c r="AV209" i="1"/>
  <c r="AT209" i="1"/>
  <c r="AS209" i="1"/>
  <c r="AR209" i="1"/>
  <c r="AW209" i="1"/>
  <c r="AU209" i="1"/>
  <c r="AQ209" i="1"/>
  <c r="AV217" i="1"/>
  <c r="AU217" i="1"/>
  <c r="AW217" i="1"/>
  <c r="AT217" i="1"/>
  <c r="AS217" i="1"/>
  <c r="AR217" i="1"/>
  <c r="AQ217" i="1"/>
  <c r="AP217" i="1"/>
  <c r="AW225" i="1"/>
  <c r="AV225" i="1"/>
  <c r="AT225" i="1"/>
  <c r="AS225" i="1"/>
  <c r="AU225" i="1"/>
  <c r="AR225" i="1"/>
  <c r="AQ225" i="1"/>
  <c r="AP225" i="1"/>
  <c r="AW233" i="1"/>
  <c r="AV233" i="1"/>
  <c r="AT233" i="1"/>
  <c r="AS233" i="1"/>
  <c r="AU233" i="1"/>
  <c r="AR233" i="1"/>
  <c r="AQ233" i="1"/>
  <c r="AP233" i="1"/>
  <c r="AW241" i="1"/>
  <c r="AV241" i="1"/>
  <c r="AU241" i="1"/>
  <c r="AT241" i="1"/>
  <c r="AP241" i="1"/>
  <c r="AS241" i="1"/>
  <c r="AW249" i="1"/>
  <c r="AV249" i="1"/>
  <c r="AU249" i="1"/>
  <c r="AT249" i="1"/>
  <c r="AR249" i="1"/>
  <c r="AQ249" i="1"/>
  <c r="AP249" i="1"/>
  <c r="AS249" i="1"/>
  <c r="AW257" i="1"/>
  <c r="AV257" i="1"/>
  <c r="AU257" i="1"/>
  <c r="AT257" i="1"/>
  <c r="AS257" i="1"/>
  <c r="AR257" i="1"/>
  <c r="AQ257" i="1"/>
  <c r="AP257" i="1"/>
  <c r="AW265" i="1"/>
  <c r="AV265" i="1"/>
  <c r="AU265" i="1"/>
  <c r="AT265" i="1"/>
  <c r="AS265" i="1"/>
  <c r="AR265" i="1"/>
  <c r="AQ265" i="1"/>
  <c r="AP265" i="1"/>
  <c r="AW273" i="1"/>
  <c r="AV273" i="1"/>
  <c r="AU273" i="1"/>
  <c r="AT273" i="1"/>
  <c r="AS273" i="1"/>
  <c r="AR273" i="1"/>
  <c r="AQ273" i="1"/>
  <c r="AP273" i="1"/>
  <c r="AW281" i="1"/>
  <c r="AV281" i="1"/>
  <c r="AU281" i="1"/>
  <c r="AT281" i="1"/>
  <c r="AS281" i="1"/>
  <c r="AR281" i="1"/>
  <c r="AQ281" i="1"/>
  <c r="AP281" i="1"/>
  <c r="AW289" i="1"/>
  <c r="AV289" i="1"/>
  <c r="AU289" i="1"/>
  <c r="AT289" i="1"/>
  <c r="AS289" i="1"/>
  <c r="AR289" i="1"/>
  <c r="AQ289" i="1"/>
  <c r="AP289" i="1"/>
  <c r="AW297" i="1"/>
  <c r="AV297" i="1"/>
  <c r="AU297" i="1"/>
  <c r="AT297" i="1"/>
  <c r="AS297" i="1"/>
  <c r="AQ297" i="1"/>
  <c r="AP297" i="1"/>
  <c r="AR297" i="1"/>
  <c r="AS48" i="1"/>
  <c r="AU50" i="1"/>
  <c r="AQ53" i="1"/>
  <c r="AV59" i="1"/>
  <c r="AU63" i="1"/>
  <c r="AQ71" i="1"/>
  <c r="AP84" i="1"/>
  <c r="AV88" i="1"/>
  <c r="AW96" i="1"/>
  <c r="AU137" i="1"/>
  <c r="AP143" i="1"/>
  <c r="AU161" i="1"/>
  <c r="AQ168" i="1"/>
  <c r="AS177" i="1"/>
  <c r="AR241" i="1"/>
  <c r="AT86" i="1"/>
  <c r="AS86" i="1"/>
  <c r="AR86" i="1"/>
  <c r="AW86" i="1"/>
  <c r="AV86" i="1"/>
  <c r="AU86" i="1"/>
  <c r="AQ86" i="1"/>
  <c r="AP86" i="1"/>
  <c r="AT142" i="1"/>
  <c r="AS142" i="1"/>
  <c r="AR142" i="1"/>
  <c r="AQ142" i="1"/>
  <c r="AW142" i="1"/>
  <c r="AV142" i="1"/>
  <c r="AU142" i="1"/>
  <c r="AP142" i="1"/>
  <c r="AV190" i="1"/>
  <c r="AQ190" i="1"/>
  <c r="AP190" i="1"/>
  <c r="AR190" i="1"/>
  <c r="AW190" i="1"/>
  <c r="AU190" i="1"/>
  <c r="AW238" i="1"/>
  <c r="AV238" i="1"/>
  <c r="AU238" i="1"/>
  <c r="AT238" i="1"/>
  <c r="AS238" i="1"/>
  <c r="AR238" i="1"/>
  <c r="AQ238" i="1"/>
  <c r="AT190" i="1"/>
  <c r="AT79" i="1"/>
  <c r="AS79" i="1"/>
  <c r="AR79" i="1"/>
  <c r="AW79" i="1"/>
  <c r="AV79" i="1"/>
  <c r="AT127" i="1"/>
  <c r="AS127" i="1"/>
  <c r="AR127" i="1"/>
  <c r="AQ127" i="1"/>
  <c r="AW127" i="1"/>
  <c r="AV191" i="1"/>
  <c r="AR191" i="1"/>
  <c r="AQ191" i="1"/>
  <c r="AP191" i="1"/>
  <c r="AW191" i="1"/>
  <c r="AU191" i="1"/>
  <c r="AT191" i="1"/>
  <c r="AS191" i="1"/>
  <c r="AT80" i="1"/>
  <c r="AS80" i="1"/>
  <c r="AR80" i="1"/>
  <c r="AU80" i="1"/>
  <c r="AQ80" i="1"/>
  <c r="AP80" i="1"/>
  <c r="AT112" i="1"/>
  <c r="AS112" i="1"/>
  <c r="AR112" i="1"/>
  <c r="AU112" i="1"/>
  <c r="AQ112" i="1"/>
  <c r="AP112" i="1"/>
  <c r="AT65" i="1"/>
  <c r="AS65" i="1"/>
  <c r="AW65" i="1"/>
  <c r="AV65" i="1"/>
  <c r="AU65" i="1"/>
  <c r="AR65" i="1"/>
  <c r="AT105" i="1"/>
  <c r="AS105" i="1"/>
  <c r="AR105" i="1"/>
  <c r="AW105" i="1"/>
  <c r="AV105" i="1"/>
  <c r="AU105" i="1"/>
  <c r="AQ105" i="1"/>
  <c r="AT74" i="1"/>
  <c r="AS74" i="1"/>
  <c r="AR74" i="1"/>
  <c r="AP74" i="1"/>
  <c r="AW74" i="1"/>
  <c r="AT98" i="1"/>
  <c r="AS98" i="1"/>
  <c r="AR98" i="1"/>
  <c r="AP98" i="1"/>
  <c r="AW98" i="1"/>
  <c r="AT114" i="1"/>
  <c r="AS114" i="1"/>
  <c r="AR114" i="1"/>
  <c r="AP114" i="1"/>
  <c r="AW114" i="1"/>
  <c r="AT122" i="1"/>
  <c r="AS122" i="1"/>
  <c r="AR122" i="1"/>
  <c r="AP122" i="1"/>
  <c r="AW122" i="1"/>
  <c r="AT130" i="1"/>
  <c r="AS130" i="1"/>
  <c r="AR130" i="1"/>
  <c r="AQ130" i="1"/>
  <c r="AW130" i="1"/>
  <c r="AV130" i="1"/>
  <c r="AU130" i="1"/>
  <c r="AP130" i="1"/>
  <c r="AT138" i="1"/>
  <c r="AS138" i="1"/>
  <c r="AR138" i="1"/>
  <c r="AQ138" i="1"/>
  <c r="AW138" i="1"/>
  <c r="AV138" i="1"/>
  <c r="AU138" i="1"/>
  <c r="AP138" i="1"/>
  <c r="AT146" i="1"/>
  <c r="AS146" i="1"/>
  <c r="AR146" i="1"/>
  <c r="AQ146" i="1"/>
  <c r="AW146" i="1"/>
  <c r="AV146" i="1"/>
  <c r="AU146" i="1"/>
  <c r="AP146" i="1"/>
  <c r="AP154" i="1"/>
  <c r="AW154" i="1"/>
  <c r="AS154" i="1"/>
  <c r="AR154" i="1"/>
  <c r="AQ154" i="1"/>
  <c r="AV154" i="1"/>
  <c r="AP162" i="1"/>
  <c r="AW162" i="1"/>
  <c r="AS162" i="1"/>
  <c r="AR162" i="1"/>
  <c r="AQ162" i="1"/>
  <c r="AV162" i="1"/>
  <c r="AP170" i="1"/>
  <c r="AW170" i="1"/>
  <c r="AV170" i="1"/>
  <c r="AU170" i="1"/>
  <c r="AT170" i="1"/>
  <c r="AS170" i="1"/>
  <c r="AR170" i="1"/>
  <c r="AP178" i="1"/>
  <c r="AW178" i="1"/>
  <c r="AV178" i="1"/>
  <c r="AU178" i="1"/>
  <c r="AT178" i="1"/>
  <c r="AS178" i="1"/>
  <c r="AR178" i="1"/>
  <c r="AQ178" i="1"/>
  <c r="AP186" i="1"/>
  <c r="AW186" i="1"/>
  <c r="AV186" i="1"/>
  <c r="AU186" i="1"/>
  <c r="AT186" i="1"/>
  <c r="AS186" i="1"/>
  <c r="AR186" i="1"/>
  <c r="AV194" i="1"/>
  <c r="AU194" i="1"/>
  <c r="AT194" i="1"/>
  <c r="AS194" i="1"/>
  <c r="AW194" i="1"/>
  <c r="AR194" i="1"/>
  <c r="AV202" i="1"/>
  <c r="AU202" i="1"/>
  <c r="AT202" i="1"/>
  <c r="AS202" i="1"/>
  <c r="AW202" i="1"/>
  <c r="AR202" i="1"/>
  <c r="AQ202" i="1"/>
  <c r="AP202" i="1"/>
  <c r="AV210" i="1"/>
  <c r="AU210" i="1"/>
  <c r="AT210" i="1"/>
  <c r="AS210" i="1"/>
  <c r="AQ210" i="1"/>
  <c r="AP210" i="1"/>
  <c r="AW210" i="1"/>
  <c r="AR210" i="1"/>
  <c r="AW218" i="1"/>
  <c r="AV218" i="1"/>
  <c r="AU218" i="1"/>
  <c r="AT218" i="1"/>
  <c r="AS218" i="1"/>
  <c r="AR218" i="1"/>
  <c r="AQ218" i="1"/>
  <c r="AP218" i="1"/>
  <c r="AW226" i="1"/>
  <c r="AV226" i="1"/>
  <c r="AU226" i="1"/>
  <c r="AS226" i="1"/>
  <c r="AR226" i="1"/>
  <c r="AQ226" i="1"/>
  <c r="AP226" i="1"/>
  <c r="AT226" i="1"/>
  <c r="AW234" i="1"/>
  <c r="AV234" i="1"/>
  <c r="AU234" i="1"/>
  <c r="AT234" i="1"/>
  <c r="AS234" i="1"/>
  <c r="AR234" i="1"/>
  <c r="AQ234" i="1"/>
  <c r="AP234" i="1"/>
  <c r="AW242" i="1"/>
  <c r="AV242" i="1"/>
  <c r="AU242" i="1"/>
  <c r="AP242" i="1"/>
  <c r="AT242" i="1"/>
  <c r="AS242" i="1"/>
  <c r="AR242" i="1"/>
  <c r="AQ242" i="1"/>
  <c r="AW250" i="1"/>
  <c r="AV250" i="1"/>
  <c r="AU250" i="1"/>
  <c r="AP250" i="1"/>
  <c r="AT250" i="1"/>
  <c r="AS250" i="1"/>
  <c r="AW258" i="1"/>
  <c r="AV258" i="1"/>
  <c r="AU258" i="1"/>
  <c r="AP258" i="1"/>
  <c r="AQ258" i="1"/>
  <c r="AT258" i="1"/>
  <c r="AS258" i="1"/>
  <c r="AR258" i="1"/>
  <c r="AW266" i="1"/>
  <c r="AV266" i="1"/>
  <c r="AU266" i="1"/>
  <c r="AP266" i="1"/>
  <c r="AS266" i="1"/>
  <c r="AR266" i="1"/>
  <c r="AQ266" i="1"/>
  <c r="AT266" i="1"/>
  <c r="AW274" i="1"/>
  <c r="AV274" i="1"/>
  <c r="AU274" i="1"/>
  <c r="AP274" i="1"/>
  <c r="AR274" i="1"/>
  <c r="AQ274" i="1"/>
  <c r="AT274" i="1"/>
  <c r="AS274" i="1"/>
  <c r="AW282" i="1"/>
  <c r="AV282" i="1"/>
  <c r="AU282" i="1"/>
  <c r="AP282" i="1"/>
  <c r="AQ282" i="1"/>
  <c r="AT282" i="1"/>
  <c r="AS282" i="1"/>
  <c r="AR282" i="1"/>
  <c r="AW290" i="1"/>
  <c r="AV290" i="1"/>
  <c r="AU290" i="1"/>
  <c r="AP290" i="1"/>
  <c r="AT290" i="1"/>
  <c r="AS290" i="1"/>
  <c r="AR290" i="1"/>
  <c r="AQ290" i="1"/>
  <c r="AW298" i="1"/>
  <c r="AV298" i="1"/>
  <c r="AU298" i="1"/>
  <c r="AP298" i="1"/>
  <c r="AT298" i="1"/>
  <c r="AS298" i="1"/>
  <c r="AR298" i="1"/>
  <c r="AQ298" i="1"/>
  <c r="AT48" i="1"/>
  <c r="AW56" i="1"/>
  <c r="AV63" i="1"/>
  <c r="AP76" i="1"/>
  <c r="AV80" i="1"/>
  <c r="AW88" i="1"/>
  <c r="AU93" i="1"/>
  <c r="AP97" i="1"/>
  <c r="AV101" i="1"/>
  <c r="AQ106" i="1"/>
  <c r="AU114" i="1"/>
  <c r="AP119" i="1"/>
  <c r="AV122" i="1"/>
  <c r="AU127" i="1"/>
  <c r="AP133" i="1"/>
  <c r="AV137" i="1"/>
  <c r="AU143" i="1"/>
  <c r="AR149" i="1"/>
  <c r="AU154" i="1"/>
  <c r="AT162" i="1"/>
  <c r="AQ170" i="1"/>
  <c r="AT177" i="1"/>
  <c r="AQ250" i="1"/>
  <c r="AT62" i="1"/>
  <c r="AS62" i="1"/>
  <c r="AP62" i="1"/>
  <c r="AW62" i="1"/>
  <c r="AV62" i="1"/>
  <c r="AT118" i="1"/>
  <c r="AS118" i="1"/>
  <c r="AR118" i="1"/>
  <c r="AW118" i="1"/>
  <c r="AV118" i="1"/>
  <c r="AU118" i="1"/>
  <c r="AQ118" i="1"/>
  <c r="AP118" i="1"/>
  <c r="AP182" i="1"/>
  <c r="AW182" i="1"/>
  <c r="AV182" i="1"/>
  <c r="AQ182" i="1"/>
  <c r="AT182" i="1"/>
  <c r="AS182" i="1"/>
  <c r="AR182" i="1"/>
  <c r="AW270" i="1"/>
  <c r="AV270" i="1"/>
  <c r="AU270" i="1"/>
  <c r="AT270" i="1"/>
  <c r="AS270" i="1"/>
  <c r="AR270" i="1"/>
  <c r="AQ270" i="1"/>
  <c r="AP270" i="1"/>
  <c r="AT95" i="1"/>
  <c r="AS95" i="1"/>
  <c r="AR95" i="1"/>
  <c r="AW95" i="1"/>
  <c r="AV95" i="1"/>
  <c r="AT81" i="1"/>
  <c r="AS81" i="1"/>
  <c r="AR81" i="1"/>
  <c r="AW81" i="1"/>
  <c r="AV81" i="1"/>
  <c r="AU81" i="1"/>
  <c r="AQ81" i="1"/>
  <c r="AT121" i="1"/>
  <c r="AS121" i="1"/>
  <c r="AR121" i="1"/>
  <c r="AW121" i="1"/>
  <c r="AV121" i="1"/>
  <c r="AU121" i="1"/>
  <c r="AQ121" i="1"/>
  <c r="AT82" i="1"/>
  <c r="AS82" i="1"/>
  <c r="AR82" i="1"/>
  <c r="AP82" i="1"/>
  <c r="AW82" i="1"/>
  <c r="AT59" i="1"/>
  <c r="AS59" i="1"/>
  <c r="AR59" i="1"/>
  <c r="AQ59" i="1"/>
  <c r="AP59" i="1"/>
  <c r="AT83" i="1"/>
  <c r="AS83" i="1"/>
  <c r="AR83" i="1"/>
  <c r="AV83" i="1"/>
  <c r="AU83" i="1"/>
  <c r="AQ83" i="1"/>
  <c r="AP83" i="1"/>
  <c r="AT99" i="1"/>
  <c r="AS99" i="1"/>
  <c r="AR99" i="1"/>
  <c r="AV99" i="1"/>
  <c r="AU99" i="1"/>
  <c r="AQ99" i="1"/>
  <c r="AP99" i="1"/>
  <c r="AT107" i="1"/>
  <c r="AS107" i="1"/>
  <c r="AR107" i="1"/>
  <c r="AV107" i="1"/>
  <c r="AU107" i="1"/>
  <c r="AQ107" i="1"/>
  <c r="AP107" i="1"/>
  <c r="AT115" i="1"/>
  <c r="AS115" i="1"/>
  <c r="AR115" i="1"/>
  <c r="AV115" i="1"/>
  <c r="AU115" i="1"/>
  <c r="AQ115" i="1"/>
  <c r="AP115" i="1"/>
  <c r="AT123" i="1"/>
  <c r="AS123" i="1"/>
  <c r="AR123" i="1"/>
  <c r="AV123" i="1"/>
  <c r="AU123" i="1"/>
  <c r="AQ123" i="1"/>
  <c r="AP123" i="1"/>
  <c r="AT131" i="1"/>
  <c r="AS131" i="1"/>
  <c r="AR131" i="1"/>
  <c r="AQ131" i="1"/>
  <c r="AW131" i="1"/>
  <c r="AT139" i="1"/>
  <c r="AS139" i="1"/>
  <c r="AR139" i="1"/>
  <c r="AQ139" i="1"/>
  <c r="AW139" i="1"/>
  <c r="AT147" i="1"/>
  <c r="AS147" i="1"/>
  <c r="AR147" i="1"/>
  <c r="AQ147" i="1"/>
  <c r="AW147" i="1"/>
  <c r="AP155" i="1"/>
  <c r="AW155" i="1"/>
  <c r="AU155" i="1"/>
  <c r="AT155" i="1"/>
  <c r="AS155" i="1"/>
  <c r="AR155" i="1"/>
  <c r="AV155" i="1"/>
  <c r="AQ155" i="1"/>
  <c r="AP163" i="1"/>
  <c r="AW163" i="1"/>
  <c r="AU163" i="1"/>
  <c r="AT163" i="1"/>
  <c r="AS163" i="1"/>
  <c r="AR163" i="1"/>
  <c r="AV163" i="1"/>
  <c r="AQ163" i="1"/>
  <c r="AP171" i="1"/>
  <c r="AW171" i="1"/>
  <c r="AV171" i="1"/>
  <c r="AU171" i="1"/>
  <c r="AT171" i="1"/>
  <c r="AS171" i="1"/>
  <c r="AP179" i="1"/>
  <c r="AW179" i="1"/>
  <c r="AV179" i="1"/>
  <c r="AU179" i="1"/>
  <c r="AS179" i="1"/>
  <c r="AR179" i="1"/>
  <c r="AQ179" i="1"/>
  <c r="AP187" i="1"/>
  <c r="AW187" i="1"/>
  <c r="AV187" i="1"/>
  <c r="AU187" i="1"/>
  <c r="AT187" i="1"/>
  <c r="AS187" i="1"/>
  <c r="AV195" i="1"/>
  <c r="AW195" i="1"/>
  <c r="AU195" i="1"/>
  <c r="AT195" i="1"/>
  <c r="AS195" i="1"/>
  <c r="AR195" i="1"/>
  <c r="AQ195" i="1"/>
  <c r="AP195" i="1"/>
  <c r="AV203" i="1"/>
  <c r="AW203" i="1"/>
  <c r="AU203" i="1"/>
  <c r="AT203" i="1"/>
  <c r="AP203" i="1"/>
  <c r="AS203" i="1"/>
  <c r="AR203" i="1"/>
  <c r="AQ203" i="1"/>
  <c r="AV211" i="1"/>
  <c r="AW211" i="1"/>
  <c r="AU211" i="1"/>
  <c r="AT211" i="1"/>
  <c r="AS211" i="1"/>
  <c r="AR211" i="1"/>
  <c r="AQ211" i="1"/>
  <c r="AP211" i="1"/>
  <c r="AW219" i="1"/>
  <c r="AV219" i="1"/>
  <c r="AP219" i="1"/>
  <c r="AS219" i="1"/>
  <c r="AR219" i="1"/>
  <c r="AQ219" i="1"/>
  <c r="AT219" i="1"/>
  <c r="AW227" i="1"/>
  <c r="AV227" i="1"/>
  <c r="AP227" i="1"/>
  <c r="AU227" i="1"/>
  <c r="AT227" i="1"/>
  <c r="AS227" i="1"/>
  <c r="AR227" i="1"/>
  <c r="AQ227" i="1"/>
  <c r="AW235" i="1"/>
  <c r="AV235" i="1"/>
  <c r="AP235" i="1"/>
  <c r="AS235" i="1"/>
  <c r="AR235" i="1"/>
  <c r="AQ235" i="1"/>
  <c r="AU235" i="1"/>
  <c r="AT235" i="1"/>
  <c r="AW243" i="1"/>
  <c r="AV243" i="1"/>
  <c r="AU243" i="1"/>
  <c r="AS243" i="1"/>
  <c r="AR243" i="1"/>
  <c r="AP243" i="1"/>
  <c r="AT243" i="1"/>
  <c r="AQ243" i="1"/>
  <c r="AW251" i="1"/>
  <c r="AV251" i="1"/>
  <c r="AU251" i="1"/>
  <c r="AS251" i="1"/>
  <c r="AR251" i="1"/>
  <c r="AT251" i="1"/>
  <c r="AQ251" i="1"/>
  <c r="AP251" i="1"/>
  <c r="AW259" i="1"/>
  <c r="AV259" i="1"/>
  <c r="AU259" i="1"/>
  <c r="AS259" i="1"/>
  <c r="AR259" i="1"/>
  <c r="AT259" i="1"/>
  <c r="AQ259" i="1"/>
  <c r="AP259" i="1"/>
  <c r="AW267" i="1"/>
  <c r="AV267" i="1"/>
  <c r="AU267" i="1"/>
  <c r="AS267" i="1"/>
  <c r="AR267" i="1"/>
  <c r="AQ267" i="1"/>
  <c r="AT267" i="1"/>
  <c r="AP267" i="1"/>
  <c r="AW275" i="1"/>
  <c r="AV275" i="1"/>
  <c r="AU275" i="1"/>
  <c r="AS275" i="1"/>
  <c r="AR275" i="1"/>
  <c r="AQ275" i="1"/>
  <c r="AT275" i="1"/>
  <c r="AP275" i="1"/>
  <c r="AW283" i="1"/>
  <c r="AV283" i="1"/>
  <c r="AU283" i="1"/>
  <c r="AS283" i="1"/>
  <c r="AR283" i="1"/>
  <c r="AQ283" i="1"/>
  <c r="AT283" i="1"/>
  <c r="AP283" i="1"/>
  <c r="AW291" i="1"/>
  <c r="AV291" i="1"/>
  <c r="AU291" i="1"/>
  <c r="AS291" i="1"/>
  <c r="AR291" i="1"/>
  <c r="AQ291" i="1"/>
  <c r="AT291" i="1"/>
  <c r="AP291" i="1"/>
  <c r="AW299" i="1"/>
  <c r="AV299" i="1"/>
  <c r="AU299" i="1"/>
  <c r="AS299" i="1"/>
  <c r="AR299" i="1"/>
  <c r="AQ299" i="1"/>
  <c r="AT299" i="1"/>
  <c r="AP299" i="1"/>
  <c r="AQ49" i="1"/>
  <c r="AQ54" i="1"/>
  <c r="AP57" i="1"/>
  <c r="AW63" i="1"/>
  <c r="AP68" i="1"/>
  <c r="AW80" i="1"/>
  <c r="AU85" i="1"/>
  <c r="AV93" i="1"/>
  <c r="AQ98" i="1"/>
  <c r="AP111" i="1"/>
  <c r="AV114" i="1"/>
  <c r="AW123" i="1"/>
  <c r="AV127" i="1"/>
  <c r="AU133" i="1"/>
  <c r="AP139" i="1"/>
  <c r="AV143" i="1"/>
  <c r="AU162" i="1"/>
  <c r="AQ171" i="1"/>
  <c r="AT179" i="1"/>
  <c r="AR187" i="1"/>
  <c r="AT197" i="1"/>
  <c r="AU208" i="1"/>
  <c r="AR223" i="1"/>
  <c r="AR250" i="1"/>
  <c r="AT78" i="1"/>
  <c r="AS78" i="1"/>
  <c r="AR78" i="1"/>
  <c r="AW78" i="1"/>
  <c r="AV78" i="1"/>
  <c r="AU78" i="1"/>
  <c r="AQ78" i="1"/>
  <c r="AP78" i="1"/>
  <c r="AT134" i="1"/>
  <c r="AS134" i="1"/>
  <c r="AR134" i="1"/>
  <c r="AQ134" i="1"/>
  <c r="AW134" i="1"/>
  <c r="AV134" i="1"/>
  <c r="AU134" i="1"/>
  <c r="AP134" i="1"/>
  <c r="AV198" i="1"/>
  <c r="AQ198" i="1"/>
  <c r="AP198" i="1"/>
  <c r="AW198" i="1"/>
  <c r="AU198" i="1"/>
  <c r="AT198" i="1"/>
  <c r="AS198" i="1"/>
  <c r="AR198" i="1"/>
  <c r="AW246" i="1"/>
  <c r="AV246" i="1"/>
  <c r="AU246" i="1"/>
  <c r="AT246" i="1"/>
  <c r="AS246" i="1"/>
  <c r="AR246" i="1"/>
  <c r="AQ246" i="1"/>
  <c r="AP246" i="1"/>
  <c r="AT71" i="1"/>
  <c r="AS71" i="1"/>
  <c r="AR71" i="1"/>
  <c r="AW71" i="1"/>
  <c r="AV71" i="1"/>
  <c r="AT119" i="1"/>
  <c r="AS119" i="1"/>
  <c r="AR119" i="1"/>
  <c r="AW119" i="1"/>
  <c r="AV119" i="1"/>
  <c r="AP183" i="1"/>
  <c r="AW183" i="1"/>
  <c r="AV183" i="1"/>
  <c r="AT183" i="1"/>
  <c r="AS183" i="1"/>
  <c r="AR183" i="1"/>
  <c r="AQ183" i="1"/>
  <c r="AT72" i="1"/>
  <c r="AS72" i="1"/>
  <c r="AR72" i="1"/>
  <c r="AU72" i="1"/>
  <c r="AQ72" i="1"/>
  <c r="AP72" i="1"/>
  <c r="AT120" i="1"/>
  <c r="AS120" i="1"/>
  <c r="AR120" i="1"/>
  <c r="AU120" i="1"/>
  <c r="AQ120" i="1"/>
  <c r="AP120" i="1"/>
  <c r="AT73" i="1"/>
  <c r="AS73" i="1"/>
  <c r="AR73" i="1"/>
  <c r="AW73" i="1"/>
  <c r="AV73" i="1"/>
  <c r="AU73" i="1"/>
  <c r="AQ73" i="1"/>
  <c r="AT113" i="1"/>
  <c r="AS113" i="1"/>
  <c r="AR113" i="1"/>
  <c r="AW113" i="1"/>
  <c r="AV113" i="1"/>
  <c r="AU113" i="1"/>
  <c r="AQ113" i="1"/>
  <c r="AT145" i="1"/>
  <c r="AS145" i="1"/>
  <c r="AR145" i="1"/>
  <c r="AQ145" i="1"/>
  <c r="AW145" i="1"/>
  <c r="AP169" i="1"/>
  <c r="AW169" i="1"/>
  <c r="AV169" i="1"/>
  <c r="AR169" i="1"/>
  <c r="AQ169" i="1"/>
  <c r="AU169" i="1"/>
  <c r="AT169" i="1"/>
  <c r="AS169" i="1"/>
  <c r="AT58" i="1"/>
  <c r="AS58" i="1"/>
  <c r="AP58" i="1"/>
  <c r="AW58" i="1"/>
  <c r="AV58" i="1"/>
  <c r="AT90" i="1"/>
  <c r="AS90" i="1"/>
  <c r="AR90" i="1"/>
  <c r="AP90" i="1"/>
  <c r="AW90" i="1"/>
  <c r="AT106" i="1"/>
  <c r="AS106" i="1"/>
  <c r="AR106" i="1"/>
  <c r="AP106" i="1"/>
  <c r="AW106" i="1"/>
  <c r="AT51" i="1"/>
  <c r="AS51" i="1"/>
  <c r="AR51" i="1"/>
  <c r="AR43" i="1" s="1" a="1"/>
  <c r="AR43" i="1" s="1"/>
  <c r="AQ51" i="1"/>
  <c r="AP51" i="1"/>
  <c r="AT67" i="1"/>
  <c r="AS67" i="1"/>
  <c r="AR67" i="1"/>
  <c r="AV67" i="1"/>
  <c r="AU67" i="1"/>
  <c r="AQ67" i="1"/>
  <c r="AP67" i="1"/>
  <c r="AT91" i="1"/>
  <c r="AS91" i="1"/>
  <c r="AR91" i="1"/>
  <c r="AV91" i="1"/>
  <c r="AU91" i="1"/>
  <c r="AQ91" i="1"/>
  <c r="AP91" i="1"/>
  <c r="AT60" i="1"/>
  <c r="AS60" i="1"/>
  <c r="AV60" i="1"/>
  <c r="AU60" i="1"/>
  <c r="AR60" i="1"/>
  <c r="AQ60" i="1"/>
  <c r="AP60" i="1"/>
  <c r="AT76" i="1"/>
  <c r="AS76" i="1"/>
  <c r="AR76" i="1"/>
  <c r="AW76" i="1"/>
  <c r="AV76" i="1"/>
  <c r="AU76" i="1"/>
  <c r="AT84" i="1"/>
  <c r="AS84" i="1"/>
  <c r="AR84" i="1"/>
  <c r="AW84" i="1"/>
  <c r="AV84" i="1"/>
  <c r="AU84" i="1"/>
  <c r="AT100" i="1"/>
  <c r="AS100" i="1"/>
  <c r="AR100" i="1"/>
  <c r="AW100" i="1"/>
  <c r="AV100" i="1"/>
  <c r="AU100" i="1"/>
  <c r="AT108" i="1"/>
  <c r="AS108" i="1"/>
  <c r="AR108" i="1"/>
  <c r="AW108" i="1"/>
  <c r="AV108" i="1"/>
  <c r="AU108" i="1"/>
  <c r="AT116" i="1"/>
  <c r="AS116" i="1"/>
  <c r="AR116" i="1"/>
  <c r="AW116" i="1"/>
  <c r="AV116" i="1"/>
  <c r="AU116" i="1"/>
  <c r="AT124" i="1"/>
  <c r="AS124" i="1"/>
  <c r="AR124" i="1"/>
  <c r="AW124" i="1"/>
  <c r="AV124" i="1"/>
  <c r="AU124" i="1"/>
  <c r="AT132" i="1"/>
  <c r="AS132" i="1"/>
  <c r="AR132" i="1"/>
  <c r="AQ132" i="1"/>
  <c r="AW132" i="1"/>
  <c r="AV132" i="1"/>
  <c r="AU132" i="1"/>
  <c r="AP132" i="1"/>
  <c r="AT140" i="1"/>
  <c r="AS140" i="1"/>
  <c r="AR140" i="1"/>
  <c r="AQ140" i="1"/>
  <c r="AW140" i="1"/>
  <c r="AV140" i="1"/>
  <c r="AU140" i="1"/>
  <c r="AP140" i="1"/>
  <c r="AP148" i="1"/>
  <c r="AU148" i="1"/>
  <c r="AT148" i="1"/>
  <c r="AS148" i="1"/>
  <c r="AR148" i="1"/>
  <c r="AW148" i="1"/>
  <c r="AV148" i="1"/>
  <c r="AQ148" i="1"/>
  <c r="AP156" i="1"/>
  <c r="AW156" i="1"/>
  <c r="AV156" i="1"/>
  <c r="AU156" i="1"/>
  <c r="AT156" i="1"/>
  <c r="AR156" i="1"/>
  <c r="AQ156" i="1"/>
  <c r="AP164" i="1"/>
  <c r="AW164" i="1"/>
  <c r="AV164" i="1"/>
  <c r="AU164" i="1"/>
  <c r="AT164" i="1"/>
  <c r="AR164" i="1"/>
  <c r="AQ164" i="1"/>
  <c r="AP172" i="1"/>
  <c r="AW172" i="1"/>
  <c r="AV172" i="1"/>
  <c r="AS172" i="1"/>
  <c r="AR172" i="1"/>
  <c r="AQ172" i="1"/>
  <c r="AU172" i="1"/>
  <c r="AT172" i="1"/>
  <c r="AP180" i="1"/>
  <c r="AW180" i="1"/>
  <c r="AV180" i="1"/>
  <c r="AS180" i="1"/>
  <c r="AR180" i="1"/>
  <c r="AQ180" i="1"/>
  <c r="AP188" i="1"/>
  <c r="AW188" i="1"/>
  <c r="AV188" i="1"/>
  <c r="AS188" i="1"/>
  <c r="AR188" i="1"/>
  <c r="AQ188" i="1"/>
  <c r="AU188" i="1"/>
  <c r="AT188" i="1"/>
  <c r="AV196" i="1"/>
  <c r="AW196" i="1"/>
  <c r="AU196" i="1"/>
  <c r="AT196" i="1"/>
  <c r="AR196" i="1"/>
  <c r="AQ196" i="1"/>
  <c r="AP196" i="1"/>
  <c r="AV204" i="1"/>
  <c r="AW204" i="1"/>
  <c r="AU204" i="1"/>
  <c r="AT204" i="1"/>
  <c r="AS204" i="1"/>
  <c r="AR204" i="1"/>
  <c r="AQ204" i="1"/>
  <c r="AV212" i="1"/>
  <c r="AW212" i="1"/>
  <c r="AU212" i="1"/>
  <c r="AQ212" i="1"/>
  <c r="AP212" i="1"/>
  <c r="AS212" i="1"/>
  <c r="AR212" i="1"/>
  <c r="AW220" i="1"/>
  <c r="AV220" i="1"/>
  <c r="AR220" i="1"/>
  <c r="AQ220" i="1"/>
  <c r="AU220" i="1"/>
  <c r="AT220" i="1"/>
  <c r="AS220" i="1"/>
  <c r="AW228" i="1"/>
  <c r="AV228" i="1"/>
  <c r="AR228" i="1"/>
  <c r="AQ228" i="1"/>
  <c r="AS228" i="1"/>
  <c r="AP228" i="1"/>
  <c r="AU228" i="1"/>
  <c r="AT228" i="1"/>
  <c r="AW236" i="1"/>
  <c r="AV236" i="1"/>
  <c r="AR236" i="1"/>
  <c r="AQ236" i="1"/>
  <c r="AU236" i="1"/>
  <c r="AT236" i="1"/>
  <c r="AS236" i="1"/>
  <c r="AP236" i="1"/>
  <c r="AW244" i="1"/>
  <c r="AV244" i="1"/>
  <c r="AU244" i="1"/>
  <c r="AT244" i="1"/>
  <c r="AS244" i="1"/>
  <c r="AR244" i="1"/>
  <c r="AQ244" i="1"/>
  <c r="AP244" i="1"/>
  <c r="AW252" i="1"/>
  <c r="AV252" i="1"/>
  <c r="AU252" i="1"/>
  <c r="AT252" i="1"/>
  <c r="AS252" i="1"/>
  <c r="AR252" i="1"/>
  <c r="AQ252" i="1"/>
  <c r="AP252" i="1"/>
  <c r="AW260" i="1"/>
  <c r="AV260" i="1"/>
  <c r="AU260" i="1"/>
  <c r="AQ260" i="1"/>
  <c r="AP260" i="1"/>
  <c r="AT260" i="1"/>
  <c r="AS260" i="1"/>
  <c r="AR260" i="1"/>
  <c r="AW268" i="1"/>
  <c r="AV268" i="1"/>
  <c r="AU268" i="1"/>
  <c r="AT268" i="1"/>
  <c r="AS268" i="1"/>
  <c r="AR268" i="1"/>
  <c r="AQ268" i="1"/>
  <c r="AP268" i="1"/>
  <c r="AW276" i="1"/>
  <c r="AV276" i="1"/>
  <c r="AU276" i="1"/>
  <c r="AT276" i="1"/>
  <c r="AS276" i="1"/>
  <c r="AR276" i="1"/>
  <c r="AQ276" i="1"/>
  <c r="AP276" i="1"/>
  <c r="AW284" i="1"/>
  <c r="AV284" i="1"/>
  <c r="AU284" i="1"/>
  <c r="AT284" i="1"/>
  <c r="AR284" i="1"/>
  <c r="AQ284" i="1"/>
  <c r="AP284" i="1"/>
  <c r="AS284" i="1"/>
  <c r="AW292" i="1"/>
  <c r="AV292" i="1"/>
  <c r="AU292" i="1"/>
  <c r="AT292" i="1"/>
  <c r="AQ292" i="1"/>
  <c r="AP292" i="1"/>
  <c r="AS292" i="1"/>
  <c r="AW300" i="1"/>
  <c r="AV300" i="1"/>
  <c r="AU300" i="1"/>
  <c r="AT300" i="1"/>
  <c r="AP300" i="1"/>
  <c r="AS300" i="1"/>
  <c r="AR300" i="1"/>
  <c r="AQ300" i="1"/>
  <c r="AV51" i="1"/>
  <c r="AR54" i="1"/>
  <c r="AQ57" i="1"/>
  <c r="AW72" i="1"/>
  <c r="AP81" i="1"/>
  <c r="AQ90" i="1"/>
  <c r="AU98" i="1"/>
  <c r="AP103" i="1"/>
  <c r="AV106" i="1"/>
  <c r="AW115" i="1"/>
  <c r="AU119" i="1"/>
  <c r="AP124" i="1"/>
  <c r="AU139" i="1"/>
  <c r="AP145" i="1"/>
  <c r="AQ150" i="1"/>
  <c r="AS164" i="1"/>
  <c r="AR171" i="1"/>
  <c r="AT180" i="1"/>
  <c r="AW208" i="1"/>
  <c r="AP254" i="1"/>
  <c r="AT70" i="1"/>
  <c r="AS70" i="1"/>
  <c r="AR70" i="1"/>
  <c r="AW70" i="1"/>
  <c r="AV70" i="1"/>
  <c r="AU70" i="1"/>
  <c r="AQ70" i="1"/>
  <c r="AP70" i="1"/>
  <c r="AT126" i="1"/>
  <c r="AS126" i="1"/>
  <c r="AR126" i="1"/>
  <c r="AW126" i="1"/>
  <c r="AV126" i="1"/>
  <c r="AU126" i="1"/>
  <c r="AQ126" i="1"/>
  <c r="AP126" i="1"/>
  <c r="AP174" i="1"/>
  <c r="AW174" i="1"/>
  <c r="AV174" i="1"/>
  <c r="AQ174" i="1"/>
  <c r="AU174" i="1"/>
  <c r="AT174" i="1"/>
  <c r="AW230" i="1"/>
  <c r="AV230" i="1"/>
  <c r="AU230" i="1"/>
  <c r="AQ230" i="1"/>
  <c r="AP230" i="1"/>
  <c r="AQ62" i="1"/>
  <c r="AT55" i="1"/>
  <c r="AS55" i="1"/>
  <c r="AR55" i="1"/>
  <c r="AQ55" i="1"/>
  <c r="AP55" i="1"/>
  <c r="AT111" i="1"/>
  <c r="AS111" i="1"/>
  <c r="AR111" i="1"/>
  <c r="AW111" i="1"/>
  <c r="AV111" i="1"/>
  <c r="AP167" i="1"/>
  <c r="AW167" i="1"/>
  <c r="AU167" i="1"/>
  <c r="AT167" i="1"/>
  <c r="AS167" i="1"/>
  <c r="AR167" i="1"/>
  <c r="AT64" i="1"/>
  <c r="AS64" i="1"/>
  <c r="AV64" i="1"/>
  <c r="AU64" i="1"/>
  <c r="AR64" i="1"/>
  <c r="AQ64" i="1"/>
  <c r="AP64" i="1"/>
  <c r="AT104" i="1"/>
  <c r="AS104" i="1"/>
  <c r="AR104" i="1"/>
  <c r="AU104" i="1"/>
  <c r="AQ104" i="1"/>
  <c r="AP104" i="1"/>
  <c r="AP49" i="1"/>
  <c r="AW49" i="1"/>
  <c r="AV49" i="1"/>
  <c r="AU49" i="1"/>
  <c r="AT89" i="1"/>
  <c r="AS89" i="1"/>
  <c r="AR89" i="1"/>
  <c r="AW89" i="1"/>
  <c r="AV89" i="1"/>
  <c r="AU89" i="1"/>
  <c r="AQ89" i="1"/>
  <c r="AT129" i="1"/>
  <c r="AS129" i="1"/>
  <c r="AR129" i="1"/>
  <c r="AQ129" i="1"/>
  <c r="AW129" i="1"/>
  <c r="AP153" i="1"/>
  <c r="AR153" i="1"/>
  <c r="AQ153" i="1"/>
  <c r="AW153" i="1"/>
  <c r="AU153" i="1"/>
  <c r="AT153" i="1"/>
  <c r="AS153" i="1"/>
  <c r="AT50" i="1"/>
  <c r="AS50" i="1"/>
  <c r="AP50" i="1"/>
  <c r="AW50" i="1"/>
  <c r="AT66" i="1"/>
  <c r="AS66" i="1"/>
  <c r="AR66" i="1"/>
  <c r="AP66" i="1"/>
  <c r="AW66" i="1"/>
  <c r="AT75" i="1"/>
  <c r="AS75" i="1"/>
  <c r="AR75" i="1"/>
  <c r="AV75" i="1"/>
  <c r="AU75" i="1"/>
  <c r="AQ75" i="1"/>
  <c r="AP75" i="1"/>
  <c r="AT52" i="1"/>
  <c r="AS52" i="1"/>
  <c r="AV52" i="1"/>
  <c r="AU52" i="1"/>
  <c r="AR52" i="1"/>
  <c r="AQ52" i="1"/>
  <c r="AT68" i="1"/>
  <c r="AS68" i="1"/>
  <c r="AR68" i="1"/>
  <c r="AW68" i="1"/>
  <c r="AV68" i="1"/>
  <c r="AU68" i="1"/>
  <c r="AT92" i="1"/>
  <c r="AS92" i="1"/>
  <c r="AR92" i="1"/>
  <c r="AW92" i="1"/>
  <c r="AV92" i="1"/>
  <c r="AU92" i="1"/>
  <c r="AT53" i="1"/>
  <c r="AS53" i="1"/>
  <c r="AW53" i="1"/>
  <c r="AV53" i="1"/>
  <c r="AU53" i="1"/>
  <c r="AT61" i="1"/>
  <c r="AS61" i="1"/>
  <c r="AW61" i="1"/>
  <c r="AV61" i="1"/>
  <c r="AU61" i="1"/>
  <c r="AR61" i="1"/>
  <c r="AT69" i="1"/>
  <c r="AS69" i="1"/>
  <c r="AR69" i="1"/>
  <c r="AQ69" i="1"/>
  <c r="AP69" i="1"/>
  <c r="AT77" i="1"/>
  <c r="AS77" i="1"/>
  <c r="AR77" i="1"/>
  <c r="AQ77" i="1"/>
  <c r="AP77" i="1"/>
  <c r="AT85" i="1"/>
  <c r="AS85" i="1"/>
  <c r="AR85" i="1"/>
  <c r="AQ85" i="1"/>
  <c r="AP85" i="1"/>
  <c r="AT93" i="1"/>
  <c r="AS93" i="1"/>
  <c r="AR93" i="1"/>
  <c r="AQ93" i="1"/>
  <c r="AP93" i="1"/>
  <c r="AT101" i="1"/>
  <c r="AS101" i="1"/>
  <c r="AR101" i="1"/>
  <c r="AQ101" i="1"/>
  <c r="AP101" i="1"/>
  <c r="AT109" i="1"/>
  <c r="AS109" i="1"/>
  <c r="AR109" i="1"/>
  <c r="AQ109" i="1"/>
  <c r="AP109" i="1"/>
  <c r="AT117" i="1"/>
  <c r="AS117" i="1"/>
  <c r="AR117" i="1"/>
  <c r="AQ117" i="1"/>
  <c r="AP117" i="1"/>
  <c r="AT125" i="1"/>
  <c r="AS125" i="1"/>
  <c r="AR125" i="1"/>
  <c r="AQ125" i="1"/>
  <c r="AP125" i="1"/>
  <c r="AT133" i="1"/>
  <c r="AS133" i="1"/>
  <c r="AR133" i="1"/>
  <c r="AQ133" i="1"/>
  <c r="AW133" i="1"/>
  <c r="AT141" i="1"/>
  <c r="AS141" i="1"/>
  <c r="AR141" i="1"/>
  <c r="AQ141" i="1"/>
  <c r="AW141" i="1"/>
  <c r="AP149" i="1"/>
  <c r="AV149" i="1"/>
  <c r="AU149" i="1"/>
  <c r="AT149" i="1"/>
  <c r="AS149" i="1"/>
  <c r="AQ149" i="1"/>
  <c r="AP157" i="1"/>
  <c r="AW157" i="1"/>
  <c r="AQ157" i="1"/>
  <c r="AV157" i="1"/>
  <c r="AU157" i="1"/>
  <c r="AT157" i="1"/>
  <c r="AP165" i="1"/>
  <c r="AW165" i="1"/>
  <c r="AQ165" i="1"/>
  <c r="AV165" i="1"/>
  <c r="AU165" i="1"/>
  <c r="AT165" i="1"/>
  <c r="AP173" i="1"/>
  <c r="AW173" i="1"/>
  <c r="AV173" i="1"/>
  <c r="AU173" i="1"/>
  <c r="AT173" i="1"/>
  <c r="AS173" i="1"/>
  <c r="AQ173" i="1"/>
  <c r="AP181" i="1"/>
  <c r="AW181" i="1"/>
  <c r="AV181" i="1"/>
  <c r="AU181" i="1"/>
  <c r="AT181" i="1"/>
  <c r="AS181" i="1"/>
  <c r="AR181" i="1"/>
  <c r="AQ181" i="1"/>
  <c r="AV189" i="1"/>
  <c r="AP189" i="1"/>
  <c r="AW189" i="1"/>
  <c r="AU189" i="1"/>
  <c r="AT189" i="1"/>
  <c r="AS189" i="1"/>
  <c r="AQ189" i="1"/>
  <c r="AV197" i="1"/>
  <c r="AP197" i="1"/>
  <c r="AW197" i="1"/>
  <c r="AS197" i="1"/>
  <c r="AR197" i="1"/>
  <c r="AQ197" i="1"/>
  <c r="AV205" i="1"/>
  <c r="AP205" i="1"/>
  <c r="AW205" i="1"/>
  <c r="AU205" i="1"/>
  <c r="AT205" i="1"/>
  <c r="AS205" i="1"/>
  <c r="AV213" i="1"/>
  <c r="AP213" i="1"/>
  <c r="AW213" i="1"/>
  <c r="AU213" i="1"/>
  <c r="AT213" i="1"/>
  <c r="AS213" i="1"/>
  <c r="AR213" i="1"/>
  <c r="AQ213" i="1"/>
  <c r="AW221" i="1"/>
  <c r="AV221" i="1"/>
  <c r="AT221" i="1"/>
  <c r="AS221" i="1"/>
  <c r="AQ221" i="1"/>
  <c r="AP221" i="1"/>
  <c r="AU221" i="1"/>
  <c r="AR221" i="1"/>
  <c r="AW229" i="1"/>
  <c r="AV229" i="1"/>
  <c r="AT229" i="1"/>
  <c r="AS229" i="1"/>
  <c r="AU229" i="1"/>
  <c r="AR229" i="1"/>
  <c r="AQ229" i="1"/>
  <c r="AP229" i="1"/>
  <c r="AW237" i="1"/>
  <c r="AV237" i="1"/>
  <c r="AT237" i="1"/>
  <c r="AS237" i="1"/>
  <c r="AQ237" i="1"/>
  <c r="AP237" i="1"/>
  <c r="AU237" i="1"/>
  <c r="AR237" i="1"/>
  <c r="AW245" i="1"/>
  <c r="AV245" i="1"/>
  <c r="AU245" i="1"/>
  <c r="AQ245" i="1"/>
  <c r="AP245" i="1"/>
  <c r="AR245" i="1"/>
  <c r="AT245" i="1"/>
  <c r="AS245" i="1"/>
  <c r="AW253" i="1"/>
  <c r="AV253" i="1"/>
  <c r="AU253" i="1"/>
  <c r="AQ253" i="1"/>
  <c r="AP253" i="1"/>
  <c r="AT253" i="1"/>
  <c r="AS253" i="1"/>
  <c r="AR253" i="1"/>
  <c r="AW261" i="1"/>
  <c r="AV261" i="1"/>
  <c r="AU261" i="1"/>
  <c r="AQ261" i="1"/>
  <c r="AP261" i="1"/>
  <c r="AT261" i="1"/>
  <c r="AS261" i="1"/>
  <c r="AR261" i="1"/>
  <c r="AW269" i="1"/>
  <c r="AV269" i="1"/>
  <c r="AU269" i="1"/>
  <c r="AQ269" i="1"/>
  <c r="AP269" i="1"/>
  <c r="AR269" i="1"/>
  <c r="AT269" i="1"/>
  <c r="AS269" i="1"/>
  <c r="AW277" i="1"/>
  <c r="AV277" i="1"/>
  <c r="AU277" i="1"/>
  <c r="AQ277" i="1"/>
  <c r="AP277" i="1"/>
  <c r="AT277" i="1"/>
  <c r="AW285" i="1"/>
  <c r="AV285" i="1"/>
  <c r="AU285" i="1"/>
  <c r="AQ285" i="1"/>
  <c r="AP285" i="1"/>
  <c r="AT285" i="1"/>
  <c r="AS285" i="1"/>
  <c r="AR285" i="1"/>
  <c r="AW293" i="1"/>
  <c r="AV293" i="1"/>
  <c r="AU293" i="1"/>
  <c r="AQ293" i="1"/>
  <c r="AP293" i="1"/>
  <c r="AT293" i="1"/>
  <c r="AS293" i="1"/>
  <c r="AR293" i="1"/>
  <c r="AS49" i="1"/>
  <c r="AW51" i="1"/>
  <c r="AU54" i="1"/>
  <c r="AQ58" i="1"/>
  <c r="AQ61" i="1"/>
  <c r="AP65" i="1"/>
  <c r="AU69" i="1"/>
  <c r="AP73" i="1"/>
  <c r="AV77" i="1"/>
  <c r="AQ82" i="1"/>
  <c r="AW85" i="1"/>
  <c r="AU90" i="1"/>
  <c r="AP95" i="1"/>
  <c r="AV98" i="1"/>
  <c r="AQ103" i="1"/>
  <c r="AW107" i="1"/>
  <c r="AU111" i="1"/>
  <c r="AP116" i="1"/>
  <c r="AV120" i="1"/>
  <c r="AQ124" i="1"/>
  <c r="AU129" i="1"/>
  <c r="AP135" i="1"/>
  <c r="AV139" i="1"/>
  <c r="AU145" i="1"/>
  <c r="AT151" i="1"/>
  <c r="AS157" i="1"/>
  <c r="AR165" i="1"/>
  <c r="AR173" i="1"/>
  <c r="AU180" i="1"/>
  <c r="AS190" i="1"/>
  <c r="AP200" i="1"/>
  <c r="AP209" i="1"/>
  <c r="AS230" i="1"/>
  <c r="AR262" i="1"/>
  <c r="AR292" i="1"/>
  <c r="AW301" i="1"/>
  <c r="AV301" i="1"/>
  <c r="AU301" i="1"/>
  <c r="AQ301" i="1"/>
  <c r="AP301" i="1"/>
  <c r="AT301" i="1"/>
  <c r="AS301" i="1"/>
  <c r="AR301" i="1"/>
  <c r="AW278" i="1"/>
  <c r="AV278" i="1"/>
  <c r="AU278" i="1"/>
  <c r="AT278" i="1"/>
  <c r="AS278" i="1"/>
  <c r="AR278" i="1"/>
  <c r="AQ278" i="1"/>
  <c r="AP278" i="1"/>
  <c r="AW286" i="1"/>
  <c r="AV286" i="1"/>
  <c r="AU286" i="1"/>
  <c r="AT286" i="1"/>
  <c r="AS286" i="1"/>
  <c r="AR286" i="1"/>
  <c r="AQ286" i="1"/>
  <c r="AP286" i="1"/>
  <c r="AW294" i="1"/>
  <c r="AV294" i="1"/>
  <c r="AU294" i="1"/>
  <c r="AT294" i="1"/>
  <c r="AS294" i="1"/>
  <c r="AR294" i="1"/>
  <c r="AQ294" i="1"/>
  <c r="AP294" i="1"/>
  <c r="AW302" i="1"/>
  <c r="AV302" i="1"/>
  <c r="AU302" i="1"/>
  <c r="AT302" i="1"/>
  <c r="AS302" i="1"/>
  <c r="AR302" i="1"/>
  <c r="AQ302" i="1"/>
  <c r="AP302" i="1"/>
  <c r="AW271" i="1"/>
  <c r="AV271" i="1"/>
  <c r="AU271" i="1"/>
  <c r="AS271" i="1"/>
  <c r="AR271" i="1"/>
  <c r="AQ271" i="1"/>
  <c r="AP271" i="1"/>
  <c r="AW279" i="1"/>
  <c r="AV279" i="1"/>
  <c r="AU279" i="1"/>
  <c r="AR279" i="1"/>
  <c r="AQ279" i="1"/>
  <c r="AP279" i="1"/>
  <c r="AT279" i="1"/>
  <c r="AS279" i="1"/>
  <c r="AW287" i="1"/>
  <c r="AV287" i="1"/>
  <c r="AU287" i="1"/>
  <c r="AQ287" i="1"/>
  <c r="AP287" i="1"/>
  <c r="AW295" i="1"/>
  <c r="AV295" i="1"/>
  <c r="AU295" i="1"/>
  <c r="AP295" i="1"/>
  <c r="AT295" i="1"/>
  <c r="AS295" i="1"/>
  <c r="AR295" i="1"/>
  <c r="AQ295" i="1"/>
  <c r="AT271" i="1"/>
  <c r="AW256" i="1"/>
  <c r="AV256" i="1"/>
  <c r="AU256" i="1"/>
  <c r="AR256" i="1"/>
  <c r="AQ256" i="1"/>
  <c r="AT256" i="1"/>
  <c r="AS256" i="1"/>
  <c r="AP256" i="1"/>
  <c r="AW264" i="1"/>
  <c r="AV264" i="1"/>
  <c r="AU264" i="1"/>
  <c r="AR264" i="1"/>
  <c r="AQ264" i="1"/>
  <c r="AS264" i="1"/>
  <c r="AP264" i="1"/>
  <c r="AT264" i="1"/>
  <c r="AW272" i="1"/>
  <c r="AV272" i="1"/>
  <c r="AU272" i="1"/>
  <c r="AR272" i="1"/>
  <c r="AQ272" i="1"/>
  <c r="AP272" i="1"/>
  <c r="AW280" i="1"/>
  <c r="AV280" i="1"/>
  <c r="AU280" i="1"/>
  <c r="AR280" i="1"/>
  <c r="AQ280" i="1"/>
  <c r="AP280" i="1"/>
  <c r="AT280" i="1"/>
  <c r="AS280" i="1"/>
  <c r="AW288" i="1"/>
  <c r="AV288" i="1"/>
  <c r="AU288" i="1"/>
  <c r="AR288" i="1"/>
  <c r="AQ288" i="1"/>
  <c r="AP288" i="1"/>
  <c r="AT288" i="1"/>
  <c r="AS288" i="1"/>
  <c r="AW296" i="1"/>
  <c r="AV296" i="1"/>
  <c r="AU296" i="1"/>
  <c r="AR296" i="1"/>
  <c r="AQ296" i="1"/>
  <c r="AP296" i="1"/>
  <c r="AT296" i="1"/>
  <c r="AS296" i="1"/>
  <c r="AS272" i="1"/>
  <c r="AR287" i="1"/>
  <c r="S7" i="55"/>
  <c r="S6" i="55"/>
  <c r="T6" i="55"/>
  <c r="U7" i="47"/>
  <c r="U8" i="47"/>
  <c r="U9" i="47" s="1"/>
  <c r="U10" i="47"/>
  <c r="AU44" i="1" l="1" a="1"/>
  <c r="AU44" i="1" s="1"/>
  <c r="AU45" i="1" s="1" a="1"/>
  <c r="AU45" i="1" s="1"/>
  <c r="AU43" i="1" a="1"/>
  <c r="AU43" i="1" s="1"/>
  <c r="AT44" i="1" a="1"/>
  <c r="AT44" i="1" s="1"/>
  <c r="AT43" i="1" a="1"/>
  <c r="AT43" i="1" s="1"/>
  <c r="AV44" i="1" a="1"/>
  <c r="AV44" i="1" s="1"/>
  <c r="AV45" i="1" s="1" a="1"/>
  <c r="AV45" i="1" s="1"/>
  <c r="AV43" i="1" a="1"/>
  <c r="AV43" i="1" s="1"/>
  <c r="AP44" i="1" a="1"/>
  <c r="AP44" i="1" s="1"/>
  <c r="AP43" i="1" a="1"/>
  <c r="AP43" i="1" s="1"/>
  <c r="AS44" i="1" a="1"/>
  <c r="AS44" i="1" s="1"/>
  <c r="AS45" i="1" s="1" a="1"/>
  <c r="AS45" i="1" s="1"/>
  <c r="AS43" i="1" a="1"/>
  <c r="AS43" i="1" s="1"/>
  <c r="AW44" i="1" a="1"/>
  <c r="AW44" i="1" s="1"/>
  <c r="AW43" i="1" a="1"/>
  <c r="AW43" i="1" s="1"/>
  <c r="AR44" i="1" a="1"/>
  <c r="AR44" i="1" s="1"/>
  <c r="AR45" i="1" s="1" a="1"/>
  <c r="AR45" i="1" s="1"/>
  <c r="AQ44" i="1" a="1"/>
  <c r="AQ44" i="1" s="1"/>
  <c r="AQ43" i="1" a="1"/>
  <c r="AQ43" i="1" s="1"/>
  <c r="AP46" i="1"/>
  <c r="AR46" i="1"/>
  <c r="AQ46" i="1"/>
  <c r="AU46" i="1"/>
  <c r="AT46" i="1"/>
  <c r="AV46" i="1"/>
  <c r="AS46" i="1"/>
  <c r="AW46" i="1"/>
  <c r="Z5" i="54"/>
  <c r="AA5" i="54"/>
  <c r="AB5" i="54"/>
  <c r="AC5" i="54"/>
  <c r="Z6" i="54"/>
  <c r="AA6" i="54"/>
  <c r="AB6" i="54"/>
  <c r="AC6" i="54"/>
  <c r="Z7" i="54"/>
  <c r="AA7" i="54"/>
  <c r="AB7" i="54"/>
  <c r="AC7" i="54"/>
  <c r="Z8" i="54"/>
  <c r="AA8" i="54"/>
  <c r="AB8" i="54"/>
  <c r="AC8" i="54"/>
  <c r="Z9" i="54"/>
  <c r="AA9" i="54"/>
  <c r="AB9" i="54"/>
  <c r="AC9" i="54"/>
  <c r="AW45" i="1" l="1" a="1"/>
  <c r="AW45" i="1" s="1"/>
  <c r="AW41" i="1" s="1"/>
  <c r="AT45" i="1" a="1"/>
  <c r="AT45" i="1" s="1"/>
  <c r="AP45" i="1" a="1"/>
  <c r="AP45" i="1" s="1"/>
  <c r="AQ45" i="1" a="1"/>
  <c r="AQ45" i="1" s="1"/>
  <c r="V6" i="1"/>
  <c r="Z3" i="54" s="1"/>
  <c r="S5" i="55"/>
  <c r="T5" i="55"/>
  <c r="R5" i="55"/>
  <c r="AW40" i="1" l="1"/>
  <c r="W6" i="1"/>
  <c r="V11" i="1"/>
  <c r="Z3" i="12"/>
  <c r="Z5" i="12"/>
  <c r="AA5" i="12"/>
  <c r="AB5" i="12"/>
  <c r="AC5" i="12"/>
  <c r="Z6" i="12"/>
  <c r="AA6" i="12"/>
  <c r="AB6" i="12"/>
  <c r="AC6" i="12"/>
  <c r="Z7" i="12"/>
  <c r="AA7" i="12"/>
  <c r="AB7" i="12"/>
  <c r="AC7" i="12"/>
  <c r="Z8" i="12"/>
  <c r="AA8" i="12"/>
  <c r="AB8" i="12"/>
  <c r="AC8" i="12"/>
  <c r="Z9" i="12"/>
  <c r="AA9" i="12"/>
  <c r="AB9" i="12"/>
  <c r="AC9" i="12"/>
  <c r="W8" i="12"/>
  <c r="BX4" i="18"/>
  <c r="BX22" i="18" s="1"/>
  <c r="BY4" i="18"/>
  <c r="BY22" i="18" s="1"/>
  <c r="U56" i="47"/>
  <c r="V3" i="54"/>
  <c r="T2" i="57" s="1"/>
  <c r="W3" i="54"/>
  <c r="X3" i="54"/>
  <c r="Y3" i="54"/>
  <c r="V4" i="54"/>
  <c r="T3" i="57" s="1"/>
  <c r="W4" i="54"/>
  <c r="X4" i="54"/>
  <c r="Y4" i="54"/>
  <c r="V5" i="54"/>
  <c r="T4" i="57" s="1"/>
  <c r="W5" i="54"/>
  <c r="X5" i="54"/>
  <c r="Y5" i="54"/>
  <c r="V6" i="54"/>
  <c r="T5" i="57" s="1"/>
  <c r="W6" i="54"/>
  <c r="X6" i="54"/>
  <c r="Y6" i="54"/>
  <c r="V7" i="54"/>
  <c r="T6" i="57" s="1"/>
  <c r="W7" i="54"/>
  <c r="X7" i="54"/>
  <c r="Y7" i="54"/>
  <c r="V8" i="54"/>
  <c r="T7" i="57" s="1"/>
  <c r="W8" i="54"/>
  <c r="U7" i="57" s="1"/>
  <c r="X8" i="54"/>
  <c r="Y8" i="54"/>
  <c r="V9" i="54"/>
  <c r="T8" i="57" s="1"/>
  <c r="W9" i="54"/>
  <c r="X9" i="54"/>
  <c r="Y9" i="54"/>
  <c r="T11" i="57" l="1"/>
  <c r="BY29" i="18"/>
  <c r="BY27" i="18"/>
  <c r="BY25" i="18"/>
  <c r="BY23" i="18"/>
  <c r="BY21" i="18"/>
  <c r="Y4" i="12"/>
  <c r="W3" i="57"/>
  <c r="X6" i="12"/>
  <c r="V5" i="57"/>
  <c r="W4" i="12"/>
  <c r="U3" i="57"/>
  <c r="Y6" i="12"/>
  <c r="W5" i="57"/>
  <c r="W6" i="12"/>
  <c r="U5" i="57"/>
  <c r="X4" i="12"/>
  <c r="V3" i="57"/>
  <c r="Y5" i="12"/>
  <c r="W4" i="57"/>
  <c r="X9" i="12"/>
  <c r="V8" i="57"/>
  <c r="X3" i="12"/>
  <c r="V2" i="57"/>
  <c r="Y8" i="12"/>
  <c r="W7" i="57"/>
  <c r="X8" i="12"/>
  <c r="V7" i="57"/>
  <c r="Y9" i="12"/>
  <c r="W8" i="57"/>
  <c r="Y7" i="12"/>
  <c r="W6" i="57"/>
  <c r="Y3" i="12"/>
  <c r="W2" i="57"/>
  <c r="X7" i="12"/>
  <c r="V6" i="57"/>
  <c r="X5" i="12"/>
  <c r="V4" i="57"/>
  <c r="W9" i="12"/>
  <c r="U8" i="57"/>
  <c r="W7" i="12"/>
  <c r="U6" i="57"/>
  <c r="W5" i="12"/>
  <c r="U4" i="57"/>
  <c r="W3" i="12"/>
  <c r="U2" i="57"/>
  <c r="T9" i="57"/>
  <c r="T14" i="57" s="1"/>
  <c r="Z4" i="54"/>
  <c r="Z4" i="12" s="1"/>
  <c r="Z11" i="12" s="1"/>
  <c r="V41" i="1"/>
  <c r="AA3" i="54"/>
  <c r="AA3" i="12" s="1"/>
  <c r="W11" i="1"/>
  <c r="X6" i="1"/>
  <c r="BY36" i="18"/>
  <c r="BX27" i="18"/>
  <c r="BX23" i="18"/>
  <c r="BY37" i="18" s="1"/>
  <c r="BX29" i="18"/>
  <c r="BX25" i="18"/>
  <c r="BY39" i="18" s="1"/>
  <c r="BX21" i="18"/>
  <c r="BY32" i="18"/>
  <c r="BY28" i="18"/>
  <c r="BY26" i="18"/>
  <c r="BY24" i="18"/>
  <c r="BX32" i="18"/>
  <c r="BX28" i="18"/>
  <c r="BX26" i="18"/>
  <c r="BX24" i="18"/>
  <c r="P59" i="12"/>
  <c r="V9" i="57" l="1"/>
  <c r="T12" i="57"/>
  <c r="BY35" i="18"/>
  <c r="U9" i="57"/>
  <c r="W9" i="57"/>
  <c r="AB3" i="54"/>
  <c r="AB3" i="12" s="1"/>
  <c r="Y6" i="1"/>
  <c r="X11" i="1"/>
  <c r="AA4" i="54"/>
  <c r="AA4" i="12" s="1"/>
  <c r="AA11" i="12" s="1"/>
  <c r="W41" i="1"/>
  <c r="BY41" i="18"/>
  <c r="BY38" i="18"/>
  <c r="BY40" i="18"/>
  <c r="K11" i="55"/>
  <c r="D11" i="55"/>
  <c r="C11" i="55"/>
  <c r="Q8" i="55"/>
  <c r="P8" i="55"/>
  <c r="O8" i="55"/>
  <c r="N8" i="55"/>
  <c r="M8" i="55"/>
  <c r="L8" i="55"/>
  <c r="K8" i="55"/>
  <c r="J8" i="55"/>
  <c r="I8" i="55"/>
  <c r="H8" i="55"/>
  <c r="G8" i="55"/>
  <c r="F8" i="55"/>
  <c r="E8" i="55"/>
  <c r="D8" i="55"/>
  <c r="C8" i="55"/>
  <c r="B8" i="55"/>
  <c r="T1" i="55"/>
  <c r="T13" i="55" s="1"/>
  <c r="S1" i="55"/>
  <c r="S13" i="55" s="1"/>
  <c r="R1" i="55"/>
  <c r="R12" i="55" s="1"/>
  <c r="Q1" i="55"/>
  <c r="Q12" i="55" s="1"/>
  <c r="P1" i="55"/>
  <c r="P13" i="55" s="1"/>
  <c r="O1" i="55"/>
  <c r="O11" i="55" s="1"/>
  <c r="N1" i="55"/>
  <c r="N11" i="55" s="1"/>
  <c r="M1" i="55"/>
  <c r="L1" i="55"/>
  <c r="L13" i="55" s="1"/>
  <c r="K1" i="55"/>
  <c r="K13" i="55" s="1"/>
  <c r="J1" i="55"/>
  <c r="J11" i="55" s="1"/>
  <c r="I1" i="55"/>
  <c r="I12" i="55" s="1"/>
  <c r="H1" i="55"/>
  <c r="H12" i="55" s="1"/>
  <c r="G1" i="55"/>
  <c r="G11" i="55" s="1"/>
  <c r="F1" i="55"/>
  <c r="F11" i="55" s="1"/>
  <c r="E1" i="55"/>
  <c r="E13" i="55" s="1"/>
  <c r="D1" i="55"/>
  <c r="D13" i="55" s="1"/>
  <c r="C1" i="55"/>
  <c r="C13" i="55" s="1"/>
  <c r="B1" i="55"/>
  <c r="B11" i="55" s="1"/>
  <c r="AC27" i="54"/>
  <c r="H3" i="54"/>
  <c r="F2" i="57" s="1"/>
  <c r="I3" i="54"/>
  <c r="G2" i="57" s="1"/>
  <c r="J3" i="54"/>
  <c r="H2" i="57" s="1"/>
  <c r="K3" i="54"/>
  <c r="I2" i="57" s="1"/>
  <c r="L3" i="54"/>
  <c r="J2" i="57" s="1"/>
  <c r="M3" i="54"/>
  <c r="K2" i="57" s="1"/>
  <c r="N3" i="54"/>
  <c r="O3" i="54"/>
  <c r="M2" i="57" s="1"/>
  <c r="P3" i="54"/>
  <c r="N2" i="57" s="1"/>
  <c r="Q3" i="54"/>
  <c r="O2" i="57" s="1"/>
  <c r="R3" i="54"/>
  <c r="P2" i="57" s="1"/>
  <c r="S3" i="54"/>
  <c r="Q2" i="57" s="1"/>
  <c r="T3" i="54"/>
  <c r="R2" i="57" s="1"/>
  <c r="U3" i="54"/>
  <c r="S2" i="57" s="1"/>
  <c r="H4" i="54"/>
  <c r="F3" i="57" s="1"/>
  <c r="I4" i="54"/>
  <c r="J4" i="54"/>
  <c r="H3" i="57" s="1"/>
  <c r="K4" i="54"/>
  <c r="I3" i="57" s="1"/>
  <c r="L4" i="54"/>
  <c r="J3" i="57" s="1"/>
  <c r="M4" i="54"/>
  <c r="K3" i="57" s="1"/>
  <c r="N4" i="54"/>
  <c r="L3" i="57" s="1"/>
  <c r="O4" i="54"/>
  <c r="P4" i="54"/>
  <c r="N3" i="57" s="1"/>
  <c r="Q4" i="54"/>
  <c r="R4" i="54"/>
  <c r="P3" i="57" s="1"/>
  <c r="S4" i="54"/>
  <c r="Q3" i="57" s="1"/>
  <c r="T4" i="54"/>
  <c r="R3" i="57" s="1"/>
  <c r="U4" i="54"/>
  <c r="S3" i="57" s="1"/>
  <c r="H5" i="54"/>
  <c r="F4" i="57" s="1"/>
  <c r="I5" i="54"/>
  <c r="G4" i="57" s="1"/>
  <c r="J5" i="54"/>
  <c r="H4" i="57" s="1"/>
  <c r="K5" i="54"/>
  <c r="I4" i="57" s="1"/>
  <c r="L5" i="54"/>
  <c r="J4" i="57" s="1"/>
  <c r="M5" i="54"/>
  <c r="K4" i="57" s="1"/>
  <c r="N5" i="54"/>
  <c r="L4" i="57" s="1"/>
  <c r="L11" i="57" s="1"/>
  <c r="O5" i="54"/>
  <c r="P5" i="54"/>
  <c r="N4" i="57" s="1"/>
  <c r="Q5" i="54"/>
  <c r="O4" i="57" s="1"/>
  <c r="R5" i="54"/>
  <c r="P4" i="57" s="1"/>
  <c r="S5" i="54"/>
  <c r="Q4" i="57" s="1"/>
  <c r="T5" i="54"/>
  <c r="R4" i="57" s="1"/>
  <c r="U5" i="54"/>
  <c r="S4" i="57" s="1"/>
  <c r="H6" i="54"/>
  <c r="F5" i="57" s="1"/>
  <c r="I6" i="54"/>
  <c r="G5" i="57" s="1"/>
  <c r="J6" i="54"/>
  <c r="H5" i="57" s="1"/>
  <c r="K6" i="54"/>
  <c r="L6" i="54"/>
  <c r="J5" i="57" s="1"/>
  <c r="M6" i="54"/>
  <c r="K5" i="57" s="1"/>
  <c r="N6" i="54"/>
  <c r="L5" i="57" s="1"/>
  <c r="O6" i="54"/>
  <c r="M5" i="57" s="1"/>
  <c r="P6" i="54"/>
  <c r="N5" i="57" s="1"/>
  <c r="Q6" i="54"/>
  <c r="O5" i="57" s="1"/>
  <c r="R6" i="54"/>
  <c r="P5" i="57" s="1"/>
  <c r="S6" i="54"/>
  <c r="Q5" i="57" s="1"/>
  <c r="T6" i="54"/>
  <c r="R5" i="57" s="1"/>
  <c r="U6" i="54"/>
  <c r="S5" i="57" s="1"/>
  <c r="H7" i="54"/>
  <c r="F6" i="57" s="1"/>
  <c r="I7" i="54"/>
  <c r="G6" i="57" s="1"/>
  <c r="J7" i="54"/>
  <c r="H6" i="57" s="1"/>
  <c r="K7" i="54"/>
  <c r="I6" i="57" s="1"/>
  <c r="L7" i="54"/>
  <c r="J6" i="57" s="1"/>
  <c r="M7" i="54"/>
  <c r="N7" i="54"/>
  <c r="L6" i="57" s="1"/>
  <c r="O7" i="54"/>
  <c r="M6" i="57" s="1"/>
  <c r="P7" i="54"/>
  <c r="N6" i="57" s="1"/>
  <c r="Q7" i="54"/>
  <c r="O6" i="57" s="1"/>
  <c r="R7" i="54"/>
  <c r="P6" i="57" s="1"/>
  <c r="S7" i="54"/>
  <c r="Q6" i="57" s="1"/>
  <c r="T7" i="54"/>
  <c r="R6" i="57" s="1"/>
  <c r="U7" i="54"/>
  <c r="H8" i="54"/>
  <c r="F7" i="57" s="1"/>
  <c r="I8" i="54"/>
  <c r="G7" i="57" s="1"/>
  <c r="J8" i="54"/>
  <c r="H7" i="57" s="1"/>
  <c r="K8" i="54"/>
  <c r="I7" i="57" s="1"/>
  <c r="L8" i="54"/>
  <c r="J7" i="57" s="1"/>
  <c r="M8" i="54"/>
  <c r="K7" i="57" s="1"/>
  <c r="N8" i="54"/>
  <c r="O8" i="54"/>
  <c r="M7" i="57" s="1"/>
  <c r="P8" i="54"/>
  <c r="N7" i="57" s="1"/>
  <c r="Q8" i="54"/>
  <c r="O7" i="57" s="1"/>
  <c r="R8" i="54"/>
  <c r="P7" i="57" s="1"/>
  <c r="S8" i="54"/>
  <c r="Q7" i="57" s="1"/>
  <c r="T8" i="54"/>
  <c r="R7" i="57" s="1"/>
  <c r="U8" i="54"/>
  <c r="S7" i="57" s="1"/>
  <c r="V41" i="54"/>
  <c r="H9" i="54"/>
  <c r="F8" i="57" s="1"/>
  <c r="I9" i="54"/>
  <c r="G8" i="57" s="1"/>
  <c r="J9" i="54"/>
  <c r="H8" i="57" s="1"/>
  <c r="K9" i="54"/>
  <c r="I8" i="57" s="1"/>
  <c r="L9" i="54"/>
  <c r="J8" i="57" s="1"/>
  <c r="M9" i="54"/>
  <c r="K8" i="57" s="1"/>
  <c r="N9" i="54"/>
  <c r="O9" i="54"/>
  <c r="P9" i="54"/>
  <c r="N8" i="57" s="1"/>
  <c r="Q9" i="54"/>
  <c r="O8" i="57" s="1"/>
  <c r="R9" i="54"/>
  <c r="P8" i="57" s="1"/>
  <c r="S9" i="54"/>
  <c r="Q8" i="57" s="1"/>
  <c r="T9" i="54"/>
  <c r="R8" i="57" s="1"/>
  <c r="U9" i="54"/>
  <c r="S8" i="57" s="1"/>
  <c r="G9" i="54"/>
  <c r="G8" i="54"/>
  <c r="G7" i="54"/>
  <c r="E6" i="57" s="1"/>
  <c r="G6" i="54"/>
  <c r="E5" i="57" s="1"/>
  <c r="G5" i="54"/>
  <c r="E4" i="57" s="1"/>
  <c r="E11" i="57" s="1"/>
  <c r="G4" i="54"/>
  <c r="E3" i="57" s="1"/>
  <c r="G3" i="54"/>
  <c r="E2" i="57" s="1"/>
  <c r="AC34" i="54"/>
  <c r="AC41" i="54" s="1"/>
  <c r="AB34" i="54"/>
  <c r="AB41" i="54" s="1"/>
  <c r="AA34" i="54"/>
  <c r="AA38" i="54" s="1"/>
  <c r="Z34" i="54"/>
  <c r="Z42" i="54" s="1"/>
  <c r="Y34" i="54"/>
  <c r="Y36" i="54" s="1"/>
  <c r="X34" i="54"/>
  <c r="X37" i="54" s="1"/>
  <c r="W34" i="54"/>
  <c r="V34" i="54"/>
  <c r="V40" i="54" s="1"/>
  <c r="U34" i="54"/>
  <c r="T34" i="54"/>
  <c r="S34" i="54"/>
  <c r="R34" i="54"/>
  <c r="Q34" i="54"/>
  <c r="P34" i="54"/>
  <c r="O34" i="54"/>
  <c r="N34" i="54"/>
  <c r="M34" i="54"/>
  <c r="L34" i="54"/>
  <c r="K34" i="54"/>
  <c r="J34" i="54"/>
  <c r="I34" i="54"/>
  <c r="H34" i="54"/>
  <c r="G34" i="54"/>
  <c r="E34" i="54"/>
  <c r="E49" i="54" s="1"/>
  <c r="D34" i="54"/>
  <c r="D49" i="54" s="1"/>
  <c r="C34" i="54"/>
  <c r="AB27" i="54"/>
  <c r="AA27" i="54"/>
  <c r="AC22" i="54"/>
  <c r="AC23" i="54" s="1"/>
  <c r="AB22" i="54"/>
  <c r="AB23" i="54" s="1"/>
  <c r="AA22" i="54"/>
  <c r="AA23" i="54" s="1"/>
  <c r="Z22" i="54"/>
  <c r="Z23" i="54" s="1"/>
  <c r="W22" i="54"/>
  <c r="V22" i="54"/>
  <c r="U22" i="54"/>
  <c r="T22" i="54"/>
  <c r="S22" i="54"/>
  <c r="R22" i="54"/>
  <c r="Q22" i="54"/>
  <c r="P22" i="54"/>
  <c r="O22" i="54"/>
  <c r="N22" i="54"/>
  <c r="M22" i="54"/>
  <c r="L22" i="54"/>
  <c r="K22" i="54"/>
  <c r="J22" i="54"/>
  <c r="I22" i="54"/>
  <c r="H22" i="54"/>
  <c r="G22" i="54"/>
  <c r="W19" i="54"/>
  <c r="V19" i="54"/>
  <c r="AB42" i="54"/>
  <c r="AA42" i="54"/>
  <c r="W42" i="54"/>
  <c r="E9" i="54"/>
  <c r="D8" i="57" s="1"/>
  <c r="D9" i="54"/>
  <c r="C8" i="57" s="1"/>
  <c r="C9" i="54"/>
  <c r="B8" i="57" s="1"/>
  <c r="W40" i="54"/>
  <c r="E7" i="54"/>
  <c r="D7" i="54"/>
  <c r="C7" i="54"/>
  <c r="B6" i="57" s="1"/>
  <c r="E6" i="54"/>
  <c r="D5" i="57" s="1"/>
  <c r="D6" i="54"/>
  <c r="C5" i="57" s="1"/>
  <c r="C6" i="54"/>
  <c r="B5" i="57" s="1"/>
  <c r="AC38" i="54"/>
  <c r="AB38" i="54"/>
  <c r="E5" i="54"/>
  <c r="D4" i="57" s="1"/>
  <c r="D5" i="54"/>
  <c r="C4" i="57" s="1"/>
  <c r="C5" i="54"/>
  <c r="B4" i="57" s="1"/>
  <c r="W37" i="54"/>
  <c r="E4" i="54"/>
  <c r="D4" i="54"/>
  <c r="C3" i="57" s="1"/>
  <c r="C4" i="54"/>
  <c r="E3" i="54"/>
  <c r="D2" i="57" s="1"/>
  <c r="D3" i="54"/>
  <c r="C2" i="57" s="1"/>
  <c r="C3" i="54"/>
  <c r="B2" i="57" s="1"/>
  <c r="W41" i="54"/>
  <c r="W38" i="54"/>
  <c r="W39" i="54"/>
  <c r="S11" i="57" l="1"/>
  <c r="K11" i="57"/>
  <c r="C11" i="57"/>
  <c r="D11" i="57"/>
  <c r="N11" i="57"/>
  <c r="F11" i="57"/>
  <c r="O14" i="57"/>
  <c r="R11" i="57"/>
  <c r="J11" i="57"/>
  <c r="Q11" i="57"/>
  <c r="P11" i="57"/>
  <c r="H11" i="57"/>
  <c r="O11" i="57"/>
  <c r="G11" i="57"/>
  <c r="C36" i="54"/>
  <c r="N36" i="54"/>
  <c r="L2" i="57"/>
  <c r="U40" i="54"/>
  <c r="S6" i="57"/>
  <c r="M40" i="54"/>
  <c r="K6" i="57"/>
  <c r="K39" i="54"/>
  <c r="I5" i="57"/>
  <c r="I11" i="57" s="1"/>
  <c r="O37" i="54"/>
  <c r="M3" i="57"/>
  <c r="J9" i="57"/>
  <c r="J14" i="57" s="1"/>
  <c r="O38" i="54"/>
  <c r="M4" i="57"/>
  <c r="M11" i="57" s="1"/>
  <c r="Q9" i="57"/>
  <c r="Q14" i="57" s="1"/>
  <c r="Z36" i="54"/>
  <c r="N41" i="54"/>
  <c r="L7" i="57"/>
  <c r="N42" i="54"/>
  <c r="L8" i="57"/>
  <c r="C37" i="54"/>
  <c r="B3" i="57"/>
  <c r="B9" i="57" s="1"/>
  <c r="B14" i="57" s="1"/>
  <c r="D40" i="54"/>
  <c r="C6" i="57"/>
  <c r="G41" i="54"/>
  <c r="E7" i="57"/>
  <c r="E37" i="54"/>
  <c r="D3" i="57"/>
  <c r="N9" i="57"/>
  <c r="N14" i="57" s="1"/>
  <c r="F9" i="57"/>
  <c r="F12" i="57" s="1"/>
  <c r="R9" i="57"/>
  <c r="R14" i="57" s="1"/>
  <c r="P9" i="57"/>
  <c r="P14" i="57" s="1"/>
  <c r="H9" i="57"/>
  <c r="H14" i="57" s="1"/>
  <c r="E40" i="54"/>
  <c r="D6" i="57"/>
  <c r="O42" i="54"/>
  <c r="O46" i="54" s="1"/>
  <c r="M8" i="57"/>
  <c r="AA36" i="54"/>
  <c r="G42" i="54"/>
  <c r="G46" i="54" s="1"/>
  <c r="E8" i="57"/>
  <c r="Q37" i="54"/>
  <c r="O3" i="57"/>
  <c r="O9" i="57" s="1"/>
  <c r="I37" i="54"/>
  <c r="G3" i="57"/>
  <c r="G9" i="57" s="1"/>
  <c r="G14" i="57" s="1"/>
  <c r="S39" i="54"/>
  <c r="J38" i="54"/>
  <c r="J39" i="54"/>
  <c r="M41" i="54"/>
  <c r="E11" i="54"/>
  <c r="V42" i="54"/>
  <c r="M42" i="54"/>
  <c r="V37" i="54"/>
  <c r="V46" i="54" s="1"/>
  <c r="N37" i="54"/>
  <c r="M49" i="54"/>
  <c r="U49" i="54"/>
  <c r="T42" i="54"/>
  <c r="L42" i="54"/>
  <c r="O39" i="54"/>
  <c r="V38" i="54"/>
  <c r="N38" i="54"/>
  <c r="AA40" i="54"/>
  <c r="S49" i="54"/>
  <c r="U41" i="54"/>
  <c r="S40" i="54"/>
  <c r="AC40" i="54"/>
  <c r="L41" i="54"/>
  <c r="C11" i="54"/>
  <c r="D11" i="54"/>
  <c r="C38" i="54"/>
  <c r="AA39" i="54"/>
  <c r="D42" i="54"/>
  <c r="N49" i="54"/>
  <c r="V49" i="54"/>
  <c r="G37" i="54"/>
  <c r="S42" i="54"/>
  <c r="R38" i="54"/>
  <c r="AC42" i="54"/>
  <c r="K40" i="54"/>
  <c r="C42" i="54"/>
  <c r="E36" i="54"/>
  <c r="D38" i="54"/>
  <c r="G49" i="54"/>
  <c r="O49" i="54"/>
  <c r="Z49" i="54"/>
  <c r="G38" i="54"/>
  <c r="AB4" i="54"/>
  <c r="AB13" i="54" s="1"/>
  <c r="X41" i="1"/>
  <c r="H36" i="54"/>
  <c r="P36" i="54"/>
  <c r="AC3" i="54"/>
  <c r="AC3" i="12" s="1"/>
  <c r="Y11" i="1"/>
  <c r="J13" i="54"/>
  <c r="K49" i="54"/>
  <c r="I49" i="54"/>
  <c r="Q49" i="54"/>
  <c r="J49" i="54"/>
  <c r="R49" i="54"/>
  <c r="Z27" i="54"/>
  <c r="Z28" i="54"/>
  <c r="AA49" i="54"/>
  <c r="AA28" i="54"/>
  <c r="L11" i="55"/>
  <c r="B12" i="55"/>
  <c r="C12" i="55"/>
  <c r="D12" i="55"/>
  <c r="D14" i="55" s="1"/>
  <c r="D15" i="55" s="1"/>
  <c r="T12" i="55"/>
  <c r="AC28" i="54"/>
  <c r="H49" i="54"/>
  <c r="I38" i="54"/>
  <c r="P38" i="54"/>
  <c r="I36" i="54"/>
  <c r="Y41" i="54"/>
  <c r="S41" i="54"/>
  <c r="H39" i="54"/>
  <c r="E46" i="54"/>
  <c r="K42" i="54"/>
  <c r="R41" i="54"/>
  <c r="J41" i="54"/>
  <c r="Q40" i="54"/>
  <c r="I40" i="54"/>
  <c r="S36" i="54"/>
  <c r="K36" i="54"/>
  <c r="C19" i="55"/>
  <c r="Q11" i="55"/>
  <c r="Q14" i="55" s="1"/>
  <c r="Q15" i="55" s="1"/>
  <c r="K12" i="55"/>
  <c r="K14" i="55" s="1"/>
  <c r="K15" i="55" s="1"/>
  <c r="Q38" i="54"/>
  <c r="P39" i="54"/>
  <c r="P11" i="55"/>
  <c r="Y38" i="54"/>
  <c r="X39" i="54"/>
  <c r="X40" i="54"/>
  <c r="AA41" i="54"/>
  <c r="X42" i="54"/>
  <c r="X46" i="54" s="1"/>
  <c r="P49" i="54"/>
  <c r="R42" i="54"/>
  <c r="Q41" i="54"/>
  <c r="I41" i="54"/>
  <c r="P40" i="54"/>
  <c r="H40" i="54"/>
  <c r="U38" i="54"/>
  <c r="M38" i="54"/>
  <c r="T37" i="54"/>
  <c r="R36" i="54"/>
  <c r="J36" i="54"/>
  <c r="D19" i="55"/>
  <c r="H11" i="55"/>
  <c r="R11" i="55"/>
  <c r="W11" i="55" s="1"/>
  <c r="L12" i="55"/>
  <c r="L14" i="55" s="1"/>
  <c r="L15" i="55" s="1"/>
  <c r="H37" i="54"/>
  <c r="X41" i="54"/>
  <c r="Q39" i="54"/>
  <c r="H38" i="54"/>
  <c r="K41" i="54"/>
  <c r="J40" i="54"/>
  <c r="J12" i="55"/>
  <c r="X38" i="54"/>
  <c r="Q36" i="54"/>
  <c r="X36" i="54"/>
  <c r="Z38" i="54"/>
  <c r="Y39" i="54"/>
  <c r="Y40" i="54"/>
  <c r="Y42" i="54"/>
  <c r="E38" i="54"/>
  <c r="G39" i="54"/>
  <c r="Q42" i="54"/>
  <c r="Q46" i="54" s="1"/>
  <c r="I42" i="54"/>
  <c r="P41" i="54"/>
  <c r="H41" i="54"/>
  <c r="O40" i="54"/>
  <c r="T38" i="54"/>
  <c r="L38" i="54"/>
  <c r="S37" i="54"/>
  <c r="S46" i="54" s="1"/>
  <c r="K37" i="54"/>
  <c r="I11" i="55"/>
  <c r="S11" i="55"/>
  <c r="P37" i="54"/>
  <c r="I39" i="54"/>
  <c r="R40" i="54"/>
  <c r="Z41" i="54"/>
  <c r="AA37" i="54"/>
  <c r="AA46" i="54" s="1"/>
  <c r="Z39" i="54"/>
  <c r="Z40" i="54"/>
  <c r="E42" i="54"/>
  <c r="G40" i="54"/>
  <c r="H42" i="54"/>
  <c r="O41" i="54"/>
  <c r="N40" i="54"/>
  <c r="S38" i="54"/>
  <c r="K38" i="54"/>
  <c r="J37" i="54"/>
  <c r="T11" i="55"/>
  <c r="S12" i="55"/>
  <c r="N13" i="54"/>
  <c r="G36" i="54"/>
  <c r="L13" i="54"/>
  <c r="P13" i="54"/>
  <c r="Y13" i="54"/>
  <c r="X13" i="54"/>
  <c r="Z13" i="54"/>
  <c r="AA13" i="54"/>
  <c r="Y37" i="54"/>
  <c r="Y46" i="54" s="1"/>
  <c r="AB40" i="54"/>
  <c r="Z37" i="54"/>
  <c r="Z46" i="54" s="1"/>
  <c r="W46" i="54"/>
  <c r="W36" i="54"/>
  <c r="W44" i="54" s="1"/>
  <c r="I13" i="54"/>
  <c r="M37" i="54"/>
  <c r="P42" i="54"/>
  <c r="U37" i="54"/>
  <c r="R13" i="54"/>
  <c r="J42" i="54"/>
  <c r="U13" i="54"/>
  <c r="L40" i="54"/>
  <c r="T40" i="54"/>
  <c r="R37" i="54"/>
  <c r="N39" i="54"/>
  <c r="Q13" i="54"/>
  <c r="S13" i="54"/>
  <c r="T11" i="54"/>
  <c r="T28" i="54" s="1"/>
  <c r="R11" i="54"/>
  <c r="R23" i="54" s="1"/>
  <c r="V39" i="54"/>
  <c r="T13" i="54"/>
  <c r="V11" i="54"/>
  <c r="V23" i="54" s="1"/>
  <c r="K13" i="54"/>
  <c r="N46" i="54"/>
  <c r="U11" i="54"/>
  <c r="U27" i="54" s="1"/>
  <c r="M11" i="54"/>
  <c r="M23" i="54" s="1"/>
  <c r="M13" i="54"/>
  <c r="L11" i="54"/>
  <c r="L23" i="54" s="1"/>
  <c r="G19" i="55"/>
  <c r="C14" i="55"/>
  <c r="C15" i="55" s="1"/>
  <c r="F13" i="55"/>
  <c r="F19" i="55" s="1"/>
  <c r="N13" i="55"/>
  <c r="O13" i="55"/>
  <c r="M12" i="55"/>
  <c r="G12" i="55"/>
  <c r="O12" i="55"/>
  <c r="R13" i="55"/>
  <c r="M13" i="55"/>
  <c r="E12" i="55"/>
  <c r="H13" i="55"/>
  <c r="H19" i="55" s="1"/>
  <c r="N12" i="55"/>
  <c r="I13" i="55"/>
  <c r="I19" i="55" s="1"/>
  <c r="Q13" i="55"/>
  <c r="Q19" i="55" s="1"/>
  <c r="B13" i="55"/>
  <c r="B19" i="55" s="1"/>
  <c r="E11" i="55"/>
  <c r="M11" i="55"/>
  <c r="P12" i="55"/>
  <c r="G13" i="55"/>
  <c r="F12" i="55"/>
  <c r="J13" i="55"/>
  <c r="H13" i="54"/>
  <c r="S11" i="54"/>
  <c r="S28" i="54" s="1"/>
  <c r="T41" i="54"/>
  <c r="U42" i="54"/>
  <c r="K11" i="54"/>
  <c r="K28" i="54" s="1"/>
  <c r="R39" i="54"/>
  <c r="V13" i="54"/>
  <c r="V36" i="54"/>
  <c r="L37" i="54"/>
  <c r="O36" i="54"/>
  <c r="J11" i="54"/>
  <c r="J23" i="54" s="1"/>
  <c r="N11" i="54"/>
  <c r="N23" i="54" s="1"/>
  <c r="C46" i="54"/>
  <c r="T39" i="54"/>
  <c r="D39" i="54"/>
  <c r="AC39" i="54"/>
  <c r="M39" i="54"/>
  <c r="T36" i="54"/>
  <c r="C40" i="54"/>
  <c r="AB39" i="54"/>
  <c r="W11" i="54"/>
  <c r="AB36" i="54"/>
  <c r="D36" i="54"/>
  <c r="M36" i="54"/>
  <c r="U36" i="54"/>
  <c r="L39" i="54"/>
  <c r="H11" i="54"/>
  <c r="L36" i="54"/>
  <c r="G13" i="54"/>
  <c r="O13" i="54"/>
  <c r="W13" i="54"/>
  <c r="C41" i="54"/>
  <c r="C49" i="54"/>
  <c r="L49" i="54"/>
  <c r="T49" i="54"/>
  <c r="AB49" i="54"/>
  <c r="C39" i="54"/>
  <c r="O11" i="54"/>
  <c r="P11" i="54"/>
  <c r="E39" i="54"/>
  <c r="I11" i="54"/>
  <c r="D37" i="54"/>
  <c r="D46" i="54" s="1"/>
  <c r="D41" i="54"/>
  <c r="AC49" i="54"/>
  <c r="U39" i="54"/>
  <c r="X11" i="54"/>
  <c r="Q11" i="54"/>
  <c r="AB28" i="54"/>
  <c r="E41" i="54"/>
  <c r="G11" i="54"/>
  <c r="Y11" i="54"/>
  <c r="G12" i="57" l="1"/>
  <c r="O12" i="57"/>
  <c r="R12" i="57"/>
  <c r="L9" i="57"/>
  <c r="J12" i="57"/>
  <c r="C9" i="57"/>
  <c r="C12" i="57" s="1"/>
  <c r="P12" i="57"/>
  <c r="N12" i="57"/>
  <c r="I9" i="57"/>
  <c r="I14" i="57" s="1"/>
  <c r="K9" i="57"/>
  <c r="K12" i="57" s="1"/>
  <c r="K14" i="57"/>
  <c r="B12" i="57"/>
  <c r="S9" i="57"/>
  <c r="S12" i="57" s="1"/>
  <c r="F14" i="57"/>
  <c r="D14" i="57"/>
  <c r="Q12" i="57"/>
  <c r="H12" i="57"/>
  <c r="J46" i="54"/>
  <c r="M9" i="57"/>
  <c r="M14" i="57" s="1"/>
  <c r="D9" i="57"/>
  <c r="D12" i="57" s="1"/>
  <c r="E9" i="57"/>
  <c r="I46" i="54"/>
  <c r="G44" i="54"/>
  <c r="T46" i="54"/>
  <c r="AC36" i="54"/>
  <c r="L46" i="54"/>
  <c r="M46" i="54"/>
  <c r="H44" i="54"/>
  <c r="H50" i="54" s="1"/>
  <c r="N44" i="54"/>
  <c r="N50" i="54" s="1"/>
  <c r="S44" i="54"/>
  <c r="S50" i="54" s="1"/>
  <c r="K44" i="54"/>
  <c r="K50" i="54" s="1"/>
  <c r="I44" i="54"/>
  <c r="I50" i="54" s="1"/>
  <c r="X44" i="54"/>
  <c r="AA44" i="54"/>
  <c r="AA50" i="54" s="1"/>
  <c r="AC4" i="54"/>
  <c r="Y41" i="1"/>
  <c r="Q44" i="54"/>
  <c r="Q50" i="54" s="1"/>
  <c r="K46" i="54"/>
  <c r="H46" i="54"/>
  <c r="AB4" i="12"/>
  <c r="AB11" i="12" s="1"/>
  <c r="AB37" i="54"/>
  <c r="AB46" i="54" s="1"/>
  <c r="T14" i="55"/>
  <c r="T15" i="55" s="1"/>
  <c r="R14" i="55"/>
  <c r="R15" i="55" s="1"/>
  <c r="L19" i="55"/>
  <c r="I14" i="55"/>
  <c r="I15" i="55" s="1"/>
  <c r="J19" i="55"/>
  <c r="S14" i="55"/>
  <c r="S15" i="55" s="1"/>
  <c r="O44" i="54"/>
  <c r="O50" i="54" s="1"/>
  <c r="E44" i="54"/>
  <c r="E50" i="54" s="1"/>
  <c r="P44" i="54"/>
  <c r="P50" i="54" s="1"/>
  <c r="R46" i="54"/>
  <c r="D44" i="54"/>
  <c r="D50" i="54" s="1"/>
  <c r="C44" i="54"/>
  <c r="C50" i="54" s="1"/>
  <c r="K19" i="55"/>
  <c r="Z44" i="54"/>
  <c r="Z50" i="54" s="1"/>
  <c r="Y44" i="54"/>
  <c r="V44" i="54"/>
  <c r="V50" i="54" s="1"/>
  <c r="U23" i="54"/>
  <c r="K23" i="54"/>
  <c r="P46" i="54"/>
  <c r="L27" i="54"/>
  <c r="L28" i="54"/>
  <c r="U44" i="54"/>
  <c r="U50" i="54" s="1"/>
  <c r="R28" i="54"/>
  <c r="J44" i="54"/>
  <c r="J50" i="54" s="1"/>
  <c r="U46" i="54"/>
  <c r="M44" i="54"/>
  <c r="M50" i="54" s="1"/>
  <c r="T27" i="54"/>
  <c r="M28" i="54"/>
  <c r="V27" i="54"/>
  <c r="V28" i="54"/>
  <c r="U28" i="54"/>
  <c r="R27" i="54"/>
  <c r="J27" i="54"/>
  <c r="J28" i="54"/>
  <c r="N28" i="54"/>
  <c r="K27" i="54"/>
  <c r="R44" i="54"/>
  <c r="R50" i="54" s="1"/>
  <c r="S27" i="54"/>
  <c r="T23" i="54"/>
  <c r="S23" i="54"/>
  <c r="M27" i="54"/>
  <c r="P14" i="55"/>
  <c r="P15" i="55" s="1"/>
  <c r="M14" i="55"/>
  <c r="M15" i="55" s="1"/>
  <c r="H14" i="55"/>
  <c r="H15" i="55" s="1"/>
  <c r="F14" i="55"/>
  <c r="F15" i="55" s="1"/>
  <c r="O14" i="55"/>
  <c r="O15" i="55" s="1"/>
  <c r="N19" i="55"/>
  <c r="E14" i="55"/>
  <c r="E15" i="55" s="1"/>
  <c r="J14" i="55"/>
  <c r="J15" i="55" s="1"/>
  <c r="B14" i="55"/>
  <c r="E19" i="55"/>
  <c r="M19" i="55"/>
  <c r="N14" i="55"/>
  <c r="N15" i="55" s="1"/>
  <c r="R19" i="55"/>
  <c r="G14" i="55"/>
  <c r="G15" i="55" s="1"/>
  <c r="P19" i="55"/>
  <c r="O19" i="55"/>
  <c r="L44" i="54"/>
  <c r="L50" i="54" s="1"/>
  <c r="N27" i="54"/>
  <c r="I23" i="54"/>
  <c r="I28" i="54"/>
  <c r="P23" i="54"/>
  <c r="P27" i="54"/>
  <c r="P28" i="54"/>
  <c r="T44" i="54"/>
  <c r="T50" i="54" s="1"/>
  <c r="I27" i="54"/>
  <c r="O23" i="54"/>
  <c r="O27" i="54"/>
  <c r="O28" i="54"/>
  <c r="Q23" i="54"/>
  <c r="Q28" i="54"/>
  <c r="X22" i="54"/>
  <c r="X23" i="54" s="1"/>
  <c r="Q27" i="54"/>
  <c r="Y22" i="54"/>
  <c r="Y23" i="54" s="1"/>
  <c r="H23" i="54"/>
  <c r="H28" i="54"/>
  <c r="H27" i="54"/>
  <c r="W23" i="54"/>
  <c r="G27" i="54"/>
  <c r="G28" i="54"/>
  <c r="G23" i="54"/>
  <c r="C14" i="57" l="1"/>
  <c r="L12" i="57"/>
  <c r="L14" i="57"/>
  <c r="E14" i="57"/>
  <c r="E12" i="57"/>
  <c r="S14" i="57"/>
  <c r="M12" i="57"/>
  <c r="I12" i="57"/>
  <c r="G50" i="54"/>
  <c r="Y45" i="54"/>
  <c r="AB44" i="54"/>
  <c r="AB50" i="54" s="1"/>
  <c r="AC4" i="12"/>
  <c r="AC11" i="12" s="1"/>
  <c r="AC13" i="54"/>
  <c r="AC37" i="54"/>
  <c r="W14" i="55"/>
  <c r="X11" i="55" s="1"/>
  <c r="B15" i="55"/>
  <c r="X13" i="55"/>
  <c r="BU44" i="18"/>
  <c r="BU45" i="18"/>
  <c r="W28" i="54"/>
  <c r="X27" i="54"/>
  <c r="Y27" i="54"/>
  <c r="U8" i="51"/>
  <c r="V8" i="51"/>
  <c r="W8" i="51"/>
  <c r="U6" i="51"/>
  <c r="V6" i="51"/>
  <c r="U7" i="51"/>
  <c r="V7" i="51"/>
  <c r="W7" i="51"/>
  <c r="W6" i="51"/>
  <c r="U3" i="51"/>
  <c r="V3" i="51"/>
  <c r="W3" i="51"/>
  <c r="U4" i="51"/>
  <c r="V4" i="51"/>
  <c r="W4" i="51"/>
  <c r="U5" i="51"/>
  <c r="V5" i="51"/>
  <c r="W5" i="51"/>
  <c r="U2" i="51"/>
  <c r="V2" i="51"/>
  <c r="W2" i="51"/>
  <c r="BW4" i="18"/>
  <c r="BV4" i="18"/>
  <c r="BU4" i="18"/>
  <c r="BU21" i="18" s="1"/>
  <c r="BT4" i="18"/>
  <c r="BS4" i="18"/>
  <c r="BR4" i="18"/>
  <c r="BQ4" i="18"/>
  <c r="BP4" i="18"/>
  <c r="BO4" i="18"/>
  <c r="BN4" i="18"/>
  <c r="BM4" i="18"/>
  <c r="BL4" i="18"/>
  <c r="BK4" i="18"/>
  <c r="BJ4" i="18"/>
  <c r="BI4" i="18"/>
  <c r="BH4" i="18"/>
  <c r="BG4" i="18"/>
  <c r="BF4" i="18"/>
  <c r="BE4" i="18"/>
  <c r="BD4" i="18"/>
  <c r="BC4" i="18"/>
  <c r="BB4" i="18"/>
  <c r="BA4"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D36" i="12"/>
  <c r="D39" i="12"/>
  <c r="E39" i="12"/>
  <c r="D40" i="12"/>
  <c r="D34" i="12"/>
  <c r="E34" i="12"/>
  <c r="C34" i="12"/>
  <c r="C39" i="12" s="1"/>
  <c r="AA34" i="12"/>
  <c r="AB34" i="12"/>
  <c r="AC34" i="12"/>
  <c r="Z34" i="12"/>
  <c r="H34" i="12"/>
  <c r="I34" i="12"/>
  <c r="J34" i="12"/>
  <c r="K34" i="12"/>
  <c r="L34" i="12"/>
  <c r="M34" i="12"/>
  <c r="N34" i="12"/>
  <c r="O34" i="12"/>
  <c r="P34" i="12"/>
  <c r="Q34" i="12"/>
  <c r="R34" i="12"/>
  <c r="S34" i="12"/>
  <c r="T34" i="12"/>
  <c r="U34" i="12"/>
  <c r="V34" i="12"/>
  <c r="W34" i="12"/>
  <c r="X34" i="12"/>
  <c r="Y34" i="12"/>
  <c r="G34" i="12"/>
  <c r="C4" i="12"/>
  <c r="D4" i="12"/>
  <c r="E4" i="12"/>
  <c r="C5" i="12"/>
  <c r="D5" i="12"/>
  <c r="E5" i="12"/>
  <c r="C6" i="12"/>
  <c r="D6" i="12"/>
  <c r="E6" i="12"/>
  <c r="C7" i="12"/>
  <c r="C40" i="12" s="1"/>
  <c r="D7" i="12"/>
  <c r="E7" i="12"/>
  <c r="C9" i="12"/>
  <c r="D9" i="12"/>
  <c r="E9" i="12"/>
  <c r="D3" i="12"/>
  <c r="E3" i="12"/>
  <c r="C3" i="12"/>
  <c r="AB42" i="12"/>
  <c r="Z22" i="12"/>
  <c r="Z23" i="12" s="1"/>
  <c r="AA22" i="12"/>
  <c r="AA23" i="12" s="1"/>
  <c r="AB22" i="12"/>
  <c r="AB23" i="12" s="1"/>
  <c r="Z26" i="12"/>
  <c r="Z27" i="12" s="1"/>
  <c r="AA26" i="12"/>
  <c r="AA27" i="12" s="1"/>
  <c r="AB26" i="12"/>
  <c r="AB27" i="12" s="1"/>
  <c r="B91" i="50"/>
  <c r="B92" i="50" s="1"/>
  <c r="B86" i="50"/>
  <c r="E75" i="50"/>
  <c r="C75" i="50"/>
  <c r="B75" i="50"/>
  <c r="F74" i="50"/>
  <c r="E73" i="50"/>
  <c r="C73" i="50"/>
  <c r="F73" i="50" s="1"/>
  <c r="C72" i="50"/>
  <c r="F72" i="50" s="1"/>
  <c r="D71" i="50"/>
  <c r="F71" i="50" s="1"/>
  <c r="C71" i="50"/>
  <c r="B71" i="50"/>
  <c r="D70" i="50"/>
  <c r="C70" i="50"/>
  <c r="B70" i="50"/>
  <c r="F70" i="50" s="1"/>
  <c r="D69" i="50"/>
  <c r="D75" i="50" s="1"/>
  <c r="C69" i="50"/>
  <c r="B69" i="50"/>
  <c r="E68" i="50"/>
  <c r="D68" i="50"/>
  <c r="C68" i="50"/>
  <c r="B68" i="50"/>
  <c r="F68" i="50" s="1"/>
  <c r="D62" i="50"/>
  <c r="D61" i="50"/>
  <c r="D63" i="50" s="1"/>
  <c r="D64" i="50" s="1"/>
  <c r="E64" i="50" s="1"/>
  <c r="D59" i="50"/>
  <c r="D58" i="50"/>
  <c r="D60" i="50" s="1"/>
  <c r="D56" i="50"/>
  <c r="D55" i="50"/>
  <c r="D54" i="50"/>
  <c r="D53" i="50"/>
  <c r="D52" i="50"/>
  <c r="D51" i="50"/>
  <c r="D50" i="50"/>
  <c r="D49" i="50"/>
  <c r="D57" i="50" s="1"/>
  <c r="D48" i="50"/>
  <c r="D47" i="50"/>
  <c r="D46" i="50"/>
  <c r="D45" i="50"/>
  <c r="D43" i="50"/>
  <c r="D42" i="50"/>
  <c r="D41" i="50"/>
  <c r="D44" i="50" s="1"/>
  <c r="D40" i="50"/>
  <c r="D39" i="50"/>
  <c r="D38" i="50"/>
  <c r="D37" i="50"/>
  <c r="D35" i="50"/>
  <c r="D34" i="50"/>
  <c r="D33" i="50"/>
  <c r="D36" i="50" s="1"/>
  <c r="D32" i="50"/>
  <c r="BU28" i="18" l="1"/>
  <c r="E36" i="12"/>
  <c r="D37" i="12"/>
  <c r="D51" i="12"/>
  <c r="D11" i="12"/>
  <c r="E51" i="12"/>
  <c r="C41" i="12"/>
  <c r="AC46" i="54"/>
  <c r="AC44" i="54"/>
  <c r="AC50" i="54" s="1"/>
  <c r="W9" i="51"/>
  <c r="AC26" i="12"/>
  <c r="AC27" i="12" s="1"/>
  <c r="Y28" i="54"/>
  <c r="BV23" i="18"/>
  <c r="BV29" i="18"/>
  <c r="BV22" i="18"/>
  <c r="BV26" i="18"/>
  <c r="BV27" i="18"/>
  <c r="BV28" i="18"/>
  <c r="BV21" i="18"/>
  <c r="BV35" i="18" s="1"/>
  <c r="BV25" i="18"/>
  <c r="BV24" i="18"/>
  <c r="BV32" i="18"/>
  <c r="BW41" i="18" s="1"/>
  <c r="BW21" i="18"/>
  <c r="BW27" i="18"/>
  <c r="BW22" i="18"/>
  <c r="BW28" i="18"/>
  <c r="BW23" i="18"/>
  <c r="BW29" i="18"/>
  <c r="BW32" i="18"/>
  <c r="BX41" i="18" s="1"/>
  <c r="BW26" i="18"/>
  <c r="BX40" i="18" s="1"/>
  <c r="BW25" i="18"/>
  <c r="BW24" i="18"/>
  <c r="X28" i="54"/>
  <c r="X49" i="54"/>
  <c r="Y49" i="54"/>
  <c r="Y50" i="54" s="1"/>
  <c r="BU46" i="18"/>
  <c r="W27" i="54"/>
  <c r="W49" i="54"/>
  <c r="W50" i="54" s="1"/>
  <c r="D46" i="12"/>
  <c r="BU27" i="18"/>
  <c r="E42" i="12"/>
  <c r="E38" i="12"/>
  <c r="BU25" i="18"/>
  <c r="BV39" i="18" s="1"/>
  <c r="D42" i="12"/>
  <c r="D38" i="12"/>
  <c r="D44" i="12" s="1"/>
  <c r="D52" i="12" s="1"/>
  <c r="BU24" i="18"/>
  <c r="BV38" i="18" s="1"/>
  <c r="E41" i="12"/>
  <c r="C51" i="12"/>
  <c r="BU23" i="18"/>
  <c r="C38" i="12"/>
  <c r="D41" i="12"/>
  <c r="BU32" i="18"/>
  <c r="BU22" i="18"/>
  <c r="C42" i="12"/>
  <c r="BU26" i="18"/>
  <c r="C36" i="12"/>
  <c r="C37" i="12"/>
  <c r="E37" i="12"/>
  <c r="AA40" i="12"/>
  <c r="E40" i="12"/>
  <c r="BU29" i="18"/>
  <c r="X12" i="55"/>
  <c r="Y13" i="55" s="1"/>
  <c r="Y13" i="12"/>
  <c r="AA13" i="12"/>
  <c r="Y42" i="12"/>
  <c r="AC42" i="12"/>
  <c r="AB28" i="12"/>
  <c r="AC38" i="12"/>
  <c r="Y41" i="12"/>
  <c r="AA28" i="12"/>
  <c r="Y39" i="12"/>
  <c r="C11" i="12"/>
  <c r="Z36" i="12"/>
  <c r="Z13" i="12"/>
  <c r="Y36" i="12"/>
  <c r="E11" i="12"/>
  <c r="AA42" i="12"/>
  <c r="AC40" i="12"/>
  <c r="AC13" i="12"/>
  <c r="Z42" i="12"/>
  <c r="Z38" i="12"/>
  <c r="Y38" i="12"/>
  <c r="AB36" i="12"/>
  <c r="AB13" i="12"/>
  <c r="AC41" i="12"/>
  <c r="AB41" i="12"/>
  <c r="AA39" i="12"/>
  <c r="Z39" i="12"/>
  <c r="AC36" i="12"/>
  <c r="AA36" i="12"/>
  <c r="AC39" i="12"/>
  <c r="AB38" i="12"/>
  <c r="AB39" i="12"/>
  <c r="AA38" i="12"/>
  <c r="AA41" i="12"/>
  <c r="Z41" i="12"/>
  <c r="AB40" i="12"/>
  <c r="Z40" i="12"/>
  <c r="Z28" i="12"/>
  <c r="AC37" i="12"/>
  <c r="AB51" i="12"/>
  <c r="AB37" i="12"/>
  <c r="AB46" i="12" s="1"/>
  <c r="AA51" i="12"/>
  <c r="AA37" i="12"/>
  <c r="Z51" i="12"/>
  <c r="Z37" i="12"/>
  <c r="Y37" i="12"/>
  <c r="F75" i="50"/>
  <c r="F69" i="50"/>
  <c r="B3" i="51"/>
  <c r="C3" i="51"/>
  <c r="C9" i="51" s="1"/>
  <c r="D3" i="51"/>
  <c r="D9" i="51" s="1"/>
  <c r="B4" i="51"/>
  <c r="C4" i="51"/>
  <c r="D4" i="51"/>
  <c r="B5" i="51"/>
  <c r="C5" i="51"/>
  <c r="D5" i="51"/>
  <c r="B6" i="51"/>
  <c r="C6" i="51"/>
  <c r="B8" i="51"/>
  <c r="C8" i="51"/>
  <c r="C2" i="51"/>
  <c r="D2" i="51"/>
  <c r="B2" i="51"/>
  <c r="B9" i="51" s="1"/>
  <c r="U9" i="51"/>
  <c r="V9" i="51"/>
  <c r="C11" i="50"/>
  <c r="D11" i="50"/>
  <c r="E21" i="50"/>
  <c r="F21" i="50"/>
  <c r="G21" i="50"/>
  <c r="H21" i="50"/>
  <c r="I21" i="50"/>
  <c r="J21" i="50"/>
  <c r="D21" i="50"/>
  <c r="C21" i="50"/>
  <c r="B21" i="50"/>
  <c r="B11" i="50"/>
  <c r="K15" i="50"/>
  <c r="K16" i="50"/>
  <c r="K17" i="50"/>
  <c r="K18" i="50"/>
  <c r="K19" i="50"/>
  <c r="K20" i="50"/>
  <c r="K14" i="50"/>
  <c r="K5" i="50"/>
  <c r="K6" i="50"/>
  <c r="K7" i="50"/>
  <c r="K8" i="50"/>
  <c r="K9" i="50"/>
  <c r="K10" i="50"/>
  <c r="K4" i="50"/>
  <c r="BT32" i="18"/>
  <c r="BT26" i="18"/>
  <c r="BQ24" i="18"/>
  <c r="BP29" i="18"/>
  <c r="BO24" i="18"/>
  <c r="BN24" i="18"/>
  <c r="BM23" i="18"/>
  <c r="BL25" i="18"/>
  <c r="BK25" i="18"/>
  <c r="BL39" i="18" s="1"/>
  <c r="BJ21" i="18"/>
  <c r="BH25" i="18"/>
  <c r="BG27" i="18"/>
  <c r="BE32" i="18"/>
  <c r="BD32" i="18"/>
  <c r="BC21" i="18"/>
  <c r="BB26" i="18"/>
  <c r="AZ29" i="18"/>
  <c r="AY27" i="18"/>
  <c r="AW22" i="18"/>
  <c r="AX36" i="18" s="1"/>
  <c r="AV23" i="18"/>
  <c r="AT26" i="18"/>
  <c r="AS23" i="18"/>
  <c r="AR29" i="18"/>
  <c r="AQ23" i="18"/>
  <c r="AP24" i="18"/>
  <c r="AO32" i="18"/>
  <c r="AN32" i="18"/>
  <c r="AM21" i="18"/>
  <c r="AL21" i="18"/>
  <c r="AK28" i="18"/>
  <c r="AJ29" i="18"/>
  <c r="AH22" i="18"/>
  <c r="AG23" i="18"/>
  <c r="AF25" i="18"/>
  <c r="AB25" i="18"/>
  <c r="X25" i="18"/>
  <c r="W25" i="18"/>
  <c r="T29" i="18"/>
  <c r="S22" i="18"/>
  <c r="N29" i="18"/>
  <c r="M29" i="18"/>
  <c r="L29" i="18"/>
  <c r="J22" i="18"/>
  <c r="I32" i="18"/>
  <c r="H22" i="18"/>
  <c r="G22" i="18"/>
  <c r="BT44" i="18"/>
  <c r="BT45" i="18" s="1"/>
  <c r="BT46" i="18" s="1"/>
  <c r="G18" i="29"/>
  <c r="G23" i="29"/>
  <c r="G43" i="29" s="1"/>
  <c r="G9" i="12" s="1"/>
  <c r="E8" i="51" s="1"/>
  <c r="G17" i="29"/>
  <c r="G37" i="29" s="1"/>
  <c r="G3" i="12" s="1"/>
  <c r="E2" i="51" s="1"/>
  <c r="G19" i="29"/>
  <c r="G20" i="29"/>
  <c r="G40" i="29" s="1"/>
  <c r="G6" i="12" s="1"/>
  <c r="E5" i="51" s="1"/>
  <c r="G21" i="29"/>
  <c r="G41" i="29" s="1"/>
  <c r="G7" i="12" s="1"/>
  <c r="E6" i="51" s="1"/>
  <c r="G22" i="29"/>
  <c r="G42" i="29" s="1"/>
  <c r="G8" i="12" s="1"/>
  <c r="E7" i="51" s="1"/>
  <c r="T56" i="47"/>
  <c r="S56" i="47"/>
  <c r="L56" i="47"/>
  <c r="K56" i="47"/>
  <c r="J56" i="47"/>
  <c r="D56" i="47"/>
  <c r="C56" i="47"/>
  <c r="S10" i="47"/>
  <c r="N10" i="47"/>
  <c r="L10" i="47"/>
  <c r="K8" i="47"/>
  <c r="K9" i="47" s="1"/>
  <c r="K10" i="47"/>
  <c r="J8" i="47"/>
  <c r="J10" i="47" s="1"/>
  <c r="I8" i="47"/>
  <c r="I56" i="47" s="1"/>
  <c r="I10" i="47"/>
  <c r="H8" i="47"/>
  <c r="H10" i="47"/>
  <c r="G8" i="47"/>
  <c r="F8" i="47"/>
  <c r="F56" i="47" s="1"/>
  <c r="E8" i="47"/>
  <c r="E10" i="47"/>
  <c r="D8" i="47"/>
  <c r="D9" i="47" s="1"/>
  <c r="D10" i="47"/>
  <c r="C10" i="47"/>
  <c r="C9" i="47"/>
  <c r="F9" i="47"/>
  <c r="I9" i="47"/>
  <c r="J9" i="47"/>
  <c r="L9" i="47"/>
  <c r="S9" i="47"/>
  <c r="L8" i="47"/>
  <c r="M8" i="47"/>
  <c r="N8" i="47"/>
  <c r="O8" i="47"/>
  <c r="O10" i="47" s="1"/>
  <c r="P8" i="47"/>
  <c r="P10" i="47" s="1"/>
  <c r="Q8" i="47"/>
  <c r="Q10" i="47" s="1"/>
  <c r="R8" i="47"/>
  <c r="R9" i="47" s="1"/>
  <c r="S8" i="47"/>
  <c r="T8" i="47"/>
  <c r="T10" i="47" s="1"/>
  <c r="L7" i="47"/>
  <c r="M7" i="47"/>
  <c r="N7" i="47"/>
  <c r="O7" i="47"/>
  <c r="P7" i="47"/>
  <c r="Q7" i="47"/>
  <c r="R7" i="47"/>
  <c r="S7" i="47"/>
  <c r="T7" i="47"/>
  <c r="K7" i="47"/>
  <c r="O5" i="12"/>
  <c r="M4" i="51" s="1"/>
  <c r="S6" i="12"/>
  <c r="Q5" i="51" s="1"/>
  <c r="O4" i="29"/>
  <c r="O5" i="29"/>
  <c r="O6" i="29"/>
  <c r="O7" i="29"/>
  <c r="O8" i="29"/>
  <c r="O14" i="29" s="1"/>
  <c r="O9" i="29"/>
  <c r="O10" i="29"/>
  <c r="O11" i="29"/>
  <c r="O12" i="29"/>
  <c r="O13" i="29"/>
  <c r="O3" i="29"/>
  <c r="I3" i="29"/>
  <c r="R106" i="29"/>
  <c r="I5" i="29"/>
  <c r="I6" i="29"/>
  <c r="I7" i="29"/>
  <c r="I8" i="29"/>
  <c r="I9" i="29"/>
  <c r="I10" i="29"/>
  <c r="I11" i="29"/>
  <c r="I12" i="29"/>
  <c r="I13" i="29"/>
  <c r="J3" i="29"/>
  <c r="W106" i="29"/>
  <c r="J4" i="29"/>
  <c r="J5" i="29"/>
  <c r="J6" i="29"/>
  <c r="J7" i="29"/>
  <c r="J8" i="29"/>
  <c r="J9" i="29"/>
  <c r="J10" i="29"/>
  <c r="J11" i="29"/>
  <c r="J12" i="29"/>
  <c r="J13" i="29"/>
  <c r="J14" i="29"/>
  <c r="AD67" i="29"/>
  <c r="K3" i="29" s="1"/>
  <c r="K14" i="29" s="1"/>
  <c r="AD79" i="29"/>
  <c r="AD83" i="29"/>
  <c r="AD93" i="29"/>
  <c r="AD97" i="29"/>
  <c r="AD103" i="29"/>
  <c r="K4" i="29"/>
  <c r="K5" i="29"/>
  <c r="K6" i="29"/>
  <c r="K7" i="29"/>
  <c r="K8" i="29"/>
  <c r="K9" i="29"/>
  <c r="K10" i="29"/>
  <c r="K11" i="29"/>
  <c r="K12" i="29"/>
  <c r="K13" i="29"/>
  <c r="L3" i="29"/>
  <c r="L4" i="29"/>
  <c r="L5" i="29"/>
  <c r="L6" i="29"/>
  <c r="L7" i="29"/>
  <c r="L8" i="29"/>
  <c r="L42" i="29" s="1"/>
  <c r="L8" i="12" s="1"/>
  <c r="J7" i="51" s="1"/>
  <c r="L9" i="29"/>
  <c r="L10" i="29"/>
  <c r="L11" i="29"/>
  <c r="L12" i="29"/>
  <c r="L13" i="29"/>
  <c r="M3" i="29"/>
  <c r="M4" i="29"/>
  <c r="M38" i="29" s="1"/>
  <c r="M4" i="12" s="1"/>
  <c r="K3" i="51" s="1"/>
  <c r="M5" i="29"/>
  <c r="M6" i="29"/>
  <c r="M7" i="29"/>
  <c r="M8" i="29"/>
  <c r="M9" i="29"/>
  <c r="M10" i="29"/>
  <c r="M11" i="29"/>
  <c r="M12" i="29"/>
  <c r="M13" i="29"/>
  <c r="N3" i="29"/>
  <c r="N14" i="29" s="1"/>
  <c r="N4" i="29"/>
  <c r="N5" i="29"/>
  <c r="N6" i="29"/>
  <c r="N7" i="29"/>
  <c r="N8" i="29"/>
  <c r="N42" i="29" s="1"/>
  <c r="N8" i="12" s="1"/>
  <c r="L7" i="51" s="1"/>
  <c r="N9" i="29"/>
  <c r="N10" i="29"/>
  <c r="N11" i="29"/>
  <c r="N12" i="29"/>
  <c r="N13" i="29"/>
  <c r="P3" i="29"/>
  <c r="P4" i="29"/>
  <c r="P5" i="29"/>
  <c r="P6" i="29"/>
  <c r="P7" i="29"/>
  <c r="P8" i="29"/>
  <c r="P9" i="29"/>
  <c r="P10" i="29"/>
  <c r="P11" i="29"/>
  <c r="P12" i="29"/>
  <c r="P13" i="29"/>
  <c r="Q3" i="29"/>
  <c r="Q4" i="29"/>
  <c r="Q5" i="29"/>
  <c r="Q6" i="29"/>
  <c r="Q7" i="29"/>
  <c r="Q8" i="29"/>
  <c r="Q9" i="29"/>
  <c r="Q10" i="29"/>
  <c r="Q11" i="29"/>
  <c r="Q12" i="29"/>
  <c r="Q13" i="29"/>
  <c r="R3" i="29"/>
  <c r="R4" i="29"/>
  <c r="R5" i="29"/>
  <c r="R6" i="29"/>
  <c r="R7" i="29"/>
  <c r="R8" i="29"/>
  <c r="R9" i="29"/>
  <c r="R10" i="29"/>
  <c r="R11" i="29"/>
  <c r="R12" i="29"/>
  <c r="R13" i="29"/>
  <c r="S3" i="29"/>
  <c r="S4" i="29"/>
  <c r="S5" i="29"/>
  <c r="S6" i="29"/>
  <c r="S7" i="29"/>
  <c r="S8" i="29"/>
  <c r="S9" i="29"/>
  <c r="S10" i="29"/>
  <c r="S11" i="29"/>
  <c r="S12" i="29"/>
  <c r="S13" i="29"/>
  <c r="T3" i="29"/>
  <c r="T4" i="29"/>
  <c r="T5" i="29"/>
  <c r="T6" i="29"/>
  <c r="T7" i="29"/>
  <c r="T8" i="29"/>
  <c r="T9" i="29"/>
  <c r="T10" i="29"/>
  <c r="T11" i="29"/>
  <c r="T12" i="29"/>
  <c r="T13" i="29"/>
  <c r="U3" i="29"/>
  <c r="U4" i="29"/>
  <c r="U14" i="29" s="1"/>
  <c r="U5" i="29"/>
  <c r="U6" i="29"/>
  <c r="U7" i="29"/>
  <c r="U41" i="29" s="1"/>
  <c r="U7" i="12" s="1"/>
  <c r="S6" i="51" s="1"/>
  <c r="U8" i="29"/>
  <c r="U9" i="29"/>
  <c r="U10" i="29"/>
  <c r="U11" i="29"/>
  <c r="U12" i="29"/>
  <c r="U13" i="29"/>
  <c r="V3" i="29"/>
  <c r="V4" i="29"/>
  <c r="V5" i="29"/>
  <c r="V6" i="29"/>
  <c r="V7" i="29"/>
  <c r="V8" i="29"/>
  <c r="V9" i="29"/>
  <c r="V10" i="29"/>
  <c r="V11" i="29"/>
  <c r="V12" i="29"/>
  <c r="V13" i="29"/>
  <c r="H3" i="29"/>
  <c r="H4" i="29"/>
  <c r="H14" i="29" s="1"/>
  <c r="H5" i="29"/>
  <c r="H6" i="29"/>
  <c r="H7" i="29"/>
  <c r="H8" i="29"/>
  <c r="H9" i="29"/>
  <c r="H10" i="29"/>
  <c r="H11" i="29"/>
  <c r="H12" i="29"/>
  <c r="H13" i="29"/>
  <c r="I48" i="29"/>
  <c r="J48" i="29"/>
  <c r="K56" i="29"/>
  <c r="K57" i="29"/>
  <c r="K58" i="29"/>
  <c r="K59" i="29"/>
  <c r="K53" i="29"/>
  <c r="K54" i="29"/>
  <c r="K55" i="29"/>
  <c r="K60" i="29"/>
  <c r="K61" i="29"/>
  <c r="K62" i="29"/>
  <c r="K63" i="29"/>
  <c r="K64" i="29"/>
  <c r="K65" i="29"/>
  <c r="K66" i="29"/>
  <c r="K67" i="29"/>
  <c r="K68" i="29"/>
  <c r="K69" i="29"/>
  <c r="K70" i="29"/>
  <c r="K71" i="29"/>
  <c r="K72" i="29"/>
  <c r="K73" i="29"/>
  <c r="K74" i="29"/>
  <c r="K75" i="29"/>
  <c r="K76" i="29"/>
  <c r="K79" i="29"/>
  <c r="K80" i="29"/>
  <c r="K81" i="29"/>
  <c r="K82" i="29"/>
  <c r="K83" i="29"/>
  <c r="K84" i="29"/>
  <c r="K85" i="29"/>
  <c r="K86" i="29"/>
  <c r="K87" i="29"/>
  <c r="K88" i="29"/>
  <c r="K89" i="29"/>
  <c r="K93" i="29"/>
  <c r="K94" i="29"/>
  <c r="K95" i="29"/>
  <c r="K96" i="29"/>
  <c r="K97" i="29"/>
  <c r="K98" i="29"/>
  <c r="K99" i="29"/>
  <c r="K100" i="29"/>
  <c r="K101" i="29"/>
  <c r="K102" i="29"/>
  <c r="K103" i="29"/>
  <c r="K104" i="29"/>
  <c r="K105" i="29"/>
  <c r="K106" i="29"/>
  <c r="K108" i="29"/>
  <c r="K109" i="29"/>
  <c r="K110" i="29"/>
  <c r="K111" i="29"/>
  <c r="K112" i="29"/>
  <c r="K113" i="29"/>
  <c r="K114" i="29"/>
  <c r="K115" i="29"/>
  <c r="K116" i="29"/>
  <c r="K117" i="29"/>
  <c r="K118" i="29"/>
  <c r="K119" i="29"/>
  <c r="K120" i="29"/>
  <c r="K121" i="29"/>
  <c r="K122" i="29"/>
  <c r="K123" i="29"/>
  <c r="K124" i="29"/>
  <c r="K126" i="29"/>
  <c r="K127" i="29"/>
  <c r="K128" i="29"/>
  <c r="K129" i="29"/>
  <c r="K130" i="29"/>
  <c r="K131" i="29"/>
  <c r="K132" i="29"/>
  <c r="K133" i="29"/>
  <c r="K134" i="29"/>
  <c r="K135" i="29"/>
  <c r="K136" i="29"/>
  <c r="K137" i="29"/>
  <c r="K138" i="29"/>
  <c r="K140" i="29"/>
  <c r="K141" i="29"/>
  <c r="K142" i="29"/>
  <c r="H143" i="29"/>
  <c r="K143" i="29"/>
  <c r="H145" i="29"/>
  <c r="L145" i="29" s="1"/>
  <c r="K146" i="29"/>
  <c r="H147" i="29"/>
  <c r="K147" i="29" s="1"/>
  <c r="K148" i="29"/>
  <c r="K149" i="29"/>
  <c r="K150" i="29"/>
  <c r="K151" i="29"/>
  <c r="K152" i="29"/>
  <c r="K153" i="29"/>
  <c r="K154" i="29"/>
  <c r="K155" i="29"/>
  <c r="K156" i="29"/>
  <c r="K157" i="29"/>
  <c r="H158" i="29"/>
  <c r="K158" i="29" s="1"/>
  <c r="K159" i="29"/>
  <c r="K160" i="29"/>
  <c r="K161" i="29"/>
  <c r="K162" i="29"/>
  <c r="K163" i="29"/>
  <c r="K164" i="29"/>
  <c r="K165" i="29"/>
  <c r="K166" i="29"/>
  <c r="K167" i="29"/>
  <c r="K168" i="29"/>
  <c r="K169" i="29"/>
  <c r="K170" i="29"/>
  <c r="K171" i="29"/>
  <c r="K172" i="29"/>
  <c r="K173" i="29"/>
  <c r="K174" i="29"/>
  <c r="K175" i="29"/>
  <c r="K177" i="29"/>
  <c r="K178" i="29"/>
  <c r="K179" i="29"/>
  <c r="K180" i="29"/>
  <c r="K181" i="29"/>
  <c r="K182" i="29"/>
  <c r="K183" i="29"/>
  <c r="K184" i="29"/>
  <c r="K185" i="29"/>
  <c r="K186" i="29"/>
  <c r="K187" i="29"/>
  <c r="K188" i="29"/>
  <c r="K189" i="29"/>
  <c r="K190" i="29"/>
  <c r="K191" i="29"/>
  <c r="K192" i="29"/>
  <c r="K193" i="29"/>
  <c r="K194" i="29"/>
  <c r="K195" i="29"/>
  <c r="K196" i="29"/>
  <c r="K197" i="29"/>
  <c r="K198" i="29"/>
  <c r="K199" i="29"/>
  <c r="K200" i="29"/>
  <c r="H201" i="29"/>
  <c r="K202" i="29"/>
  <c r="K203" i="29"/>
  <c r="K204" i="29"/>
  <c r="K205" i="29"/>
  <c r="H206" i="29"/>
  <c r="K206" i="29" s="1"/>
  <c r="K207" i="29"/>
  <c r="K208" i="29"/>
  <c r="K209" i="29"/>
  <c r="K210" i="29"/>
  <c r="K211" i="29"/>
  <c r="K212" i="29"/>
  <c r="K214" i="29"/>
  <c r="K215" i="29"/>
  <c r="K216" i="29"/>
  <c r="K218" i="29"/>
  <c r="K219" i="29"/>
  <c r="K220" i="29"/>
  <c r="K221" i="29"/>
  <c r="K223" i="29"/>
  <c r="K224" i="29"/>
  <c r="K225" i="29"/>
  <c r="K226" i="29"/>
  <c r="K227" i="29"/>
  <c r="K228" i="29"/>
  <c r="K229" i="29"/>
  <c r="K230" i="29"/>
  <c r="K231" i="29"/>
  <c r="K232" i="29"/>
  <c r="K233" i="29"/>
  <c r="K234" i="29"/>
  <c r="K235" i="29"/>
  <c r="K236" i="29"/>
  <c r="K237" i="29"/>
  <c r="K238" i="29"/>
  <c r="K239" i="29"/>
  <c r="K240" i="29"/>
  <c r="K241" i="29"/>
  <c r="K242" i="29"/>
  <c r="K243" i="29"/>
  <c r="K244" i="29"/>
  <c r="K245" i="29"/>
  <c r="K246" i="29"/>
  <c r="K247" i="29"/>
  <c r="L56" i="29"/>
  <c r="L57" i="29"/>
  <c r="L58" i="29"/>
  <c r="L59" i="29"/>
  <c r="L53" i="29"/>
  <c r="L54" i="29"/>
  <c r="L55" i="29"/>
  <c r="L60" i="29"/>
  <c r="L61" i="29"/>
  <c r="L62" i="29"/>
  <c r="L63" i="29"/>
  <c r="L64" i="29"/>
  <c r="L65" i="29"/>
  <c r="L66" i="29"/>
  <c r="L67" i="29"/>
  <c r="L68" i="29"/>
  <c r="L69" i="29"/>
  <c r="L70" i="29"/>
  <c r="L71" i="29"/>
  <c r="L72" i="29"/>
  <c r="L73" i="29"/>
  <c r="L74" i="29"/>
  <c r="L75" i="29"/>
  <c r="L76" i="29"/>
  <c r="L79" i="29"/>
  <c r="L80" i="29"/>
  <c r="L81" i="29"/>
  <c r="L82" i="29"/>
  <c r="L83" i="29"/>
  <c r="L84" i="29"/>
  <c r="L85" i="29"/>
  <c r="L86" i="29"/>
  <c r="L87" i="29"/>
  <c r="L88" i="29"/>
  <c r="L89" i="29"/>
  <c r="L93" i="29"/>
  <c r="L94" i="29"/>
  <c r="L95" i="29"/>
  <c r="L96" i="29"/>
  <c r="L97" i="29"/>
  <c r="L98" i="29"/>
  <c r="L99" i="29"/>
  <c r="L100" i="29"/>
  <c r="L101" i="29"/>
  <c r="L102" i="29"/>
  <c r="L103" i="29"/>
  <c r="L104" i="29"/>
  <c r="L105" i="29"/>
  <c r="L106" i="29"/>
  <c r="L108" i="29"/>
  <c r="L109" i="29"/>
  <c r="L110" i="29"/>
  <c r="L111" i="29"/>
  <c r="L112" i="29"/>
  <c r="L113" i="29"/>
  <c r="L114" i="29"/>
  <c r="L115" i="29"/>
  <c r="L116" i="29"/>
  <c r="L117" i="29"/>
  <c r="L118" i="29"/>
  <c r="L119" i="29"/>
  <c r="L120" i="29"/>
  <c r="L121" i="29"/>
  <c r="L122" i="29"/>
  <c r="L123" i="29"/>
  <c r="L124" i="29"/>
  <c r="L126" i="29"/>
  <c r="L127" i="29"/>
  <c r="L128" i="29"/>
  <c r="L129" i="29"/>
  <c r="L130" i="29"/>
  <c r="L131" i="29"/>
  <c r="L132" i="29"/>
  <c r="L133" i="29"/>
  <c r="L134" i="29"/>
  <c r="L135" i="29"/>
  <c r="L136" i="29"/>
  <c r="L137" i="29"/>
  <c r="L138" i="29"/>
  <c r="L140" i="29"/>
  <c r="L141" i="29"/>
  <c r="L142" i="29"/>
  <c r="L143" i="29"/>
  <c r="L146" i="29"/>
  <c r="L148" i="29"/>
  <c r="L149" i="29"/>
  <c r="L150" i="29"/>
  <c r="L151" i="29"/>
  <c r="L152" i="29"/>
  <c r="L153" i="29"/>
  <c r="L154" i="29"/>
  <c r="L155" i="29"/>
  <c r="L156" i="29"/>
  <c r="L157" i="29"/>
  <c r="L159" i="29"/>
  <c r="L160" i="29"/>
  <c r="L161" i="29"/>
  <c r="L162" i="29"/>
  <c r="L163" i="29"/>
  <c r="L164" i="29"/>
  <c r="L165" i="29"/>
  <c r="L166" i="29"/>
  <c r="L167" i="29"/>
  <c r="L168" i="29"/>
  <c r="L169" i="29"/>
  <c r="L170" i="29"/>
  <c r="L171" i="29"/>
  <c r="L172" i="29"/>
  <c r="L173" i="29"/>
  <c r="L174" i="29"/>
  <c r="L175" i="29"/>
  <c r="L177" i="29"/>
  <c r="L178" i="29"/>
  <c r="L179" i="29"/>
  <c r="L180" i="29"/>
  <c r="L181" i="29"/>
  <c r="L182" i="29"/>
  <c r="L183" i="29"/>
  <c r="L184" i="29"/>
  <c r="L185" i="29"/>
  <c r="L186" i="29"/>
  <c r="L187" i="29"/>
  <c r="L188" i="29"/>
  <c r="L189" i="29"/>
  <c r="L190" i="29"/>
  <c r="L191" i="29"/>
  <c r="L192" i="29"/>
  <c r="L193" i="29"/>
  <c r="L194" i="29"/>
  <c r="L195" i="29"/>
  <c r="L196" i="29"/>
  <c r="L197" i="29"/>
  <c r="L198" i="29"/>
  <c r="L199" i="29"/>
  <c r="L200" i="29"/>
  <c r="L202" i="29"/>
  <c r="L203" i="29"/>
  <c r="L204" i="29"/>
  <c r="L205" i="29"/>
  <c r="L206" i="29"/>
  <c r="L207" i="29"/>
  <c r="L208" i="29"/>
  <c r="L209" i="29"/>
  <c r="L210" i="29"/>
  <c r="L211" i="29"/>
  <c r="L212" i="29"/>
  <c r="L214" i="29"/>
  <c r="L215" i="29"/>
  <c r="L216" i="29"/>
  <c r="L218" i="29"/>
  <c r="L219" i="29"/>
  <c r="L220" i="29"/>
  <c r="L221" i="29"/>
  <c r="L223" i="29"/>
  <c r="L224" i="29"/>
  <c r="L225" i="29"/>
  <c r="L226" i="29"/>
  <c r="L227" i="29"/>
  <c r="L228" i="29"/>
  <c r="L229" i="29"/>
  <c r="L230" i="29"/>
  <c r="L231" i="29"/>
  <c r="L232" i="29"/>
  <c r="L233" i="29"/>
  <c r="L234" i="29"/>
  <c r="L235" i="29"/>
  <c r="L236" i="29"/>
  <c r="L237" i="29"/>
  <c r="L238" i="29"/>
  <c r="L239" i="29"/>
  <c r="L240" i="29"/>
  <c r="L241" i="29"/>
  <c r="L242" i="29"/>
  <c r="L243" i="29"/>
  <c r="L244" i="29"/>
  <c r="L245" i="29"/>
  <c r="L246" i="29"/>
  <c r="L247" i="29"/>
  <c r="M48" i="29"/>
  <c r="N48" i="29"/>
  <c r="O48" i="29"/>
  <c r="P48" i="29"/>
  <c r="Q48" i="29"/>
  <c r="S48" i="29"/>
  <c r="T48" i="29"/>
  <c r="U48" i="29"/>
  <c r="V128" i="29"/>
  <c r="V141" i="29"/>
  <c r="W48" i="29"/>
  <c r="X48" i="29"/>
  <c r="Y56" i="29"/>
  <c r="Y57" i="29"/>
  <c r="Y58" i="29"/>
  <c r="Y59" i="29"/>
  <c r="Y53" i="29"/>
  <c r="Y54" i="29"/>
  <c r="Y55" i="29"/>
  <c r="Y60" i="29"/>
  <c r="Y61" i="29"/>
  <c r="Y62" i="29"/>
  <c r="Y63" i="29"/>
  <c r="Y64" i="29"/>
  <c r="Y65" i="29"/>
  <c r="Y66" i="29"/>
  <c r="Y67" i="29"/>
  <c r="Y68" i="29"/>
  <c r="Y69" i="29"/>
  <c r="Y70" i="29"/>
  <c r="Y71" i="29"/>
  <c r="Y72" i="29"/>
  <c r="Y73" i="29"/>
  <c r="Y74" i="29"/>
  <c r="Y75" i="29"/>
  <c r="Y76" i="29"/>
  <c r="Y79" i="29"/>
  <c r="Y80" i="29"/>
  <c r="Y81" i="29"/>
  <c r="Y82" i="29"/>
  <c r="Y83" i="29"/>
  <c r="Y84" i="29"/>
  <c r="Y85" i="29"/>
  <c r="Y86" i="29"/>
  <c r="Y87" i="29"/>
  <c r="Y88" i="29"/>
  <c r="Y89" i="29"/>
  <c r="Y93" i="29"/>
  <c r="Y94" i="29"/>
  <c r="Y95" i="29"/>
  <c r="Y96" i="29"/>
  <c r="Y97" i="29"/>
  <c r="Y98" i="29"/>
  <c r="Y99" i="29"/>
  <c r="Y100" i="29"/>
  <c r="Y101" i="29"/>
  <c r="Y102" i="29"/>
  <c r="Y103" i="29"/>
  <c r="Y104" i="29"/>
  <c r="Y105" i="29"/>
  <c r="Y106" i="29"/>
  <c r="Y108" i="29"/>
  <c r="Y109" i="29"/>
  <c r="Y110" i="29"/>
  <c r="Y111" i="29"/>
  <c r="Y112" i="29"/>
  <c r="Y113" i="29"/>
  <c r="Y114" i="29"/>
  <c r="Y115" i="29"/>
  <c r="Y116" i="29"/>
  <c r="Y117" i="29"/>
  <c r="Y118" i="29"/>
  <c r="Y119" i="29"/>
  <c r="Y120" i="29"/>
  <c r="Y121" i="29"/>
  <c r="Y122" i="29"/>
  <c r="Y123" i="29"/>
  <c r="Y124" i="29"/>
  <c r="Y126" i="29"/>
  <c r="Y127" i="29"/>
  <c r="Y128" i="29"/>
  <c r="Y129" i="29"/>
  <c r="Y130" i="29"/>
  <c r="Y131" i="29"/>
  <c r="Y132" i="29"/>
  <c r="Y133" i="29"/>
  <c r="Y134" i="29"/>
  <c r="Y135" i="29"/>
  <c r="Y136" i="29"/>
  <c r="Y137" i="29"/>
  <c r="Y138" i="29"/>
  <c r="Y140" i="29"/>
  <c r="Y142" i="29"/>
  <c r="Y143" i="29"/>
  <c r="Y145" i="29"/>
  <c r="Y146" i="29"/>
  <c r="Y147" i="29"/>
  <c r="Y148" i="29"/>
  <c r="Y149" i="29"/>
  <c r="Y150" i="29"/>
  <c r="Y151" i="29"/>
  <c r="Y152" i="29"/>
  <c r="Y153" i="29"/>
  <c r="Y154" i="29"/>
  <c r="Y155" i="29"/>
  <c r="Y156" i="29"/>
  <c r="Y157" i="29"/>
  <c r="Y158" i="29"/>
  <c r="Y159" i="29"/>
  <c r="Y160" i="29"/>
  <c r="Y161" i="29"/>
  <c r="Y162" i="29"/>
  <c r="Y163" i="29"/>
  <c r="Y164" i="29"/>
  <c r="Y165" i="29"/>
  <c r="Y166" i="29"/>
  <c r="Y167" i="29"/>
  <c r="Y168" i="29"/>
  <c r="Y169" i="29"/>
  <c r="Y170" i="29"/>
  <c r="Y171" i="29"/>
  <c r="Y172" i="29"/>
  <c r="Y173" i="29"/>
  <c r="Y174" i="29"/>
  <c r="Y175" i="29"/>
  <c r="Y177" i="29"/>
  <c r="Y178" i="29"/>
  <c r="Y179" i="29"/>
  <c r="Y180" i="29"/>
  <c r="Y181" i="29"/>
  <c r="Y182" i="29"/>
  <c r="Y183" i="29"/>
  <c r="Y184" i="29"/>
  <c r="Y185" i="29"/>
  <c r="Y186" i="29"/>
  <c r="Y187" i="29"/>
  <c r="Y188" i="29"/>
  <c r="Y189" i="29"/>
  <c r="Y190" i="29"/>
  <c r="Y191" i="29"/>
  <c r="Y192" i="29"/>
  <c r="Y193" i="29"/>
  <c r="Y194" i="29"/>
  <c r="Y195" i="29"/>
  <c r="Y196" i="29"/>
  <c r="Y197" i="29"/>
  <c r="Y198" i="29"/>
  <c r="Y199" i="29"/>
  <c r="Y200" i="29"/>
  <c r="Y201" i="29"/>
  <c r="Y202" i="29"/>
  <c r="Y203" i="29"/>
  <c r="Y204" i="29"/>
  <c r="Y205" i="29"/>
  <c r="Y206" i="29"/>
  <c r="Y207" i="29"/>
  <c r="Y208" i="29"/>
  <c r="Y209" i="29"/>
  <c r="Y210" i="29"/>
  <c r="Y211" i="29"/>
  <c r="Y212" i="29"/>
  <c r="Y214" i="29"/>
  <c r="Y215" i="29"/>
  <c r="Y216" i="29"/>
  <c r="Y218" i="29"/>
  <c r="Y219" i="29"/>
  <c r="Y220" i="29"/>
  <c r="Y221" i="29"/>
  <c r="Y223" i="29"/>
  <c r="Y224" i="29"/>
  <c r="Y225" i="29"/>
  <c r="Y226" i="29"/>
  <c r="Y227" i="29"/>
  <c r="Y228" i="29"/>
  <c r="Y229" i="29"/>
  <c r="Y230" i="29"/>
  <c r="Y231" i="29"/>
  <c r="Y232" i="29"/>
  <c r="Y233" i="29"/>
  <c r="Y234" i="29"/>
  <c r="Y235" i="29"/>
  <c r="Y236" i="29"/>
  <c r="Y237" i="29"/>
  <c r="Y238" i="29"/>
  <c r="Y239" i="29"/>
  <c r="Y240" i="29"/>
  <c r="Y241" i="29"/>
  <c r="Y242" i="29"/>
  <c r="Y243" i="29"/>
  <c r="Y244" i="29"/>
  <c r="Y245" i="29"/>
  <c r="Y246" i="29"/>
  <c r="Y247" i="29"/>
  <c r="Z48" i="29"/>
  <c r="AA48" i="29"/>
  <c r="AB83" i="29"/>
  <c r="AG83" i="29" s="1"/>
  <c r="AB97" i="29"/>
  <c r="AG97" i="29" s="1"/>
  <c r="AB197" i="29"/>
  <c r="AB48" i="29"/>
  <c r="AC48" i="29"/>
  <c r="AD48" i="29"/>
  <c r="AE48" i="29"/>
  <c r="AF48" i="29"/>
  <c r="AG56" i="29"/>
  <c r="AG57" i="29"/>
  <c r="AG58" i="29"/>
  <c r="AG59" i="29"/>
  <c r="AG53" i="29"/>
  <c r="AG54" i="29"/>
  <c r="AG55" i="29"/>
  <c r="AG60" i="29"/>
  <c r="AG61" i="29"/>
  <c r="AG62" i="29"/>
  <c r="AG63" i="29"/>
  <c r="AG64" i="29"/>
  <c r="AG65" i="29"/>
  <c r="AG66" i="29"/>
  <c r="AG67" i="29"/>
  <c r="AG68" i="29"/>
  <c r="AG69" i="29"/>
  <c r="AG70" i="29"/>
  <c r="AG71" i="29"/>
  <c r="AG72" i="29"/>
  <c r="AG73" i="29"/>
  <c r="AG74" i="29"/>
  <c r="AG75" i="29"/>
  <c r="AG76" i="29"/>
  <c r="AG79" i="29"/>
  <c r="AG80" i="29"/>
  <c r="AG81" i="29"/>
  <c r="AG82" i="29"/>
  <c r="AG84" i="29"/>
  <c r="AG85" i="29"/>
  <c r="AG86" i="29"/>
  <c r="AG87" i="29"/>
  <c r="AG88" i="29"/>
  <c r="AG89" i="29"/>
  <c r="AG93" i="29"/>
  <c r="AG94" i="29"/>
  <c r="AG95" i="29"/>
  <c r="AG96" i="29"/>
  <c r="AG98" i="29"/>
  <c r="AG99" i="29"/>
  <c r="AG100" i="29"/>
  <c r="AG101" i="29"/>
  <c r="AG102" i="29"/>
  <c r="AG103" i="29"/>
  <c r="AG104" i="29"/>
  <c r="AG105" i="29"/>
  <c r="AG106" i="29"/>
  <c r="AG108" i="29"/>
  <c r="AG109" i="29"/>
  <c r="AG110" i="29"/>
  <c r="AG111" i="29"/>
  <c r="AG112" i="29"/>
  <c r="AG113" i="29"/>
  <c r="AG114" i="29"/>
  <c r="AG115" i="29"/>
  <c r="AG116" i="29"/>
  <c r="AG117" i="29"/>
  <c r="AG118" i="29"/>
  <c r="AG119" i="29"/>
  <c r="AG120" i="29"/>
  <c r="AG121" i="29"/>
  <c r="AG122" i="29"/>
  <c r="AG123" i="29"/>
  <c r="AG124" i="29"/>
  <c r="AG126" i="29"/>
  <c r="AG127" i="29"/>
  <c r="AG128" i="29"/>
  <c r="AG129" i="29"/>
  <c r="AG130" i="29"/>
  <c r="AG131" i="29"/>
  <c r="AG132" i="29"/>
  <c r="AG133" i="29"/>
  <c r="AG134" i="29"/>
  <c r="AG135" i="29"/>
  <c r="AG136" i="29"/>
  <c r="AG137" i="29"/>
  <c r="AG138" i="29"/>
  <c r="AG140" i="29"/>
  <c r="AG141" i="29"/>
  <c r="AG142" i="29"/>
  <c r="AG143" i="29"/>
  <c r="AG145" i="29"/>
  <c r="AG146" i="29"/>
  <c r="AG147" i="29"/>
  <c r="AG148" i="29"/>
  <c r="AG149" i="29"/>
  <c r="AG150" i="29"/>
  <c r="AG151" i="29"/>
  <c r="AG152" i="29"/>
  <c r="AG153" i="29"/>
  <c r="AG154" i="29"/>
  <c r="AG155" i="29"/>
  <c r="AG156" i="29"/>
  <c r="AG157" i="29"/>
  <c r="AG158" i="29"/>
  <c r="AG159" i="29"/>
  <c r="AG160" i="29"/>
  <c r="AG161" i="29"/>
  <c r="AG162" i="29"/>
  <c r="AG163" i="29"/>
  <c r="AG164" i="29"/>
  <c r="AG165" i="29"/>
  <c r="AG166" i="29"/>
  <c r="AG167" i="29"/>
  <c r="AG168" i="29"/>
  <c r="AG169" i="29"/>
  <c r="AG170" i="29"/>
  <c r="AG171" i="29"/>
  <c r="AG172" i="29"/>
  <c r="AG173" i="29"/>
  <c r="AG174" i="29"/>
  <c r="AG175" i="29"/>
  <c r="AG177" i="29"/>
  <c r="AG178" i="29"/>
  <c r="AG179" i="29"/>
  <c r="AG180" i="29"/>
  <c r="AG181" i="29"/>
  <c r="AG182" i="29"/>
  <c r="AG183" i="29"/>
  <c r="AG184" i="29"/>
  <c r="AG185" i="29"/>
  <c r="AG186" i="29"/>
  <c r="AG187" i="29"/>
  <c r="AG188" i="29"/>
  <c r="AG189" i="29"/>
  <c r="AG190" i="29"/>
  <c r="AG191" i="29"/>
  <c r="AG192" i="29"/>
  <c r="AG193" i="29"/>
  <c r="AG194" i="29"/>
  <c r="AG195" i="29"/>
  <c r="AG196" i="29"/>
  <c r="AG197" i="29"/>
  <c r="AG198" i="29"/>
  <c r="AG199" i="29"/>
  <c r="AG200" i="29"/>
  <c r="AG201" i="29"/>
  <c r="AG202" i="29"/>
  <c r="AG203" i="29"/>
  <c r="AG204" i="29"/>
  <c r="AG205" i="29"/>
  <c r="AG206" i="29"/>
  <c r="AG207" i="29"/>
  <c r="AG208" i="29"/>
  <c r="AG209" i="29"/>
  <c r="AG210" i="29"/>
  <c r="AG211" i="29"/>
  <c r="AG212" i="29"/>
  <c r="AG214" i="29"/>
  <c r="AG215" i="29"/>
  <c r="AG216" i="29"/>
  <c r="AG218" i="29"/>
  <c r="AG219" i="29"/>
  <c r="AG220" i="29"/>
  <c r="AG221" i="29"/>
  <c r="AG222" i="29"/>
  <c r="AG223" i="29"/>
  <c r="AG224" i="29"/>
  <c r="AG225" i="29"/>
  <c r="AG226" i="29"/>
  <c r="AG227" i="29"/>
  <c r="AG228" i="29"/>
  <c r="AG229" i="29"/>
  <c r="AG230" i="29"/>
  <c r="AG231" i="29"/>
  <c r="AG232" i="29"/>
  <c r="AG233" i="29"/>
  <c r="AG234" i="29"/>
  <c r="AG235" i="29"/>
  <c r="AG236" i="29"/>
  <c r="AG237" i="29"/>
  <c r="AG238" i="29"/>
  <c r="AG239" i="29"/>
  <c r="AG240" i="29"/>
  <c r="AG241" i="29"/>
  <c r="AG242" i="29"/>
  <c r="AG243" i="29"/>
  <c r="AG244" i="29"/>
  <c r="AG245" i="29"/>
  <c r="AG246" i="29"/>
  <c r="AG247" i="29"/>
  <c r="AH48" i="29"/>
  <c r="AI48" i="29"/>
  <c r="AJ48" i="29"/>
  <c r="AK48" i="29"/>
  <c r="AL48" i="29"/>
  <c r="AM48" i="29"/>
  <c r="AN56" i="29"/>
  <c r="AN57" i="29"/>
  <c r="AN58" i="29"/>
  <c r="AN59" i="29"/>
  <c r="AN53" i="29"/>
  <c r="AN48" i="29" s="1"/>
  <c r="AN54" i="29"/>
  <c r="AN55" i="29"/>
  <c r="AN60" i="29"/>
  <c r="AN61" i="29"/>
  <c r="AN62" i="29"/>
  <c r="AN63" i="29"/>
  <c r="AN64" i="29"/>
  <c r="AN65" i="29"/>
  <c r="AN66" i="29"/>
  <c r="AN67" i="29"/>
  <c r="AN68" i="29"/>
  <c r="AN69" i="29"/>
  <c r="AN70" i="29"/>
  <c r="AN71" i="29"/>
  <c r="AN72" i="29"/>
  <c r="AN73" i="29"/>
  <c r="AN74" i="29"/>
  <c r="AN75" i="29"/>
  <c r="AN76" i="29"/>
  <c r="AN79" i="29"/>
  <c r="AN80" i="29"/>
  <c r="AN81" i="29"/>
  <c r="AN82" i="29"/>
  <c r="AN83" i="29"/>
  <c r="AN84" i="29"/>
  <c r="AN85" i="29"/>
  <c r="AN86" i="29"/>
  <c r="AN87" i="29"/>
  <c r="AN88" i="29"/>
  <c r="AN89" i="29"/>
  <c r="AN93" i="29"/>
  <c r="AN94" i="29"/>
  <c r="AN95" i="29"/>
  <c r="AN96" i="29"/>
  <c r="AN97" i="29"/>
  <c r="AN98" i="29"/>
  <c r="AN99" i="29"/>
  <c r="AN100" i="29"/>
  <c r="AN101" i="29"/>
  <c r="AN102" i="29"/>
  <c r="AN103" i="29"/>
  <c r="AN104" i="29"/>
  <c r="AN105" i="29"/>
  <c r="AN106" i="29"/>
  <c r="AN108" i="29"/>
  <c r="AN109" i="29"/>
  <c r="AN110" i="29"/>
  <c r="AN111" i="29"/>
  <c r="AN112" i="29"/>
  <c r="AN113" i="29"/>
  <c r="AN114" i="29"/>
  <c r="AN115" i="29"/>
  <c r="AN116" i="29"/>
  <c r="AN117" i="29"/>
  <c r="AN118" i="29"/>
  <c r="AN119" i="29"/>
  <c r="AN120" i="29"/>
  <c r="AN121" i="29"/>
  <c r="AN122" i="29"/>
  <c r="AN123" i="29"/>
  <c r="AN124" i="29"/>
  <c r="AN126" i="29"/>
  <c r="AN127" i="29"/>
  <c r="AN128" i="29"/>
  <c r="AN129" i="29"/>
  <c r="AN130" i="29"/>
  <c r="AN131" i="29"/>
  <c r="AN132" i="29"/>
  <c r="AN133" i="29"/>
  <c r="AN134" i="29"/>
  <c r="AN135" i="29"/>
  <c r="AN136" i="29"/>
  <c r="AN137" i="29"/>
  <c r="AN138" i="29"/>
  <c r="AN140" i="29"/>
  <c r="AN141" i="29"/>
  <c r="AN142" i="29"/>
  <c r="AN143" i="29"/>
  <c r="AN145" i="29"/>
  <c r="AN146" i="29"/>
  <c r="AN147" i="29"/>
  <c r="AN148" i="29"/>
  <c r="AN149" i="29"/>
  <c r="AN150" i="29"/>
  <c r="AN151" i="29"/>
  <c r="AN152" i="29"/>
  <c r="AN153" i="29"/>
  <c r="AN154" i="29"/>
  <c r="AN155" i="29"/>
  <c r="AN156" i="29"/>
  <c r="AN157" i="29"/>
  <c r="AN158" i="29"/>
  <c r="AN159" i="29"/>
  <c r="AN160" i="29"/>
  <c r="AN161" i="29"/>
  <c r="AN162" i="29"/>
  <c r="AN163" i="29"/>
  <c r="AN164" i="29"/>
  <c r="AN165" i="29"/>
  <c r="AN166" i="29"/>
  <c r="AN167" i="29"/>
  <c r="AN168" i="29"/>
  <c r="AN169" i="29"/>
  <c r="AN170" i="29"/>
  <c r="AN171" i="29"/>
  <c r="AN172" i="29"/>
  <c r="AN173" i="29"/>
  <c r="AN174" i="29"/>
  <c r="AN175" i="29"/>
  <c r="AN177" i="29"/>
  <c r="AN178" i="29"/>
  <c r="AN179" i="29"/>
  <c r="AN180" i="29"/>
  <c r="AN181" i="29"/>
  <c r="AN182" i="29"/>
  <c r="AN183" i="29"/>
  <c r="AN184" i="29"/>
  <c r="AN185" i="29"/>
  <c r="AN186" i="29"/>
  <c r="AN187" i="29"/>
  <c r="AN188" i="29"/>
  <c r="AN189" i="29"/>
  <c r="AN190" i="29"/>
  <c r="AN191" i="29"/>
  <c r="AN192" i="29"/>
  <c r="AN193" i="29"/>
  <c r="AN194" i="29"/>
  <c r="AN195" i="29"/>
  <c r="AN196" i="29"/>
  <c r="AN197" i="29"/>
  <c r="AN198" i="29"/>
  <c r="AN199" i="29"/>
  <c r="AN200" i="29"/>
  <c r="AN201" i="29"/>
  <c r="AN202" i="29"/>
  <c r="AN203" i="29"/>
  <c r="AN204" i="29"/>
  <c r="AN205" i="29"/>
  <c r="AN206" i="29"/>
  <c r="AN207" i="29"/>
  <c r="AN208" i="29"/>
  <c r="AN209" i="29"/>
  <c r="AN210" i="29"/>
  <c r="AN211" i="29"/>
  <c r="AN212" i="29"/>
  <c r="AN214" i="29"/>
  <c r="AN215" i="29"/>
  <c r="AN216" i="29"/>
  <c r="AN218" i="29"/>
  <c r="AN219" i="29"/>
  <c r="AN220" i="29"/>
  <c r="AN221" i="29"/>
  <c r="AN222" i="29"/>
  <c r="AN223" i="29"/>
  <c r="AN224" i="29"/>
  <c r="AN225" i="29"/>
  <c r="AN226" i="29"/>
  <c r="AN227" i="29"/>
  <c r="AN228" i="29"/>
  <c r="AN229" i="29"/>
  <c r="AN230" i="29"/>
  <c r="AN231" i="29"/>
  <c r="AN232" i="29"/>
  <c r="AN233" i="29"/>
  <c r="AN234" i="29"/>
  <c r="AN235" i="29"/>
  <c r="AN236" i="29"/>
  <c r="AN237" i="29"/>
  <c r="AN238" i="29"/>
  <c r="AN239" i="29"/>
  <c r="AN240" i="29"/>
  <c r="AN241" i="29"/>
  <c r="AN242" i="29"/>
  <c r="AN243" i="29"/>
  <c r="AN244" i="29"/>
  <c r="AN245" i="29"/>
  <c r="AN246" i="29"/>
  <c r="AN247" i="29"/>
  <c r="AO48" i="29"/>
  <c r="AP48" i="29"/>
  <c r="AQ48" i="29"/>
  <c r="AR48" i="29"/>
  <c r="AS48" i="29"/>
  <c r="AT48" i="29"/>
  <c r="AU56" i="29"/>
  <c r="AU57" i="29"/>
  <c r="AU58" i="29"/>
  <c r="AU59" i="29"/>
  <c r="AU53" i="29"/>
  <c r="AU54" i="29"/>
  <c r="AU55" i="29"/>
  <c r="AU60" i="29"/>
  <c r="AU61" i="29"/>
  <c r="AU62" i="29"/>
  <c r="AU63" i="29"/>
  <c r="AU64" i="29"/>
  <c r="AU65" i="29"/>
  <c r="AU66" i="29"/>
  <c r="AU67" i="29"/>
  <c r="AU68" i="29"/>
  <c r="AU69" i="29"/>
  <c r="AU70" i="29"/>
  <c r="AU71" i="29"/>
  <c r="AU72" i="29"/>
  <c r="AU73" i="29"/>
  <c r="AU74" i="29"/>
  <c r="AU75" i="29"/>
  <c r="AU76" i="29"/>
  <c r="AU79" i="29"/>
  <c r="AU80" i="29"/>
  <c r="AU81" i="29"/>
  <c r="AU82" i="29"/>
  <c r="AU83" i="29"/>
  <c r="AU84" i="29"/>
  <c r="AU85" i="29"/>
  <c r="AU86" i="29"/>
  <c r="AU87" i="29"/>
  <c r="AU88" i="29"/>
  <c r="AU89" i="29"/>
  <c r="AU93" i="29"/>
  <c r="AU94" i="29"/>
  <c r="AU95" i="29"/>
  <c r="AU96" i="29"/>
  <c r="AU97" i="29"/>
  <c r="AU98" i="29"/>
  <c r="AU99" i="29"/>
  <c r="AU100" i="29"/>
  <c r="AU101" i="29"/>
  <c r="AU102" i="29"/>
  <c r="AU103" i="29"/>
  <c r="AU104" i="29"/>
  <c r="AU105" i="29"/>
  <c r="AU106" i="29"/>
  <c r="AU108" i="29"/>
  <c r="AU109" i="29"/>
  <c r="AU110" i="29"/>
  <c r="AU111" i="29"/>
  <c r="AU112" i="29"/>
  <c r="AU113" i="29"/>
  <c r="AU114" i="29"/>
  <c r="AU115" i="29"/>
  <c r="AU116" i="29"/>
  <c r="AU117" i="29"/>
  <c r="AU118" i="29"/>
  <c r="AU119" i="29"/>
  <c r="AU120" i="29"/>
  <c r="AU121" i="29"/>
  <c r="AU122" i="29"/>
  <c r="AU123" i="29"/>
  <c r="AU124" i="29"/>
  <c r="AU126" i="29"/>
  <c r="AU127" i="29"/>
  <c r="AU128" i="29"/>
  <c r="AU129" i="29"/>
  <c r="AU130" i="29"/>
  <c r="AU131" i="29"/>
  <c r="AU132" i="29"/>
  <c r="AU133" i="29"/>
  <c r="AU134" i="29"/>
  <c r="AU135" i="29"/>
  <c r="AU136" i="29"/>
  <c r="AU137" i="29"/>
  <c r="AU138" i="29"/>
  <c r="AU140" i="29"/>
  <c r="AU141" i="29"/>
  <c r="AU142" i="29"/>
  <c r="AU143" i="29"/>
  <c r="AU145" i="29"/>
  <c r="AU146" i="29"/>
  <c r="AU147" i="29"/>
  <c r="AU148" i="29"/>
  <c r="AU149" i="29"/>
  <c r="AU150" i="29"/>
  <c r="AU151" i="29"/>
  <c r="AU152" i="29"/>
  <c r="AU153" i="29"/>
  <c r="AU154" i="29"/>
  <c r="AU155" i="29"/>
  <c r="AU156" i="29"/>
  <c r="AU157" i="29"/>
  <c r="AU158" i="29"/>
  <c r="AU159" i="29"/>
  <c r="AU160" i="29"/>
  <c r="AU161" i="29"/>
  <c r="AU162" i="29"/>
  <c r="AU163" i="29"/>
  <c r="AU164" i="29"/>
  <c r="AU165" i="29"/>
  <c r="AU166" i="29"/>
  <c r="AU167" i="29"/>
  <c r="AU168" i="29"/>
  <c r="AU169" i="29"/>
  <c r="AU170" i="29"/>
  <c r="AU171" i="29"/>
  <c r="AU172" i="29"/>
  <c r="AU173" i="29"/>
  <c r="AU174" i="29"/>
  <c r="AU175" i="29"/>
  <c r="AU177" i="29"/>
  <c r="AU178" i="29"/>
  <c r="AU179" i="29"/>
  <c r="AU180" i="29"/>
  <c r="AU181" i="29"/>
  <c r="AU182" i="29"/>
  <c r="AU183" i="29"/>
  <c r="AU184" i="29"/>
  <c r="AU185" i="29"/>
  <c r="AU186" i="29"/>
  <c r="AU187" i="29"/>
  <c r="AU188" i="29"/>
  <c r="AU189" i="29"/>
  <c r="AU190" i="29"/>
  <c r="AU191" i="29"/>
  <c r="AU192" i="29"/>
  <c r="AU193" i="29"/>
  <c r="AU194" i="29"/>
  <c r="AU195" i="29"/>
  <c r="AU196" i="29"/>
  <c r="AU197" i="29"/>
  <c r="AU198" i="29"/>
  <c r="AU199" i="29"/>
  <c r="AU200" i="29"/>
  <c r="AU201" i="29"/>
  <c r="AU202" i="29"/>
  <c r="AU203" i="29"/>
  <c r="AU204" i="29"/>
  <c r="AU205" i="29"/>
  <c r="AU206" i="29"/>
  <c r="AU207" i="29"/>
  <c r="AU208" i="29"/>
  <c r="AU209" i="29"/>
  <c r="AU210" i="29"/>
  <c r="AU211" i="29"/>
  <c r="AU212" i="29"/>
  <c r="AU214" i="29"/>
  <c r="AU215" i="29"/>
  <c r="AU216" i="29"/>
  <c r="AU218" i="29"/>
  <c r="AU219" i="29"/>
  <c r="AU220" i="29"/>
  <c r="AU221" i="29"/>
  <c r="AU222" i="29"/>
  <c r="AU223" i="29"/>
  <c r="AU224" i="29"/>
  <c r="AU225" i="29"/>
  <c r="AU226" i="29"/>
  <c r="AU227" i="29"/>
  <c r="AU228" i="29"/>
  <c r="AU229" i="29"/>
  <c r="AU230" i="29"/>
  <c r="AU231" i="29"/>
  <c r="AU232" i="29"/>
  <c r="AU233" i="29"/>
  <c r="AU234" i="29"/>
  <c r="AU235" i="29"/>
  <c r="AU236" i="29"/>
  <c r="AU237" i="29"/>
  <c r="AU238" i="29"/>
  <c r="AU239" i="29"/>
  <c r="AU240" i="29"/>
  <c r="AU241" i="29"/>
  <c r="AU242" i="29"/>
  <c r="AU243" i="29"/>
  <c r="AU244" i="29"/>
  <c r="AU245" i="29"/>
  <c r="AU246" i="29"/>
  <c r="AU247" i="29"/>
  <c r="AU48" i="29"/>
  <c r="AV48" i="29"/>
  <c r="AW48" i="29"/>
  <c r="AX48" i="29"/>
  <c r="AY48" i="29"/>
  <c r="AZ48" i="29"/>
  <c r="BA48" i="29"/>
  <c r="BB48" i="29"/>
  <c r="BC56" i="29"/>
  <c r="BC57" i="29"/>
  <c r="BC58" i="29"/>
  <c r="BC59" i="29"/>
  <c r="BC53" i="29"/>
  <c r="BC54" i="29"/>
  <c r="BC55" i="29"/>
  <c r="BC60" i="29"/>
  <c r="BC61" i="29"/>
  <c r="BC62" i="29"/>
  <c r="BC63" i="29"/>
  <c r="BC64" i="29"/>
  <c r="BC65" i="29"/>
  <c r="BC66" i="29"/>
  <c r="BC67" i="29"/>
  <c r="BC68" i="29"/>
  <c r="BC69" i="29"/>
  <c r="BC70" i="29"/>
  <c r="BC71" i="29"/>
  <c r="BC72" i="29"/>
  <c r="BC73" i="29"/>
  <c r="BC74" i="29"/>
  <c r="BC75" i="29"/>
  <c r="BC76" i="29"/>
  <c r="BC79" i="29"/>
  <c r="BC80" i="29"/>
  <c r="BC81" i="29"/>
  <c r="BC82" i="29"/>
  <c r="BC83" i="29"/>
  <c r="BC84" i="29"/>
  <c r="BC85" i="29"/>
  <c r="BC86" i="29"/>
  <c r="BC87" i="29"/>
  <c r="BC88" i="29"/>
  <c r="BC89" i="29"/>
  <c r="BC93" i="29"/>
  <c r="BC94" i="29"/>
  <c r="BC95" i="29"/>
  <c r="BC96" i="29"/>
  <c r="BC97" i="29"/>
  <c r="BC98" i="29"/>
  <c r="BC99" i="29"/>
  <c r="BC100" i="29"/>
  <c r="BC101" i="29"/>
  <c r="BC102" i="29"/>
  <c r="BC103" i="29"/>
  <c r="BC104" i="29"/>
  <c r="BC105" i="29"/>
  <c r="BC106" i="29"/>
  <c r="BC108" i="29"/>
  <c r="BC109" i="29"/>
  <c r="BC110" i="29"/>
  <c r="BC111" i="29"/>
  <c r="BC112" i="29"/>
  <c r="BC113" i="29"/>
  <c r="BC114" i="29"/>
  <c r="BC115" i="29"/>
  <c r="BC116" i="29"/>
  <c r="BC117" i="29"/>
  <c r="BC118" i="29"/>
  <c r="BC119" i="29"/>
  <c r="BC120" i="29"/>
  <c r="BC121" i="29"/>
  <c r="BC122" i="29"/>
  <c r="BC123" i="29"/>
  <c r="BC124" i="29"/>
  <c r="BC126" i="29"/>
  <c r="BC127" i="29"/>
  <c r="BC128" i="29"/>
  <c r="BC129" i="29"/>
  <c r="BC130" i="29"/>
  <c r="BC131" i="29"/>
  <c r="BC132" i="29"/>
  <c r="BC133" i="29"/>
  <c r="BC134" i="29"/>
  <c r="BC135" i="29"/>
  <c r="BC136" i="29"/>
  <c r="BC137" i="29"/>
  <c r="BC138" i="29"/>
  <c r="BC140" i="29"/>
  <c r="BC141" i="29"/>
  <c r="BC142" i="29"/>
  <c r="BC143" i="29"/>
  <c r="BC145" i="29"/>
  <c r="BC146" i="29"/>
  <c r="BC147" i="29"/>
  <c r="BC148" i="29"/>
  <c r="BC149" i="29"/>
  <c r="BC150" i="29"/>
  <c r="BC151" i="29"/>
  <c r="BC152" i="29"/>
  <c r="BC153" i="29"/>
  <c r="BC154" i="29"/>
  <c r="BC155" i="29"/>
  <c r="BC156" i="29"/>
  <c r="BC157" i="29"/>
  <c r="BC158" i="29"/>
  <c r="BC159" i="29"/>
  <c r="BC160" i="29"/>
  <c r="BC161" i="29"/>
  <c r="BC162" i="29"/>
  <c r="BC163" i="29"/>
  <c r="BC164" i="29"/>
  <c r="BC165" i="29"/>
  <c r="BC166" i="29"/>
  <c r="BC167" i="29"/>
  <c r="BC168" i="29"/>
  <c r="BC169" i="29"/>
  <c r="BC170" i="29"/>
  <c r="BC171" i="29"/>
  <c r="BC172" i="29"/>
  <c r="BC173" i="29"/>
  <c r="BC174" i="29"/>
  <c r="BC175" i="29"/>
  <c r="BC177" i="29"/>
  <c r="BC178" i="29"/>
  <c r="BC179" i="29"/>
  <c r="BC180" i="29"/>
  <c r="BC181" i="29"/>
  <c r="BC182" i="29"/>
  <c r="BC183" i="29"/>
  <c r="BC184" i="29"/>
  <c r="BC185" i="29"/>
  <c r="BC186" i="29"/>
  <c r="BC187" i="29"/>
  <c r="BC188" i="29"/>
  <c r="BC189" i="29"/>
  <c r="BC190" i="29"/>
  <c r="BC191" i="29"/>
  <c r="BC192" i="29"/>
  <c r="BC193" i="29"/>
  <c r="BC194" i="29"/>
  <c r="BC195" i="29"/>
  <c r="BC196" i="29"/>
  <c r="BC197" i="29"/>
  <c r="BC198" i="29"/>
  <c r="BC199" i="29"/>
  <c r="BC200" i="29"/>
  <c r="BC201" i="29"/>
  <c r="BC202" i="29"/>
  <c r="BC203" i="29"/>
  <c r="BC204" i="29"/>
  <c r="BC205" i="29"/>
  <c r="BC206" i="29"/>
  <c r="BC207" i="29"/>
  <c r="BC208" i="29"/>
  <c r="BC209" i="29"/>
  <c r="BC210" i="29"/>
  <c r="BC211" i="29"/>
  <c r="BC212" i="29"/>
  <c r="BC214" i="29"/>
  <c r="BC215" i="29"/>
  <c r="BC216" i="29"/>
  <c r="BC218" i="29"/>
  <c r="BC219" i="29"/>
  <c r="BC220" i="29"/>
  <c r="BC221" i="29"/>
  <c r="BC222" i="29"/>
  <c r="BC223" i="29"/>
  <c r="BC224" i="29"/>
  <c r="BC225" i="29"/>
  <c r="BC226" i="29"/>
  <c r="BC227" i="29"/>
  <c r="BC228" i="29"/>
  <c r="BC229" i="29"/>
  <c r="BC230" i="29"/>
  <c r="BC231" i="29"/>
  <c r="BC232" i="29"/>
  <c r="BC233" i="29"/>
  <c r="BC234" i="29"/>
  <c r="BC235" i="29"/>
  <c r="BC236" i="29"/>
  <c r="BC237" i="29"/>
  <c r="BC238" i="29"/>
  <c r="BC239" i="29"/>
  <c r="BC240" i="29"/>
  <c r="BC241" i="29"/>
  <c r="BC242" i="29"/>
  <c r="BC243" i="29"/>
  <c r="BC244" i="29"/>
  <c r="BC245" i="29"/>
  <c r="BC246" i="29"/>
  <c r="BC247" i="29"/>
  <c r="BD48" i="29"/>
  <c r="BE48" i="29"/>
  <c r="BF48" i="29"/>
  <c r="BG48" i="29"/>
  <c r="BH48" i="29"/>
  <c r="BI48" i="29"/>
  <c r="BJ48" i="29"/>
  <c r="BK56" i="29"/>
  <c r="BK57" i="29"/>
  <c r="BK58" i="29"/>
  <c r="BK59" i="29"/>
  <c r="BK53" i="29"/>
  <c r="BK48" i="29" s="1"/>
  <c r="BK54" i="29"/>
  <c r="BK55" i="29"/>
  <c r="BK60" i="29"/>
  <c r="BK61" i="29"/>
  <c r="BK62" i="29"/>
  <c r="BK63" i="29"/>
  <c r="BK64" i="29"/>
  <c r="BK65" i="29"/>
  <c r="BK66" i="29"/>
  <c r="BK67" i="29"/>
  <c r="BK68" i="29"/>
  <c r="BK69" i="29"/>
  <c r="BK70" i="29"/>
  <c r="BK71" i="29"/>
  <c r="BK72" i="29"/>
  <c r="BK73" i="29"/>
  <c r="BK74" i="29"/>
  <c r="BK75" i="29"/>
  <c r="BK76" i="29"/>
  <c r="BK77" i="29"/>
  <c r="BK79" i="29"/>
  <c r="BK80" i="29"/>
  <c r="BK81" i="29"/>
  <c r="BK82" i="29"/>
  <c r="BK83" i="29"/>
  <c r="BK84" i="29"/>
  <c r="BK85" i="29"/>
  <c r="BK86" i="29"/>
  <c r="BK87" i="29"/>
  <c r="BK88" i="29"/>
  <c r="BK89" i="29"/>
  <c r="BK93" i="29"/>
  <c r="BK94" i="29"/>
  <c r="BK95" i="29"/>
  <c r="BK96" i="29"/>
  <c r="BK97" i="29"/>
  <c r="BK98" i="29"/>
  <c r="BK99" i="29"/>
  <c r="BK100" i="29"/>
  <c r="BK101" i="29"/>
  <c r="BK102" i="29"/>
  <c r="BK103" i="29"/>
  <c r="BK104" i="29"/>
  <c r="BK105" i="29"/>
  <c r="BK106" i="29"/>
  <c r="BK108" i="29"/>
  <c r="BK109" i="29"/>
  <c r="BK110" i="29"/>
  <c r="BK111" i="29"/>
  <c r="BK112" i="29"/>
  <c r="BK113" i="29"/>
  <c r="BK114" i="29"/>
  <c r="BK115" i="29"/>
  <c r="BK116" i="29"/>
  <c r="BK117" i="29"/>
  <c r="BK118" i="29"/>
  <c r="BK119" i="29"/>
  <c r="BK120" i="29"/>
  <c r="BK121" i="29"/>
  <c r="BK122" i="29"/>
  <c r="BK123" i="29"/>
  <c r="BK124" i="29"/>
  <c r="BK126" i="29"/>
  <c r="BK127" i="29"/>
  <c r="BK128" i="29"/>
  <c r="BK129" i="29"/>
  <c r="BK130" i="29"/>
  <c r="BK131" i="29"/>
  <c r="BK132" i="29"/>
  <c r="BK133" i="29"/>
  <c r="BK134" i="29"/>
  <c r="BK135" i="29"/>
  <c r="BK136" i="29"/>
  <c r="BK137" i="29"/>
  <c r="BK138" i="29"/>
  <c r="BK140" i="29"/>
  <c r="BK141" i="29"/>
  <c r="BK142" i="29"/>
  <c r="BK143" i="29"/>
  <c r="BK145" i="29"/>
  <c r="BK146" i="29"/>
  <c r="BK147" i="29"/>
  <c r="BK148" i="29"/>
  <c r="BK149" i="29"/>
  <c r="BK150" i="29"/>
  <c r="BK151" i="29"/>
  <c r="BK152" i="29"/>
  <c r="BK153" i="29"/>
  <c r="BK154" i="29"/>
  <c r="BK155" i="29"/>
  <c r="BK156" i="29"/>
  <c r="BK157" i="29"/>
  <c r="BK158" i="29"/>
  <c r="BK159" i="29"/>
  <c r="BK160" i="29"/>
  <c r="BK161" i="29"/>
  <c r="BK162" i="29"/>
  <c r="BK163" i="29"/>
  <c r="BK164" i="29"/>
  <c r="BK165" i="29"/>
  <c r="BK166" i="29"/>
  <c r="BK167" i="29"/>
  <c r="BK168" i="29"/>
  <c r="BK169" i="29"/>
  <c r="BK170" i="29"/>
  <c r="BK171" i="29"/>
  <c r="BK172" i="29"/>
  <c r="BK173" i="29"/>
  <c r="BK174" i="29"/>
  <c r="BK175" i="29"/>
  <c r="BK177" i="29"/>
  <c r="BK178" i="29"/>
  <c r="BK179" i="29"/>
  <c r="BK180" i="29"/>
  <c r="BK181" i="29"/>
  <c r="BK182" i="29"/>
  <c r="BK183" i="29"/>
  <c r="BK184" i="29"/>
  <c r="BK185" i="29"/>
  <c r="BK186" i="29"/>
  <c r="BK187" i="29"/>
  <c r="BK188" i="29"/>
  <c r="BK189" i="29"/>
  <c r="BK190" i="29"/>
  <c r="BK191" i="29"/>
  <c r="BK192" i="29"/>
  <c r="BK193" i="29"/>
  <c r="BK194" i="29"/>
  <c r="BK195" i="29"/>
  <c r="BK196" i="29"/>
  <c r="BK197" i="29"/>
  <c r="BK198" i="29"/>
  <c r="BK199" i="29"/>
  <c r="BK200" i="29"/>
  <c r="BK201" i="29"/>
  <c r="BK202" i="29"/>
  <c r="BK203" i="29"/>
  <c r="BK204" i="29"/>
  <c r="BK205" i="29"/>
  <c r="BK206" i="29"/>
  <c r="BK207" i="29"/>
  <c r="BK208" i="29"/>
  <c r="BK209" i="29"/>
  <c r="BK210" i="29"/>
  <c r="BK211" i="29"/>
  <c r="BK212" i="29"/>
  <c r="BK214" i="29"/>
  <c r="BK215" i="29"/>
  <c r="BK216" i="29"/>
  <c r="BK218" i="29"/>
  <c r="BK219" i="29"/>
  <c r="BK220" i="29"/>
  <c r="BK221" i="29"/>
  <c r="BK222" i="29"/>
  <c r="BK223" i="29"/>
  <c r="BK224" i="29"/>
  <c r="BK225" i="29"/>
  <c r="BK226" i="29"/>
  <c r="BK227" i="29"/>
  <c r="BK228" i="29"/>
  <c r="BK229" i="29"/>
  <c r="BK230" i="29"/>
  <c r="BK231" i="29"/>
  <c r="BK232" i="29"/>
  <c r="BK233" i="29"/>
  <c r="BK234" i="29"/>
  <c r="BK235" i="29"/>
  <c r="BK236" i="29"/>
  <c r="BK237" i="29"/>
  <c r="BK238" i="29"/>
  <c r="BK239" i="29"/>
  <c r="BK240" i="29"/>
  <c r="BK241" i="29"/>
  <c r="BK242" i="29"/>
  <c r="BK243" i="29"/>
  <c r="BK244" i="29"/>
  <c r="BK245" i="29"/>
  <c r="BK246" i="29"/>
  <c r="BK247" i="29"/>
  <c r="BL48" i="29"/>
  <c r="BM48" i="29"/>
  <c r="BN48" i="29"/>
  <c r="BO48" i="29"/>
  <c r="BP48" i="29"/>
  <c r="BQ48" i="29"/>
  <c r="BR48" i="29"/>
  <c r="BS56" i="29"/>
  <c r="BS57" i="29"/>
  <c r="BS58" i="29"/>
  <c r="BS59" i="29"/>
  <c r="BS53" i="29"/>
  <c r="BS54" i="29"/>
  <c r="BS55" i="29"/>
  <c r="BS60" i="29"/>
  <c r="BS61" i="29"/>
  <c r="BS62" i="29"/>
  <c r="BS63" i="29"/>
  <c r="BS64" i="29"/>
  <c r="BS65" i="29"/>
  <c r="BS66" i="29"/>
  <c r="BS67" i="29"/>
  <c r="BS68" i="29"/>
  <c r="BS69" i="29"/>
  <c r="BS70" i="29"/>
  <c r="BS71" i="29"/>
  <c r="BS72" i="29"/>
  <c r="BS73" i="29"/>
  <c r="BS74" i="29"/>
  <c r="BS75" i="29"/>
  <c r="BS76" i="29"/>
  <c r="BS77" i="29"/>
  <c r="BS79" i="29"/>
  <c r="BS80" i="29"/>
  <c r="BS81" i="29"/>
  <c r="BS82" i="29"/>
  <c r="BS83" i="29"/>
  <c r="BS84" i="29"/>
  <c r="BS85" i="29"/>
  <c r="BS86" i="29"/>
  <c r="BS87" i="29"/>
  <c r="BS88" i="29"/>
  <c r="BS89" i="29"/>
  <c r="BS91" i="29"/>
  <c r="BS93" i="29"/>
  <c r="BS94" i="29"/>
  <c r="BS95" i="29"/>
  <c r="BS96" i="29"/>
  <c r="BS97" i="29"/>
  <c r="BS98" i="29"/>
  <c r="BS99" i="29"/>
  <c r="BS100" i="29"/>
  <c r="BS101" i="29"/>
  <c r="BS102" i="29"/>
  <c r="BS103" i="29"/>
  <c r="BS104" i="29"/>
  <c r="BS105" i="29"/>
  <c r="BS106" i="29"/>
  <c r="BS107" i="29"/>
  <c r="BS108" i="29"/>
  <c r="BS109" i="29"/>
  <c r="BS110" i="29"/>
  <c r="BS111" i="29"/>
  <c r="BS112" i="29"/>
  <c r="BS113" i="29"/>
  <c r="BS114" i="29"/>
  <c r="BS115" i="29"/>
  <c r="BS116" i="29"/>
  <c r="BS117" i="29"/>
  <c r="BS118" i="29"/>
  <c r="BS119" i="29"/>
  <c r="BS120" i="29"/>
  <c r="BS121" i="29"/>
  <c r="BS122" i="29"/>
  <c r="BS123" i="29"/>
  <c r="BS124" i="29"/>
  <c r="BS125" i="29"/>
  <c r="BS126" i="29"/>
  <c r="BS127" i="29"/>
  <c r="BS128" i="29"/>
  <c r="BS129" i="29"/>
  <c r="BS130" i="29"/>
  <c r="BS131" i="29"/>
  <c r="BS132" i="29"/>
  <c r="BS133" i="29"/>
  <c r="BS134" i="29"/>
  <c r="BS135" i="29"/>
  <c r="BS136" i="29"/>
  <c r="BS137" i="29"/>
  <c r="BS138" i="29"/>
  <c r="BS139" i="29"/>
  <c r="BS140" i="29"/>
  <c r="BS141" i="29"/>
  <c r="BS142" i="29"/>
  <c r="BS143" i="29"/>
  <c r="BS145" i="29"/>
  <c r="BS146" i="29"/>
  <c r="BS147" i="29"/>
  <c r="BS148" i="29"/>
  <c r="BS149" i="29"/>
  <c r="BS150" i="29"/>
  <c r="BS151" i="29"/>
  <c r="BS152" i="29"/>
  <c r="BS153" i="29"/>
  <c r="BS154" i="29"/>
  <c r="BS155" i="29"/>
  <c r="BS156" i="29"/>
  <c r="BS157" i="29"/>
  <c r="BS158" i="29"/>
  <c r="BS159" i="29"/>
  <c r="BS160" i="29"/>
  <c r="BS161" i="29"/>
  <c r="BS162" i="29"/>
  <c r="BS163" i="29"/>
  <c r="BS164" i="29"/>
  <c r="BS165" i="29"/>
  <c r="BS166" i="29"/>
  <c r="BS167" i="29"/>
  <c r="BS168" i="29"/>
  <c r="BS169" i="29"/>
  <c r="BS170" i="29"/>
  <c r="BS171" i="29"/>
  <c r="BS172" i="29"/>
  <c r="BS173" i="29"/>
  <c r="BS174" i="29"/>
  <c r="BS175" i="29"/>
  <c r="BS177" i="29"/>
  <c r="BS178" i="29"/>
  <c r="BS179" i="29"/>
  <c r="BS180" i="29"/>
  <c r="BS181" i="29"/>
  <c r="BS182" i="29"/>
  <c r="BS183" i="29"/>
  <c r="BS184" i="29"/>
  <c r="BS185" i="29"/>
  <c r="BS186" i="29"/>
  <c r="BS187" i="29"/>
  <c r="BS188" i="29"/>
  <c r="BS189" i="29"/>
  <c r="BS190" i="29"/>
  <c r="BS191" i="29"/>
  <c r="BS192" i="29"/>
  <c r="BS193" i="29"/>
  <c r="BS194" i="29"/>
  <c r="BS195" i="29"/>
  <c r="BS196" i="29"/>
  <c r="BS197" i="29"/>
  <c r="BS198" i="29"/>
  <c r="BS199" i="29"/>
  <c r="BS200" i="29"/>
  <c r="BS201" i="29"/>
  <c r="BS202" i="29"/>
  <c r="BS203" i="29"/>
  <c r="BS204" i="29"/>
  <c r="BS205" i="29"/>
  <c r="BS206" i="29"/>
  <c r="BS207" i="29"/>
  <c r="BS208" i="29"/>
  <c r="BS209" i="29"/>
  <c r="BS210" i="29"/>
  <c r="BS211" i="29"/>
  <c r="BS212" i="29"/>
  <c r="BS214" i="29"/>
  <c r="BS215" i="29"/>
  <c r="BS216" i="29"/>
  <c r="BS217" i="29"/>
  <c r="BS218" i="29"/>
  <c r="BS219" i="29"/>
  <c r="BS220" i="29"/>
  <c r="BS221" i="29"/>
  <c r="BS222" i="29"/>
  <c r="BS223" i="29"/>
  <c r="BS224" i="29"/>
  <c r="BS225" i="29"/>
  <c r="BS226" i="29"/>
  <c r="BS227" i="29"/>
  <c r="BS228" i="29"/>
  <c r="BS229" i="29"/>
  <c r="BS230" i="29"/>
  <c r="BS231" i="29"/>
  <c r="BS232" i="29"/>
  <c r="BS233" i="29"/>
  <c r="BS234" i="29"/>
  <c r="BS235" i="29"/>
  <c r="BS236" i="29"/>
  <c r="BS237" i="29"/>
  <c r="BS238" i="29"/>
  <c r="BS239" i="29"/>
  <c r="BS240" i="29"/>
  <c r="BS241" i="29"/>
  <c r="BS242" i="29"/>
  <c r="BS243" i="29"/>
  <c r="BS244" i="29"/>
  <c r="BS245" i="29"/>
  <c r="BS246" i="29"/>
  <c r="BS247" i="29"/>
  <c r="BT48" i="29"/>
  <c r="BU48" i="29"/>
  <c r="BV48" i="29"/>
  <c r="BW48" i="29"/>
  <c r="BX56" i="29"/>
  <c r="BX57" i="29"/>
  <c r="BX58" i="29"/>
  <c r="BX59" i="29"/>
  <c r="BX53" i="29"/>
  <c r="BX54" i="29"/>
  <c r="BX55" i="29"/>
  <c r="BX60" i="29"/>
  <c r="BX61" i="29"/>
  <c r="BX62" i="29"/>
  <c r="BX63" i="29"/>
  <c r="BX64" i="29"/>
  <c r="BX65" i="29"/>
  <c r="BX66" i="29"/>
  <c r="BX67" i="29"/>
  <c r="BX68" i="29"/>
  <c r="BX69" i="29"/>
  <c r="BX70" i="29"/>
  <c r="BX71" i="29"/>
  <c r="BX72" i="29"/>
  <c r="BX73" i="29"/>
  <c r="BX74" i="29"/>
  <c r="BX75" i="29"/>
  <c r="BX76" i="29"/>
  <c r="BX77" i="29"/>
  <c r="BX79" i="29"/>
  <c r="BX80" i="29"/>
  <c r="BX81" i="29"/>
  <c r="BX82" i="29"/>
  <c r="BX83" i="29"/>
  <c r="BX84" i="29"/>
  <c r="BX85" i="29"/>
  <c r="BX86" i="29"/>
  <c r="BX87" i="29"/>
  <c r="BX88" i="29"/>
  <c r="BX89" i="29"/>
  <c r="BX91" i="29"/>
  <c r="BX93" i="29"/>
  <c r="BX94" i="29"/>
  <c r="BX95" i="29"/>
  <c r="BX96" i="29"/>
  <c r="BX97" i="29"/>
  <c r="BX98" i="29"/>
  <c r="BX99" i="29"/>
  <c r="BX100" i="29"/>
  <c r="BX101" i="29"/>
  <c r="BX102" i="29"/>
  <c r="BX103" i="29"/>
  <c r="BX104" i="29"/>
  <c r="BX105" i="29"/>
  <c r="BX106" i="29"/>
  <c r="BX107" i="29"/>
  <c r="BX108" i="29"/>
  <c r="BX109" i="29"/>
  <c r="BX110" i="29"/>
  <c r="BX111" i="29"/>
  <c r="BX112" i="29"/>
  <c r="BX113" i="29"/>
  <c r="BX114" i="29"/>
  <c r="BX115" i="29"/>
  <c r="BX116" i="29"/>
  <c r="BX117" i="29"/>
  <c r="BX118" i="29"/>
  <c r="BX119" i="29"/>
  <c r="BX120" i="29"/>
  <c r="BX121" i="29"/>
  <c r="BX122" i="29"/>
  <c r="BX123" i="29"/>
  <c r="BX124" i="29"/>
  <c r="BX125" i="29"/>
  <c r="BX126" i="29"/>
  <c r="BX127" i="29"/>
  <c r="BX128" i="29"/>
  <c r="BX129" i="29"/>
  <c r="BX130" i="29"/>
  <c r="BX131" i="29"/>
  <c r="BX132" i="29"/>
  <c r="BX133" i="29"/>
  <c r="BX134" i="29"/>
  <c r="BX135" i="29"/>
  <c r="BX136" i="29"/>
  <c r="BX137" i="29"/>
  <c r="BX138" i="29"/>
  <c r="BX139" i="29"/>
  <c r="BX140" i="29"/>
  <c r="BX141" i="29"/>
  <c r="BX142" i="29"/>
  <c r="BX143" i="29"/>
  <c r="BX145" i="29"/>
  <c r="BX146" i="29"/>
  <c r="BX147" i="29"/>
  <c r="BX148" i="29"/>
  <c r="BX149" i="29"/>
  <c r="BX150" i="29"/>
  <c r="BX151" i="29"/>
  <c r="BX152" i="29"/>
  <c r="BX153" i="29"/>
  <c r="BX154" i="29"/>
  <c r="BX155" i="29"/>
  <c r="BX156" i="29"/>
  <c r="BX157" i="29"/>
  <c r="BX158" i="29"/>
  <c r="BX159" i="29"/>
  <c r="BX160" i="29"/>
  <c r="BX161" i="29"/>
  <c r="BX162" i="29"/>
  <c r="BX163" i="29"/>
  <c r="BX164" i="29"/>
  <c r="BX165" i="29"/>
  <c r="BX166" i="29"/>
  <c r="BX167" i="29"/>
  <c r="BX168" i="29"/>
  <c r="BX169" i="29"/>
  <c r="BX170" i="29"/>
  <c r="BX171" i="29"/>
  <c r="BX172" i="29"/>
  <c r="BX173" i="29"/>
  <c r="BX174" i="29"/>
  <c r="BX175" i="29"/>
  <c r="BX177" i="29"/>
  <c r="BX178" i="29"/>
  <c r="BX179" i="29"/>
  <c r="BX180" i="29"/>
  <c r="BX181" i="29"/>
  <c r="BX182" i="29"/>
  <c r="BX183" i="29"/>
  <c r="BX184" i="29"/>
  <c r="BX185" i="29"/>
  <c r="BX186" i="29"/>
  <c r="BX187" i="29"/>
  <c r="BX188" i="29"/>
  <c r="BX189" i="29"/>
  <c r="BX190" i="29"/>
  <c r="BX191" i="29"/>
  <c r="BX192" i="29"/>
  <c r="BX193" i="29"/>
  <c r="BX194" i="29"/>
  <c r="BX195" i="29"/>
  <c r="BX196" i="29"/>
  <c r="BX197" i="29"/>
  <c r="BX198" i="29"/>
  <c r="BX199" i="29"/>
  <c r="BX200" i="29"/>
  <c r="BX201" i="29"/>
  <c r="BX202" i="29"/>
  <c r="BX203" i="29"/>
  <c r="BX204" i="29"/>
  <c r="BX205" i="29"/>
  <c r="BX206" i="29"/>
  <c r="BX207" i="29"/>
  <c r="BX208" i="29"/>
  <c r="BX209" i="29"/>
  <c r="BX210" i="29"/>
  <c r="BX211" i="29"/>
  <c r="BX212" i="29"/>
  <c r="BX214" i="29"/>
  <c r="BX215" i="29"/>
  <c r="BX216" i="29"/>
  <c r="BX217" i="29"/>
  <c r="BX218" i="29"/>
  <c r="BX219" i="29"/>
  <c r="BX220" i="29"/>
  <c r="BX221" i="29"/>
  <c r="BX222" i="29"/>
  <c r="BX223" i="29"/>
  <c r="BX224" i="29"/>
  <c r="BX225" i="29"/>
  <c r="BX226" i="29"/>
  <c r="BX227" i="29"/>
  <c r="BX228" i="29"/>
  <c r="BX229" i="29"/>
  <c r="BX230" i="29"/>
  <c r="BX231" i="29"/>
  <c r="BX232" i="29"/>
  <c r="BX233" i="29"/>
  <c r="BX234" i="29"/>
  <c r="BX235" i="29"/>
  <c r="BX236" i="29"/>
  <c r="BX237" i="29"/>
  <c r="BX238" i="29"/>
  <c r="BX239" i="29"/>
  <c r="BX240" i="29"/>
  <c r="BX241" i="29"/>
  <c r="BX242" i="29"/>
  <c r="BX243" i="29"/>
  <c r="BX244" i="29"/>
  <c r="BX245" i="29"/>
  <c r="BX246" i="29"/>
  <c r="BX247" i="29"/>
  <c r="BX48" i="29"/>
  <c r="BY48" i="29"/>
  <c r="BZ48" i="29"/>
  <c r="CA48" i="29"/>
  <c r="CB48" i="29"/>
  <c r="CC56" i="29"/>
  <c r="CC57" i="29"/>
  <c r="CC58" i="29"/>
  <c r="CC59" i="29"/>
  <c r="CC53" i="29"/>
  <c r="CC54" i="29"/>
  <c r="CC55" i="29"/>
  <c r="CC60" i="29"/>
  <c r="CC61" i="29"/>
  <c r="CC62" i="29"/>
  <c r="CC63" i="29"/>
  <c r="CC64" i="29"/>
  <c r="CC65" i="29"/>
  <c r="CC66" i="29"/>
  <c r="CC67" i="29"/>
  <c r="CC68" i="29"/>
  <c r="CC69" i="29"/>
  <c r="CC70" i="29"/>
  <c r="CC71" i="29"/>
  <c r="CC72" i="29"/>
  <c r="CC73" i="29"/>
  <c r="CC74" i="29"/>
  <c r="CC75" i="29"/>
  <c r="CC76" i="29"/>
  <c r="CC77" i="29"/>
  <c r="CC79" i="29"/>
  <c r="CC80" i="29"/>
  <c r="CC81" i="29"/>
  <c r="CC82" i="29"/>
  <c r="CC83" i="29"/>
  <c r="CC84" i="29"/>
  <c r="CC85" i="29"/>
  <c r="CC86" i="29"/>
  <c r="CC87" i="29"/>
  <c r="CC88" i="29"/>
  <c r="CC89" i="29"/>
  <c r="CC91" i="29"/>
  <c r="CC93" i="29"/>
  <c r="CC94" i="29"/>
  <c r="CC95" i="29"/>
  <c r="CC96" i="29"/>
  <c r="CC97" i="29"/>
  <c r="CC98" i="29"/>
  <c r="CC99" i="29"/>
  <c r="CC100" i="29"/>
  <c r="CC101" i="29"/>
  <c r="CC102" i="29"/>
  <c r="CC103" i="29"/>
  <c r="CC104" i="29"/>
  <c r="CC105" i="29"/>
  <c r="CC106" i="29"/>
  <c r="CC107" i="29"/>
  <c r="CC108" i="29"/>
  <c r="CC109" i="29"/>
  <c r="CC110" i="29"/>
  <c r="CC111" i="29"/>
  <c r="CC112" i="29"/>
  <c r="CC113" i="29"/>
  <c r="CC114" i="29"/>
  <c r="CC115" i="29"/>
  <c r="CC116" i="29"/>
  <c r="CC117" i="29"/>
  <c r="CC118" i="29"/>
  <c r="CC119" i="29"/>
  <c r="CC120" i="29"/>
  <c r="CC121" i="29"/>
  <c r="CC122" i="29"/>
  <c r="CC123" i="29"/>
  <c r="CC124" i="29"/>
  <c r="CC125" i="29"/>
  <c r="CC126" i="29"/>
  <c r="CC127" i="29"/>
  <c r="CC128" i="29"/>
  <c r="CC129" i="29"/>
  <c r="CC130" i="29"/>
  <c r="CC131" i="29"/>
  <c r="CC132" i="29"/>
  <c r="CC133" i="29"/>
  <c r="CC134" i="29"/>
  <c r="CC135" i="29"/>
  <c r="CC136" i="29"/>
  <c r="CC137" i="29"/>
  <c r="CC138" i="29"/>
  <c r="CC139" i="29"/>
  <c r="CC140" i="29"/>
  <c r="CC141" i="29"/>
  <c r="CC142" i="29"/>
  <c r="CC143" i="29"/>
  <c r="CC145" i="29"/>
  <c r="CC146" i="29"/>
  <c r="CC147" i="29"/>
  <c r="CC148" i="29"/>
  <c r="CC149" i="29"/>
  <c r="CC150" i="29"/>
  <c r="CC151" i="29"/>
  <c r="CC152" i="29"/>
  <c r="CC153" i="29"/>
  <c r="CC154" i="29"/>
  <c r="CC155" i="29"/>
  <c r="CC156" i="29"/>
  <c r="CC157" i="29"/>
  <c r="CC158" i="29"/>
  <c r="CC159" i="29"/>
  <c r="CC160" i="29"/>
  <c r="CC161" i="29"/>
  <c r="CC162" i="29"/>
  <c r="CC163" i="29"/>
  <c r="CC164" i="29"/>
  <c r="CC165" i="29"/>
  <c r="CC166" i="29"/>
  <c r="CC167" i="29"/>
  <c r="CC168" i="29"/>
  <c r="CC169" i="29"/>
  <c r="CC170" i="29"/>
  <c r="CC171" i="29"/>
  <c r="CC172" i="29"/>
  <c r="CC173" i="29"/>
  <c r="CC174" i="29"/>
  <c r="CC175" i="29"/>
  <c r="CC177" i="29"/>
  <c r="CC178" i="29"/>
  <c r="CC179" i="29"/>
  <c r="CC180" i="29"/>
  <c r="CC181" i="29"/>
  <c r="CC182" i="29"/>
  <c r="CC183" i="29"/>
  <c r="CC184" i="29"/>
  <c r="CC185" i="29"/>
  <c r="CC186" i="29"/>
  <c r="CC187" i="29"/>
  <c r="CC188" i="29"/>
  <c r="CC189" i="29"/>
  <c r="CC190" i="29"/>
  <c r="CC191" i="29"/>
  <c r="CC192" i="29"/>
  <c r="CC193" i="29"/>
  <c r="CC194" i="29"/>
  <c r="CC195" i="29"/>
  <c r="CC196" i="29"/>
  <c r="CC197" i="29"/>
  <c r="CC198" i="29"/>
  <c r="CC199" i="29"/>
  <c r="CC200" i="29"/>
  <c r="CC201" i="29"/>
  <c r="CC202" i="29"/>
  <c r="CC203" i="29"/>
  <c r="CC204" i="29"/>
  <c r="CC205" i="29"/>
  <c r="CC206" i="29"/>
  <c r="CC207" i="29"/>
  <c r="CC208" i="29"/>
  <c r="CC209" i="29"/>
  <c r="CC210" i="29"/>
  <c r="CC211" i="29"/>
  <c r="CC212" i="29"/>
  <c r="CC214" i="29"/>
  <c r="CC215" i="29"/>
  <c r="CC216" i="29"/>
  <c r="CC217" i="29"/>
  <c r="CC218" i="29"/>
  <c r="CC219" i="29"/>
  <c r="CC220" i="29"/>
  <c r="CC221" i="29"/>
  <c r="CC222" i="29"/>
  <c r="CC223" i="29"/>
  <c r="CC224" i="29"/>
  <c r="CC225" i="29"/>
  <c r="CC226" i="29"/>
  <c r="CC227" i="29"/>
  <c r="CC228" i="29"/>
  <c r="CC229" i="29"/>
  <c r="CC230" i="29"/>
  <c r="CC231" i="29"/>
  <c r="CC232" i="29"/>
  <c r="CC233" i="29"/>
  <c r="CC234" i="29"/>
  <c r="CC235" i="29"/>
  <c r="CC236" i="29"/>
  <c r="CC237" i="29"/>
  <c r="CC238" i="29"/>
  <c r="CC239" i="29"/>
  <c r="CC240" i="29"/>
  <c r="CC241" i="29"/>
  <c r="CC242" i="29"/>
  <c r="CC243" i="29"/>
  <c r="CC244" i="29"/>
  <c r="CC245" i="29"/>
  <c r="CC246" i="29"/>
  <c r="CC247" i="29"/>
  <c r="CD48" i="29"/>
  <c r="CE48" i="29"/>
  <c r="CF48" i="29"/>
  <c r="CG48" i="29"/>
  <c r="CH48" i="29"/>
  <c r="CI56" i="29"/>
  <c r="CI57" i="29"/>
  <c r="CI58" i="29"/>
  <c r="CI59" i="29"/>
  <c r="CI53" i="29"/>
  <c r="CI54" i="29"/>
  <c r="CI55" i="29"/>
  <c r="CI60" i="29"/>
  <c r="CI61" i="29"/>
  <c r="CI62" i="29"/>
  <c r="CI63" i="29"/>
  <c r="CI64" i="29"/>
  <c r="CI65" i="29"/>
  <c r="CI66" i="29"/>
  <c r="CI67" i="29"/>
  <c r="CI68" i="29"/>
  <c r="CI69" i="29"/>
  <c r="CI70" i="29"/>
  <c r="CI71" i="29"/>
  <c r="CI72" i="29"/>
  <c r="CI73" i="29"/>
  <c r="CI74" i="29"/>
  <c r="CI75" i="29"/>
  <c r="CI76" i="29"/>
  <c r="CI77" i="29"/>
  <c r="CI78" i="29"/>
  <c r="CI79" i="29"/>
  <c r="CI80" i="29"/>
  <c r="CI81" i="29"/>
  <c r="CI82" i="29"/>
  <c r="CI83" i="29"/>
  <c r="CI84" i="29"/>
  <c r="CI85" i="29"/>
  <c r="CI86" i="29"/>
  <c r="CI87" i="29"/>
  <c r="CI88" i="29"/>
  <c r="CI89" i="29"/>
  <c r="CI91" i="29"/>
  <c r="CI93" i="29"/>
  <c r="CI94" i="29"/>
  <c r="CI95" i="29"/>
  <c r="CI96" i="29"/>
  <c r="CI97" i="29"/>
  <c r="CI98" i="29"/>
  <c r="CI99" i="29"/>
  <c r="CI100" i="29"/>
  <c r="CI101" i="29"/>
  <c r="CI102" i="29"/>
  <c r="CI103" i="29"/>
  <c r="CI104" i="29"/>
  <c r="CI105" i="29"/>
  <c r="CI106" i="29"/>
  <c r="CI107" i="29"/>
  <c r="CI108" i="29"/>
  <c r="CI109" i="29"/>
  <c r="CI110" i="29"/>
  <c r="CI111" i="29"/>
  <c r="CI112" i="29"/>
  <c r="CI113" i="29"/>
  <c r="CI114" i="29"/>
  <c r="CI115" i="29"/>
  <c r="CI116" i="29"/>
  <c r="CI117" i="29"/>
  <c r="CI118" i="29"/>
  <c r="CI119" i="29"/>
  <c r="CI120" i="29"/>
  <c r="CI121" i="29"/>
  <c r="CI122" i="29"/>
  <c r="CI123" i="29"/>
  <c r="CI124" i="29"/>
  <c r="CI125" i="29"/>
  <c r="CI126" i="29"/>
  <c r="CI127" i="29"/>
  <c r="CI128" i="29"/>
  <c r="CI129" i="29"/>
  <c r="CI130" i="29"/>
  <c r="CI131" i="29"/>
  <c r="CI132" i="29"/>
  <c r="CI133" i="29"/>
  <c r="CI134" i="29"/>
  <c r="CI135" i="29"/>
  <c r="CI136" i="29"/>
  <c r="CI137" i="29"/>
  <c r="CI138" i="29"/>
  <c r="CI139" i="29"/>
  <c r="CI140" i="29"/>
  <c r="CI141" i="29"/>
  <c r="CI142" i="29"/>
  <c r="CI143" i="29"/>
  <c r="CI145" i="29"/>
  <c r="CI146" i="29"/>
  <c r="CI147" i="29"/>
  <c r="CI148" i="29"/>
  <c r="CI149" i="29"/>
  <c r="CI150" i="29"/>
  <c r="CI151" i="29"/>
  <c r="CI152" i="29"/>
  <c r="CI153" i="29"/>
  <c r="CI154" i="29"/>
  <c r="CI155" i="29"/>
  <c r="CI156" i="29"/>
  <c r="CI157" i="29"/>
  <c r="CI158" i="29"/>
  <c r="CI159" i="29"/>
  <c r="CI160" i="29"/>
  <c r="CI161" i="29"/>
  <c r="CI162" i="29"/>
  <c r="CI163" i="29"/>
  <c r="CI164" i="29"/>
  <c r="CI165" i="29"/>
  <c r="CI166" i="29"/>
  <c r="CI167" i="29"/>
  <c r="CI168" i="29"/>
  <c r="CI169" i="29"/>
  <c r="CI170" i="29"/>
  <c r="CI171" i="29"/>
  <c r="CI172" i="29"/>
  <c r="CI173" i="29"/>
  <c r="CI174" i="29"/>
  <c r="CI175" i="29"/>
  <c r="CI177" i="29"/>
  <c r="CI178" i="29"/>
  <c r="CI179" i="29"/>
  <c r="CI180" i="29"/>
  <c r="CI181" i="29"/>
  <c r="CI182" i="29"/>
  <c r="CI183" i="29"/>
  <c r="CI184" i="29"/>
  <c r="CI185" i="29"/>
  <c r="CI186" i="29"/>
  <c r="CI187" i="29"/>
  <c r="CI188" i="29"/>
  <c r="CI189" i="29"/>
  <c r="CI190" i="29"/>
  <c r="CI191" i="29"/>
  <c r="CI192" i="29"/>
  <c r="CI193" i="29"/>
  <c r="CI194" i="29"/>
  <c r="CI195" i="29"/>
  <c r="CI196" i="29"/>
  <c r="CI197" i="29"/>
  <c r="CI198" i="29"/>
  <c r="CI199" i="29"/>
  <c r="CI200" i="29"/>
  <c r="CI201" i="29"/>
  <c r="CI202" i="29"/>
  <c r="CI203" i="29"/>
  <c r="CI204" i="29"/>
  <c r="CI205" i="29"/>
  <c r="CI206" i="29"/>
  <c r="CI207" i="29"/>
  <c r="CI208" i="29"/>
  <c r="CI209" i="29"/>
  <c r="CI210" i="29"/>
  <c r="CI211" i="29"/>
  <c r="CI212" i="29"/>
  <c r="CI214" i="29"/>
  <c r="CI215" i="29"/>
  <c r="CI216" i="29"/>
  <c r="CI217" i="29"/>
  <c r="CI218" i="29"/>
  <c r="CI219" i="29"/>
  <c r="CI220" i="29"/>
  <c r="CI221" i="29"/>
  <c r="CI222" i="29"/>
  <c r="CI223" i="29"/>
  <c r="CI224" i="29"/>
  <c r="CI225" i="29"/>
  <c r="CI226" i="29"/>
  <c r="CI227" i="29"/>
  <c r="CI228" i="29"/>
  <c r="CI229" i="29"/>
  <c r="CI230" i="29"/>
  <c r="CI231" i="29"/>
  <c r="CI232" i="29"/>
  <c r="CI233" i="29"/>
  <c r="CI234" i="29"/>
  <c r="CI235" i="29"/>
  <c r="CI236" i="29"/>
  <c r="CI237" i="29"/>
  <c r="CI238" i="29"/>
  <c r="CI239" i="29"/>
  <c r="CI240" i="29"/>
  <c r="CI241" i="29"/>
  <c r="CI242" i="29"/>
  <c r="CI243" i="29"/>
  <c r="CI244" i="29"/>
  <c r="CI245" i="29"/>
  <c r="CI246" i="29"/>
  <c r="CI247" i="29"/>
  <c r="CJ48" i="29"/>
  <c r="CK48" i="29"/>
  <c r="CL56" i="29"/>
  <c r="CL57" i="29"/>
  <c r="CL58" i="29"/>
  <c r="CL59" i="29"/>
  <c r="CL53" i="29"/>
  <c r="CL54" i="29"/>
  <c r="CL55" i="29"/>
  <c r="CL60" i="29"/>
  <c r="CL61" i="29"/>
  <c r="CL62" i="29"/>
  <c r="CL63" i="29"/>
  <c r="CL64" i="29"/>
  <c r="CL65" i="29"/>
  <c r="CL66" i="29"/>
  <c r="CL67" i="29"/>
  <c r="CL68" i="29"/>
  <c r="CL69" i="29"/>
  <c r="CL70" i="29"/>
  <c r="CL71" i="29"/>
  <c r="CL72" i="29"/>
  <c r="CL73" i="29"/>
  <c r="CL74" i="29"/>
  <c r="CL75" i="29"/>
  <c r="CL76" i="29"/>
  <c r="CL77" i="29"/>
  <c r="CL78" i="29"/>
  <c r="CL79" i="29"/>
  <c r="CL80" i="29"/>
  <c r="CL81" i="29"/>
  <c r="CL82" i="29"/>
  <c r="CL83" i="29"/>
  <c r="CL84" i="29"/>
  <c r="CL85" i="29"/>
  <c r="CL86" i="29"/>
  <c r="CL87" i="29"/>
  <c r="CL88" i="29"/>
  <c r="CL89" i="29"/>
  <c r="CL91" i="29"/>
  <c r="CL93" i="29"/>
  <c r="CL94" i="29"/>
  <c r="CL95" i="29"/>
  <c r="CL96" i="29"/>
  <c r="CL97" i="29"/>
  <c r="CL98" i="29"/>
  <c r="CL99" i="29"/>
  <c r="CL100" i="29"/>
  <c r="CL101" i="29"/>
  <c r="CL102" i="29"/>
  <c r="CL103" i="29"/>
  <c r="CL104" i="29"/>
  <c r="CL105" i="29"/>
  <c r="CL106" i="29"/>
  <c r="CL107" i="29"/>
  <c r="CL108" i="29"/>
  <c r="CL109" i="29"/>
  <c r="CL110" i="29"/>
  <c r="CL111" i="29"/>
  <c r="CL112" i="29"/>
  <c r="CL113" i="29"/>
  <c r="CL114" i="29"/>
  <c r="CL115" i="29"/>
  <c r="CL116" i="29"/>
  <c r="CL117" i="29"/>
  <c r="CL118" i="29"/>
  <c r="CL119" i="29"/>
  <c r="CL120" i="29"/>
  <c r="CL121" i="29"/>
  <c r="CL122" i="29"/>
  <c r="CL123" i="29"/>
  <c r="CL124" i="29"/>
  <c r="CL125" i="29"/>
  <c r="CL126" i="29"/>
  <c r="CL127" i="29"/>
  <c r="CL128" i="29"/>
  <c r="CL129" i="29"/>
  <c r="CL130" i="29"/>
  <c r="CL131" i="29"/>
  <c r="CL132" i="29"/>
  <c r="CL133" i="29"/>
  <c r="CL134" i="29"/>
  <c r="CL135" i="29"/>
  <c r="CL136" i="29"/>
  <c r="CL137" i="29"/>
  <c r="CL138" i="29"/>
  <c r="CL139" i="29"/>
  <c r="CL140" i="29"/>
  <c r="CL141" i="29"/>
  <c r="CL142" i="29"/>
  <c r="CL143" i="29"/>
  <c r="CL145" i="29"/>
  <c r="CL146" i="29"/>
  <c r="CL147" i="29"/>
  <c r="CL148" i="29"/>
  <c r="CL149" i="29"/>
  <c r="CL150" i="29"/>
  <c r="CL151" i="29"/>
  <c r="CL152" i="29"/>
  <c r="CL153" i="29"/>
  <c r="CL154" i="29"/>
  <c r="CL155" i="29"/>
  <c r="CL156" i="29"/>
  <c r="CL157" i="29"/>
  <c r="CL158" i="29"/>
  <c r="CL159" i="29"/>
  <c r="CL160" i="29"/>
  <c r="CL161" i="29"/>
  <c r="CL162" i="29"/>
  <c r="CL163" i="29"/>
  <c r="CL164" i="29"/>
  <c r="CL165" i="29"/>
  <c r="CL166" i="29"/>
  <c r="CL167" i="29"/>
  <c r="CL168" i="29"/>
  <c r="CL169" i="29"/>
  <c r="CL170" i="29"/>
  <c r="CL171" i="29"/>
  <c r="CL172" i="29"/>
  <c r="CL173" i="29"/>
  <c r="CL174" i="29"/>
  <c r="CL175" i="29"/>
  <c r="CL176" i="29"/>
  <c r="CL177" i="29"/>
  <c r="CL178" i="29"/>
  <c r="CL179" i="29"/>
  <c r="CL180" i="29"/>
  <c r="CL181" i="29"/>
  <c r="CL182" i="29"/>
  <c r="CL183" i="29"/>
  <c r="CL184" i="29"/>
  <c r="CL185" i="29"/>
  <c r="CL186" i="29"/>
  <c r="CL187" i="29"/>
  <c r="CL188" i="29"/>
  <c r="CL189" i="29"/>
  <c r="CL190" i="29"/>
  <c r="CL191" i="29"/>
  <c r="CL192" i="29"/>
  <c r="CL193" i="29"/>
  <c r="CL194" i="29"/>
  <c r="CL195" i="29"/>
  <c r="CL196" i="29"/>
  <c r="CL197" i="29"/>
  <c r="CL198" i="29"/>
  <c r="CL199" i="29"/>
  <c r="CL200" i="29"/>
  <c r="CL201" i="29"/>
  <c r="CL202" i="29"/>
  <c r="CL203" i="29"/>
  <c r="CL204" i="29"/>
  <c r="CL205" i="29"/>
  <c r="CL206" i="29"/>
  <c r="CL207" i="29"/>
  <c r="CL208" i="29"/>
  <c r="CL209" i="29"/>
  <c r="CL210" i="29"/>
  <c r="CL211" i="29"/>
  <c r="CL212" i="29"/>
  <c r="CL213" i="29"/>
  <c r="CL214" i="29"/>
  <c r="CL215" i="29"/>
  <c r="CL216" i="29"/>
  <c r="CL217" i="29"/>
  <c r="CL218" i="29"/>
  <c r="CL219" i="29"/>
  <c r="CL220" i="29"/>
  <c r="CL221" i="29"/>
  <c r="CL222" i="29"/>
  <c r="CL223" i="29"/>
  <c r="CL224" i="29"/>
  <c r="CL225" i="29"/>
  <c r="CL226" i="29"/>
  <c r="CL227" i="29"/>
  <c r="CL228" i="29"/>
  <c r="CL229" i="29"/>
  <c r="CL230" i="29"/>
  <c r="CL231" i="29"/>
  <c r="CL232" i="29"/>
  <c r="CL233" i="29"/>
  <c r="CL234" i="29"/>
  <c r="CL235" i="29"/>
  <c r="CL236" i="29"/>
  <c r="CL237" i="29"/>
  <c r="CL238" i="29"/>
  <c r="CL239" i="29"/>
  <c r="CL240" i="29"/>
  <c r="CL241" i="29"/>
  <c r="CL242" i="29"/>
  <c r="CL243" i="29"/>
  <c r="CL244" i="29"/>
  <c r="CL245" i="29"/>
  <c r="CL246" i="29"/>
  <c r="CL247" i="29"/>
  <c r="CM48" i="29"/>
  <c r="CN48" i="29"/>
  <c r="CO48" i="29"/>
  <c r="CP56" i="29"/>
  <c r="CP57" i="29"/>
  <c r="CP58" i="29"/>
  <c r="CP59" i="29"/>
  <c r="CP53" i="29"/>
  <c r="CP54" i="29"/>
  <c r="CP55" i="29"/>
  <c r="CP60" i="29"/>
  <c r="CP61" i="29"/>
  <c r="CP62" i="29"/>
  <c r="CP63" i="29"/>
  <c r="CP64" i="29"/>
  <c r="CP65" i="29"/>
  <c r="CP66" i="29"/>
  <c r="CP67" i="29"/>
  <c r="CP68" i="29"/>
  <c r="CP69" i="29"/>
  <c r="CP70" i="29"/>
  <c r="CP71" i="29"/>
  <c r="CP72" i="29"/>
  <c r="CP73" i="29"/>
  <c r="CP74" i="29"/>
  <c r="CP75" i="29"/>
  <c r="CP76" i="29"/>
  <c r="CP77" i="29"/>
  <c r="CP78" i="29"/>
  <c r="CP79" i="29"/>
  <c r="CP80" i="29"/>
  <c r="CP81" i="29"/>
  <c r="CP82" i="29"/>
  <c r="CP83" i="29"/>
  <c r="CP84" i="29"/>
  <c r="CP85" i="29"/>
  <c r="CP86" i="29"/>
  <c r="CP87" i="29"/>
  <c r="CP88" i="29"/>
  <c r="CP89" i="29"/>
  <c r="CP90" i="29"/>
  <c r="CP91" i="29"/>
  <c r="CP93" i="29"/>
  <c r="CP94" i="29"/>
  <c r="CP95" i="29"/>
  <c r="CP96" i="29"/>
  <c r="CP97" i="29"/>
  <c r="CP98" i="29"/>
  <c r="CP99" i="29"/>
  <c r="CP100" i="29"/>
  <c r="CP101" i="29"/>
  <c r="CP102" i="29"/>
  <c r="CP103" i="29"/>
  <c r="CP104" i="29"/>
  <c r="CP105" i="29"/>
  <c r="CP106" i="29"/>
  <c r="CP107" i="29"/>
  <c r="CP108" i="29"/>
  <c r="CP109" i="29"/>
  <c r="CP110" i="29"/>
  <c r="CP111" i="29"/>
  <c r="CP112" i="29"/>
  <c r="CP113" i="29"/>
  <c r="CP114" i="29"/>
  <c r="CP115" i="29"/>
  <c r="CP116" i="29"/>
  <c r="CP117" i="29"/>
  <c r="CP118" i="29"/>
  <c r="CP119" i="29"/>
  <c r="CP120" i="29"/>
  <c r="CP121" i="29"/>
  <c r="CP122" i="29"/>
  <c r="CP123" i="29"/>
  <c r="CP124" i="29"/>
  <c r="CP125" i="29"/>
  <c r="CP126" i="29"/>
  <c r="CP127" i="29"/>
  <c r="CP128" i="29"/>
  <c r="CP129" i="29"/>
  <c r="CP130" i="29"/>
  <c r="CP131" i="29"/>
  <c r="CP132" i="29"/>
  <c r="CP133" i="29"/>
  <c r="CP134" i="29"/>
  <c r="CP135" i="29"/>
  <c r="CP136" i="29"/>
  <c r="CP137" i="29"/>
  <c r="CP138" i="29"/>
  <c r="CP139" i="29"/>
  <c r="CP140" i="29"/>
  <c r="CP141" i="29"/>
  <c r="CP142" i="29"/>
  <c r="CP143" i="29"/>
  <c r="CP145" i="29"/>
  <c r="CP146" i="29"/>
  <c r="CP147" i="29"/>
  <c r="CP148" i="29"/>
  <c r="CP149" i="29"/>
  <c r="CP150" i="29"/>
  <c r="CP151" i="29"/>
  <c r="CP152" i="29"/>
  <c r="CP153" i="29"/>
  <c r="CP154" i="29"/>
  <c r="CP155" i="29"/>
  <c r="CP156" i="29"/>
  <c r="CP157" i="29"/>
  <c r="CP158" i="29"/>
  <c r="CP159" i="29"/>
  <c r="CP160" i="29"/>
  <c r="CP161" i="29"/>
  <c r="CP162" i="29"/>
  <c r="CP163" i="29"/>
  <c r="CP164" i="29"/>
  <c r="CP165" i="29"/>
  <c r="CP166" i="29"/>
  <c r="CP167" i="29"/>
  <c r="CP168" i="29"/>
  <c r="CP169" i="29"/>
  <c r="CP170" i="29"/>
  <c r="CP171" i="29"/>
  <c r="CP172" i="29"/>
  <c r="CP173" i="29"/>
  <c r="CP174" i="29"/>
  <c r="CP175" i="29"/>
  <c r="CP176" i="29"/>
  <c r="CP177" i="29"/>
  <c r="CP178" i="29"/>
  <c r="CP179" i="29"/>
  <c r="CP180" i="29"/>
  <c r="CP181" i="29"/>
  <c r="CP182" i="29"/>
  <c r="CP183" i="29"/>
  <c r="CP184" i="29"/>
  <c r="CP185" i="29"/>
  <c r="CP186" i="29"/>
  <c r="CP187" i="29"/>
  <c r="CP188" i="29"/>
  <c r="CP189" i="29"/>
  <c r="CP190" i="29"/>
  <c r="CP191" i="29"/>
  <c r="CP192" i="29"/>
  <c r="CP193" i="29"/>
  <c r="CP194" i="29"/>
  <c r="CP195" i="29"/>
  <c r="CP196" i="29"/>
  <c r="CP197" i="29"/>
  <c r="CP198" i="29"/>
  <c r="CP199" i="29"/>
  <c r="CP200" i="29"/>
  <c r="CP201" i="29"/>
  <c r="CP202" i="29"/>
  <c r="CP203" i="29"/>
  <c r="CP204" i="29"/>
  <c r="CP205" i="29"/>
  <c r="CP206" i="29"/>
  <c r="CP207" i="29"/>
  <c r="CP208" i="29"/>
  <c r="CP209" i="29"/>
  <c r="CP210" i="29"/>
  <c r="CP211" i="29"/>
  <c r="CP212" i="29"/>
  <c r="CP213" i="29"/>
  <c r="CP214" i="29"/>
  <c r="CP215" i="29"/>
  <c r="CP216" i="29"/>
  <c r="CP217" i="29"/>
  <c r="CP218" i="29"/>
  <c r="CP219" i="29"/>
  <c r="CP220" i="29"/>
  <c r="CP221" i="29"/>
  <c r="CP222" i="29"/>
  <c r="CP223" i="29"/>
  <c r="CP224" i="29"/>
  <c r="CP225" i="29"/>
  <c r="CP226" i="29"/>
  <c r="CP227" i="29"/>
  <c r="CP228" i="29"/>
  <c r="CP229" i="29"/>
  <c r="CP230" i="29"/>
  <c r="CP231" i="29"/>
  <c r="CP232" i="29"/>
  <c r="CP233" i="29"/>
  <c r="CP234" i="29"/>
  <c r="CP235" i="29"/>
  <c r="CP236" i="29"/>
  <c r="CP237" i="29"/>
  <c r="CP238" i="29"/>
  <c r="CP239" i="29"/>
  <c r="CP240" i="29"/>
  <c r="CP241" i="29"/>
  <c r="CP242" i="29"/>
  <c r="CP243" i="29"/>
  <c r="CP244" i="29"/>
  <c r="CP245" i="29"/>
  <c r="CP246" i="29"/>
  <c r="CP247" i="29"/>
  <c r="CQ48" i="29"/>
  <c r="CR48" i="29"/>
  <c r="CS56" i="29"/>
  <c r="CS57" i="29"/>
  <c r="CS58" i="29"/>
  <c r="CS59" i="29"/>
  <c r="CS53" i="29"/>
  <c r="CS54" i="29"/>
  <c r="CS55" i="29"/>
  <c r="CS60" i="29"/>
  <c r="CS61" i="29"/>
  <c r="CS62" i="29"/>
  <c r="CS63" i="29"/>
  <c r="CS64" i="29"/>
  <c r="CS65" i="29"/>
  <c r="CS66" i="29"/>
  <c r="CS67" i="29"/>
  <c r="CS68" i="29"/>
  <c r="CS69" i="29"/>
  <c r="CS70" i="29"/>
  <c r="CS71" i="29"/>
  <c r="CS72" i="29"/>
  <c r="CS73" i="29"/>
  <c r="CS74" i="29"/>
  <c r="CS75" i="29"/>
  <c r="CS76" i="29"/>
  <c r="CS77" i="29"/>
  <c r="CS78" i="29"/>
  <c r="CS79" i="29"/>
  <c r="CS80" i="29"/>
  <c r="CS81" i="29"/>
  <c r="CS82" i="29"/>
  <c r="CS83" i="29"/>
  <c r="CS84" i="29"/>
  <c r="CS85" i="29"/>
  <c r="CS86" i="29"/>
  <c r="CS87" i="29"/>
  <c r="CS88" i="29"/>
  <c r="CS89" i="29"/>
  <c r="CS90" i="29"/>
  <c r="CS91" i="29"/>
  <c r="CS92" i="29"/>
  <c r="CS93" i="29"/>
  <c r="CS94" i="29"/>
  <c r="CS95" i="29"/>
  <c r="CS96" i="29"/>
  <c r="CS97" i="29"/>
  <c r="CS98" i="29"/>
  <c r="CS99" i="29"/>
  <c r="CS100" i="29"/>
  <c r="CS101" i="29"/>
  <c r="CS102" i="29"/>
  <c r="CS103" i="29"/>
  <c r="CS104" i="29"/>
  <c r="CS105" i="29"/>
  <c r="CS106" i="29"/>
  <c r="CS107" i="29"/>
  <c r="CS108" i="29"/>
  <c r="CS109" i="29"/>
  <c r="CS110" i="29"/>
  <c r="CS111" i="29"/>
  <c r="CS112" i="29"/>
  <c r="CS113" i="29"/>
  <c r="CS114" i="29"/>
  <c r="CS115" i="29"/>
  <c r="CS116" i="29"/>
  <c r="CS117" i="29"/>
  <c r="CS118" i="29"/>
  <c r="CS119" i="29"/>
  <c r="CS120" i="29"/>
  <c r="CS121" i="29"/>
  <c r="CS122" i="29"/>
  <c r="CS123" i="29"/>
  <c r="CS124" i="29"/>
  <c r="CS125" i="29"/>
  <c r="CS126" i="29"/>
  <c r="CS127" i="29"/>
  <c r="CS128" i="29"/>
  <c r="CS129" i="29"/>
  <c r="CS130" i="29"/>
  <c r="CS131" i="29"/>
  <c r="CS132" i="29"/>
  <c r="CS133" i="29"/>
  <c r="CS134" i="29"/>
  <c r="CS135" i="29"/>
  <c r="CS136" i="29"/>
  <c r="CS137" i="29"/>
  <c r="CS138" i="29"/>
  <c r="CS139" i="29"/>
  <c r="CS140" i="29"/>
  <c r="CS141" i="29"/>
  <c r="CS142" i="29"/>
  <c r="CS143" i="29"/>
  <c r="CS144" i="29"/>
  <c r="CS145" i="29"/>
  <c r="CS146" i="29"/>
  <c r="CS147" i="29"/>
  <c r="CS148" i="29"/>
  <c r="CS149" i="29"/>
  <c r="CS150" i="29"/>
  <c r="CS151" i="29"/>
  <c r="CS152" i="29"/>
  <c r="CS153" i="29"/>
  <c r="CS154" i="29"/>
  <c r="CS155" i="29"/>
  <c r="CS156" i="29"/>
  <c r="CS157" i="29"/>
  <c r="CS158" i="29"/>
  <c r="CS159" i="29"/>
  <c r="CS160" i="29"/>
  <c r="CS161" i="29"/>
  <c r="CS162" i="29"/>
  <c r="CS163" i="29"/>
  <c r="CS164" i="29"/>
  <c r="CS165" i="29"/>
  <c r="CS166" i="29"/>
  <c r="CS167" i="29"/>
  <c r="CS168" i="29"/>
  <c r="CS169" i="29"/>
  <c r="CS170" i="29"/>
  <c r="CS171" i="29"/>
  <c r="CS172" i="29"/>
  <c r="CS173" i="29"/>
  <c r="CS174" i="29"/>
  <c r="CS175" i="29"/>
  <c r="CS176" i="29"/>
  <c r="CS177" i="29"/>
  <c r="CS178" i="29"/>
  <c r="CS179" i="29"/>
  <c r="CS180" i="29"/>
  <c r="CS181" i="29"/>
  <c r="CS182" i="29"/>
  <c r="CS183" i="29"/>
  <c r="CS184" i="29"/>
  <c r="CS185" i="29"/>
  <c r="CS186" i="29"/>
  <c r="CS187" i="29"/>
  <c r="CS188" i="29"/>
  <c r="CS189" i="29"/>
  <c r="CS190" i="29"/>
  <c r="CS191" i="29"/>
  <c r="CS192" i="29"/>
  <c r="CS193" i="29"/>
  <c r="CS194" i="29"/>
  <c r="CS195" i="29"/>
  <c r="CS196" i="29"/>
  <c r="CS197" i="29"/>
  <c r="CS198" i="29"/>
  <c r="CS199" i="29"/>
  <c r="CS200" i="29"/>
  <c r="CS201" i="29"/>
  <c r="CS202" i="29"/>
  <c r="CS203" i="29"/>
  <c r="CS204" i="29"/>
  <c r="CS205" i="29"/>
  <c r="CS206" i="29"/>
  <c r="CS207" i="29"/>
  <c r="CS208" i="29"/>
  <c r="CS209" i="29"/>
  <c r="CS210" i="29"/>
  <c r="CS211" i="29"/>
  <c r="CS212" i="29"/>
  <c r="CS213" i="29"/>
  <c r="CS214" i="29"/>
  <c r="CS215" i="29"/>
  <c r="CS216" i="29"/>
  <c r="CS217" i="29"/>
  <c r="CS218" i="29"/>
  <c r="CS219" i="29"/>
  <c r="CS220" i="29"/>
  <c r="CS221" i="29"/>
  <c r="CS222" i="29"/>
  <c r="CS223" i="29"/>
  <c r="CS224" i="29"/>
  <c r="CS225" i="29"/>
  <c r="CS226" i="29"/>
  <c r="CS227" i="29"/>
  <c r="CS228" i="29"/>
  <c r="CS229" i="29"/>
  <c r="CS230" i="29"/>
  <c r="CS231" i="29"/>
  <c r="CS232" i="29"/>
  <c r="CS233" i="29"/>
  <c r="CS234" i="29"/>
  <c r="CS235" i="29"/>
  <c r="CS236" i="29"/>
  <c r="CS237" i="29"/>
  <c r="CS238" i="29"/>
  <c r="CS239" i="29"/>
  <c r="CS240" i="29"/>
  <c r="CS241" i="29"/>
  <c r="CS242" i="29"/>
  <c r="CS243" i="29"/>
  <c r="CS244" i="29"/>
  <c r="CS245" i="29"/>
  <c r="CS246" i="29"/>
  <c r="CS247" i="29"/>
  <c r="H28" i="29"/>
  <c r="H29" i="29"/>
  <c r="H39" i="29" s="1"/>
  <c r="H5" i="12" s="1"/>
  <c r="F4" i="51" s="1"/>
  <c r="G29" i="29"/>
  <c r="H37" i="29"/>
  <c r="H3" i="12" s="1"/>
  <c r="H40" i="29"/>
  <c r="H6" i="12" s="1"/>
  <c r="H41" i="29"/>
  <c r="H7" i="12" s="1"/>
  <c r="F6" i="51" s="1"/>
  <c r="H42" i="29"/>
  <c r="H8" i="12" s="1"/>
  <c r="H43" i="29"/>
  <c r="H44" i="29"/>
  <c r="H22" i="12"/>
  <c r="I37" i="29"/>
  <c r="I3" i="12" s="1"/>
  <c r="G2" i="51" s="1"/>
  <c r="I39" i="29"/>
  <c r="I5" i="12" s="1"/>
  <c r="I40" i="29"/>
  <c r="I6" i="12" s="1"/>
  <c r="G5" i="51" s="1"/>
  <c r="I41" i="29"/>
  <c r="I7" i="12" s="1"/>
  <c r="G6" i="51" s="1"/>
  <c r="I42" i="29"/>
  <c r="I8" i="12" s="1"/>
  <c r="G7" i="51" s="1"/>
  <c r="I43" i="29"/>
  <c r="I9" i="12" s="1"/>
  <c r="G8" i="51" s="1"/>
  <c r="I44" i="29"/>
  <c r="I22" i="12"/>
  <c r="J35" i="29"/>
  <c r="J29" i="29"/>
  <c r="K29" i="29" s="1"/>
  <c r="J22" i="12"/>
  <c r="K39" i="29"/>
  <c r="K5" i="12" s="1"/>
  <c r="I4" i="51" s="1"/>
  <c r="K22" i="12"/>
  <c r="L37" i="29"/>
  <c r="L3" i="12" s="1"/>
  <c r="J2" i="51" s="1"/>
  <c r="J9" i="51" s="1"/>
  <c r="L38" i="29"/>
  <c r="L4" i="12" s="1"/>
  <c r="J3" i="51" s="1"/>
  <c r="L39" i="29"/>
  <c r="L5" i="12" s="1"/>
  <c r="J4" i="51" s="1"/>
  <c r="L40" i="29"/>
  <c r="L6" i="12" s="1"/>
  <c r="J5" i="51" s="1"/>
  <c r="L41" i="29"/>
  <c r="L7" i="12" s="1"/>
  <c r="J6" i="51" s="1"/>
  <c r="L43" i="29"/>
  <c r="L9" i="12" s="1"/>
  <c r="J8" i="51" s="1"/>
  <c r="L44" i="29"/>
  <c r="L22" i="12"/>
  <c r="M37" i="29"/>
  <c r="M3" i="12" s="1"/>
  <c r="M39" i="29"/>
  <c r="M5" i="12" s="1"/>
  <c r="M40" i="29"/>
  <c r="M6" i="12" s="1"/>
  <c r="M41" i="29"/>
  <c r="M7" i="12" s="1"/>
  <c r="M42" i="29"/>
  <c r="M8" i="12" s="1"/>
  <c r="M43" i="29"/>
  <c r="M44" i="29"/>
  <c r="M22" i="12"/>
  <c r="N37" i="29"/>
  <c r="N3" i="12" s="1"/>
  <c r="N38" i="29"/>
  <c r="N4" i="12" s="1"/>
  <c r="N39" i="29"/>
  <c r="N5" i="12" s="1"/>
  <c r="L4" i="51" s="1"/>
  <c r="N40" i="29"/>
  <c r="N6" i="12" s="1"/>
  <c r="L5" i="51" s="1"/>
  <c r="N41" i="29"/>
  <c r="N7" i="12" s="1"/>
  <c r="L6" i="51" s="1"/>
  <c r="N43" i="29"/>
  <c r="N9" i="12" s="1"/>
  <c r="L8" i="51" s="1"/>
  <c r="N44" i="29"/>
  <c r="N22" i="12"/>
  <c r="O37" i="29"/>
  <c r="O3" i="12" s="1"/>
  <c r="M2" i="51" s="1"/>
  <c r="M9" i="51" s="1"/>
  <c r="O38" i="29"/>
  <c r="O4" i="12" s="1"/>
  <c r="M3" i="51" s="1"/>
  <c r="O39" i="29"/>
  <c r="O40" i="29"/>
  <c r="O6" i="12" s="1"/>
  <c r="M5" i="51" s="1"/>
  <c r="O41" i="29"/>
  <c r="O7" i="12" s="1"/>
  <c r="M6" i="51" s="1"/>
  <c r="O42" i="29"/>
  <c r="O8" i="12" s="1"/>
  <c r="M7" i="51" s="1"/>
  <c r="O43" i="29"/>
  <c r="O9" i="12" s="1"/>
  <c r="M8" i="51" s="1"/>
  <c r="O44" i="29"/>
  <c r="O22" i="12"/>
  <c r="P38" i="29"/>
  <c r="P4" i="12" s="1"/>
  <c r="N3" i="51" s="1"/>
  <c r="P39" i="29"/>
  <c r="P5" i="12" s="1"/>
  <c r="N4" i="51" s="1"/>
  <c r="P40" i="29"/>
  <c r="P6" i="12" s="1"/>
  <c r="P41" i="29"/>
  <c r="P7" i="12" s="1"/>
  <c r="P42" i="29"/>
  <c r="P8" i="12" s="1"/>
  <c r="N7" i="51" s="1"/>
  <c r="P43" i="29"/>
  <c r="P9" i="12" s="1"/>
  <c r="N8" i="51" s="1"/>
  <c r="P44" i="29"/>
  <c r="P22" i="12"/>
  <c r="Q37" i="29"/>
  <c r="Q3" i="12" s="1"/>
  <c r="O2" i="51" s="1"/>
  <c r="Q38" i="29"/>
  <c r="Q4" i="12" s="1"/>
  <c r="Q39" i="29"/>
  <c r="Q5" i="12" s="1"/>
  <c r="Q40" i="29"/>
  <c r="Q6" i="12" s="1"/>
  <c r="Q42" i="29"/>
  <c r="Q8" i="12" s="1"/>
  <c r="Q43" i="29"/>
  <c r="Q44" i="29"/>
  <c r="Q22" i="12"/>
  <c r="R37" i="29"/>
  <c r="R3" i="12" s="1"/>
  <c r="R38" i="29"/>
  <c r="R4" i="12" s="1"/>
  <c r="P3" i="51" s="1"/>
  <c r="R39" i="29"/>
  <c r="R5" i="12" s="1"/>
  <c r="P4" i="51" s="1"/>
  <c r="R40" i="29"/>
  <c r="R6" i="12" s="1"/>
  <c r="P5" i="51" s="1"/>
  <c r="R41" i="29"/>
  <c r="R7" i="12" s="1"/>
  <c r="P6" i="51" s="1"/>
  <c r="R42" i="29"/>
  <c r="R8" i="12" s="1"/>
  <c r="P7" i="51" s="1"/>
  <c r="R43" i="29"/>
  <c r="R44" i="29"/>
  <c r="R22" i="12"/>
  <c r="S37" i="29"/>
  <c r="S3" i="12" s="1"/>
  <c r="Q2" i="51" s="1"/>
  <c r="Q9" i="51" s="1"/>
  <c r="S38" i="29"/>
  <c r="S4" i="12" s="1"/>
  <c r="Q3" i="51" s="1"/>
  <c r="S39" i="29"/>
  <c r="S5" i="12" s="1"/>
  <c r="Q4" i="51" s="1"/>
  <c r="S40" i="29"/>
  <c r="S41" i="29"/>
  <c r="S7" i="12" s="1"/>
  <c r="Q6" i="51" s="1"/>
  <c r="S42" i="29"/>
  <c r="S8" i="12" s="1"/>
  <c r="Q7" i="51" s="1"/>
  <c r="S43" i="29"/>
  <c r="S9" i="12" s="1"/>
  <c r="Q8" i="51" s="1"/>
  <c r="S44" i="29"/>
  <c r="S22" i="12"/>
  <c r="T38" i="29"/>
  <c r="T4" i="12" s="1"/>
  <c r="R3" i="51" s="1"/>
  <c r="T39" i="29"/>
  <c r="T5" i="12" s="1"/>
  <c r="R4" i="51" s="1"/>
  <c r="T40" i="29"/>
  <c r="T6" i="12" s="1"/>
  <c r="R5" i="51" s="1"/>
  <c r="T41" i="29"/>
  <c r="T7" i="12" s="1"/>
  <c r="R6" i="51" s="1"/>
  <c r="T42" i="29"/>
  <c r="T8" i="12" s="1"/>
  <c r="R7" i="51" s="1"/>
  <c r="T43" i="29"/>
  <c r="T44" i="29"/>
  <c r="T22" i="12"/>
  <c r="U37" i="29"/>
  <c r="U3" i="12" s="1"/>
  <c r="S2" i="51" s="1"/>
  <c r="U38" i="29"/>
  <c r="U4" i="12" s="1"/>
  <c r="S3" i="51" s="1"/>
  <c r="U39" i="29"/>
  <c r="U5" i="12" s="1"/>
  <c r="S4" i="51" s="1"/>
  <c r="U40" i="29"/>
  <c r="U6" i="12" s="1"/>
  <c r="S5" i="51" s="1"/>
  <c r="U42" i="29"/>
  <c r="U8" i="12" s="1"/>
  <c r="S7" i="51" s="1"/>
  <c r="U43" i="29"/>
  <c r="U44" i="29"/>
  <c r="U22" i="12"/>
  <c r="V37" i="29"/>
  <c r="V3" i="12" s="1"/>
  <c r="V38" i="29"/>
  <c r="V4" i="12" s="1"/>
  <c r="T3" i="51" s="1"/>
  <c r="V39" i="29"/>
  <c r="V5" i="12" s="1"/>
  <c r="V40" i="29"/>
  <c r="V6" i="12" s="1"/>
  <c r="V41" i="29"/>
  <c r="V7" i="12" s="1"/>
  <c r="V42" i="29"/>
  <c r="V8" i="12" s="1"/>
  <c r="V43" i="29"/>
  <c r="V44" i="29"/>
  <c r="V22" i="12"/>
  <c r="W22" i="12"/>
  <c r="M50" i="27"/>
  <c r="N50" i="27"/>
  <c r="O50" i="27"/>
  <c r="P50" i="27"/>
  <c r="Q50" i="27"/>
  <c r="R50" i="27"/>
  <c r="S50" i="27"/>
  <c r="T50" i="27"/>
  <c r="U50" i="27"/>
  <c r="V50" i="27"/>
  <c r="W50" i="27"/>
  <c r="X50" i="27"/>
  <c r="Y50" i="27"/>
  <c r="Z50" i="27"/>
  <c r="AA50" i="27"/>
  <c r="AB50" i="27"/>
  <c r="L50" i="27"/>
  <c r="S11" i="27"/>
  <c r="K189" i="27"/>
  <c r="K188" i="27"/>
  <c r="K187" i="27"/>
  <c r="K182" i="27"/>
  <c r="K183" i="27"/>
  <c r="K184" i="27"/>
  <c r="K185" i="27"/>
  <c r="K186" i="27"/>
  <c r="J187" i="27"/>
  <c r="J186" i="27"/>
  <c r="J185" i="27"/>
  <c r="J184" i="27"/>
  <c r="J183" i="27"/>
  <c r="J182" i="27"/>
  <c r="I182" i="27"/>
  <c r="I183" i="27"/>
  <c r="I184" i="27"/>
  <c r="I185" i="27"/>
  <c r="I186" i="27"/>
  <c r="I187" i="27"/>
  <c r="I188" i="27"/>
  <c r="I189" i="27"/>
  <c r="I190" i="27"/>
  <c r="I191" i="27"/>
  <c r="H191" i="27"/>
  <c r="H190" i="27"/>
  <c r="H189" i="27"/>
  <c r="H188" i="27"/>
  <c r="H187" i="27"/>
  <c r="H186" i="27"/>
  <c r="H185" i="27"/>
  <c r="H184" i="27"/>
  <c r="H183" i="27"/>
  <c r="H182" i="27"/>
  <c r="H26" i="12"/>
  <c r="H51" i="12" s="1"/>
  <c r="I26" i="12"/>
  <c r="I51" i="12" s="1"/>
  <c r="J26" i="12"/>
  <c r="J51" i="12" s="1"/>
  <c r="K26" i="12"/>
  <c r="L26" i="12"/>
  <c r="M26" i="12"/>
  <c r="M51" i="12" s="1"/>
  <c r="N26" i="12"/>
  <c r="N51" i="12" s="1"/>
  <c r="O26" i="12"/>
  <c r="O51" i="12" s="1"/>
  <c r="P26" i="12"/>
  <c r="P51" i="12" s="1"/>
  <c r="Q26" i="12"/>
  <c r="Q51" i="12" s="1"/>
  <c r="R26" i="12"/>
  <c r="S26" i="12"/>
  <c r="T26" i="12"/>
  <c r="T51" i="12" s="1"/>
  <c r="U26" i="12"/>
  <c r="U51" i="12" s="1"/>
  <c r="V26" i="12"/>
  <c r="V51" i="12" s="1"/>
  <c r="G26" i="12"/>
  <c r="I20" i="27"/>
  <c r="G5" i="27"/>
  <c r="I5" i="27" s="1"/>
  <c r="D219" i="27"/>
  <c r="D220" i="27"/>
  <c r="D221" i="27"/>
  <c r="D222" i="27"/>
  <c r="D223" i="27"/>
  <c r="D224" i="27"/>
  <c r="D225" i="27"/>
  <c r="D226" i="27"/>
  <c r="D227" i="27"/>
  <c r="D228" i="27"/>
  <c r="D229" i="27"/>
  <c r="D230" i="27"/>
  <c r="D231" i="27"/>
  <c r="D232" i="27"/>
  <c r="D233" i="27"/>
  <c r="D234" i="27"/>
  <c r="D235" i="27"/>
  <c r="D236" i="27"/>
  <c r="D237" i="27"/>
  <c r="D238" i="27"/>
  <c r="D239" i="27"/>
  <c r="D240" i="27"/>
  <c r="D241" i="27"/>
  <c r="D242" i="27"/>
  <c r="D243" i="27"/>
  <c r="D244" i="27"/>
  <c r="D182" i="27"/>
  <c r="D183" i="27"/>
  <c r="D184" i="27"/>
  <c r="D185" i="27"/>
  <c r="D186" i="27"/>
  <c r="D187" i="27"/>
  <c r="D188" i="27"/>
  <c r="D189" i="27"/>
  <c r="D190" i="27"/>
  <c r="D191" i="27"/>
  <c r="D192" i="27"/>
  <c r="D193" i="27"/>
  <c r="D194" i="27"/>
  <c r="D195" i="27"/>
  <c r="D196" i="27"/>
  <c r="D197" i="27"/>
  <c r="D198" i="27"/>
  <c r="D199" i="27"/>
  <c r="D200" i="27"/>
  <c r="D201" i="27"/>
  <c r="D202" i="27"/>
  <c r="D203" i="27"/>
  <c r="D204" i="27"/>
  <c r="D205" i="27"/>
  <c r="D206" i="27"/>
  <c r="D207" i="27"/>
  <c r="D208" i="27"/>
  <c r="D209" i="27"/>
  <c r="D210" i="27"/>
  <c r="D211" i="27"/>
  <c r="D212" i="27"/>
  <c r="D213" i="27"/>
  <c r="D214" i="27"/>
  <c r="D215" i="27"/>
  <c r="G22" i="12"/>
  <c r="G14" i="29"/>
  <c r="W45" i="29"/>
  <c r="V45" i="29"/>
  <c r="U45" i="29"/>
  <c r="S45" i="29"/>
  <c r="R45" i="29"/>
  <c r="O45" i="29"/>
  <c r="N45" i="29"/>
  <c r="M45" i="29"/>
  <c r="L45" i="29"/>
  <c r="I17" i="29"/>
  <c r="I19" i="29"/>
  <c r="I20" i="29"/>
  <c r="I21" i="29"/>
  <c r="I22" i="29"/>
  <c r="I23" i="29"/>
  <c r="J17" i="29"/>
  <c r="J18" i="29"/>
  <c r="J19" i="29"/>
  <c r="J20" i="29"/>
  <c r="J21" i="29"/>
  <c r="J22" i="29"/>
  <c r="J23" i="29"/>
  <c r="K17" i="29"/>
  <c r="K18" i="29"/>
  <c r="K19" i="29"/>
  <c r="K20" i="29"/>
  <c r="K21" i="29"/>
  <c r="K22" i="29"/>
  <c r="K23" i="29"/>
  <c r="L17" i="29"/>
  <c r="L18" i="29"/>
  <c r="L19" i="29"/>
  <c r="L20" i="29"/>
  <c r="L21" i="29"/>
  <c r="L22" i="29"/>
  <c r="L23" i="29"/>
  <c r="M17" i="29"/>
  <c r="M18" i="29"/>
  <c r="M19" i="29"/>
  <c r="M20" i="29"/>
  <c r="M21" i="29"/>
  <c r="M22" i="29"/>
  <c r="M23" i="29"/>
  <c r="N17" i="29"/>
  <c r="N18" i="29"/>
  <c r="N19" i="29"/>
  <c r="N20" i="29"/>
  <c r="N21" i="29"/>
  <c r="N22" i="29"/>
  <c r="N23" i="29"/>
  <c r="O17" i="29"/>
  <c r="O18" i="29"/>
  <c r="O19" i="29"/>
  <c r="O20" i="29"/>
  <c r="O21" i="29"/>
  <c r="O22" i="29"/>
  <c r="O23" i="29"/>
  <c r="P18" i="29"/>
  <c r="P19" i="29"/>
  <c r="P20" i="29"/>
  <c r="P21" i="29"/>
  <c r="P22" i="29"/>
  <c r="P23" i="29"/>
  <c r="Q17" i="29"/>
  <c r="Q18" i="29"/>
  <c r="Q19" i="29"/>
  <c r="Q20" i="29"/>
  <c r="Q21" i="29"/>
  <c r="Q22" i="29"/>
  <c r="Q23" i="29"/>
  <c r="R17" i="29"/>
  <c r="R18" i="29"/>
  <c r="R19" i="29"/>
  <c r="R20" i="29"/>
  <c r="R21" i="29"/>
  <c r="R22" i="29"/>
  <c r="R23" i="29"/>
  <c r="S17" i="29"/>
  <c r="S18" i="29"/>
  <c r="S19" i="29"/>
  <c r="S20" i="29"/>
  <c r="S21" i="29"/>
  <c r="S22" i="29"/>
  <c r="S23" i="29"/>
  <c r="T17" i="29"/>
  <c r="T18" i="29"/>
  <c r="T19" i="29"/>
  <c r="T20" i="29"/>
  <c r="T21" i="29"/>
  <c r="T22" i="29"/>
  <c r="T23" i="29"/>
  <c r="U17" i="29"/>
  <c r="U18" i="29"/>
  <c r="U19" i="29"/>
  <c r="U20" i="29"/>
  <c r="U21" i="29"/>
  <c r="U22" i="29"/>
  <c r="U23" i="29"/>
  <c r="V17" i="29"/>
  <c r="V18" i="29"/>
  <c r="V19" i="29"/>
  <c r="V20" i="29"/>
  <c r="V21" i="29"/>
  <c r="V22" i="29"/>
  <c r="V23" i="29"/>
  <c r="H17" i="29"/>
  <c r="H18" i="29"/>
  <c r="H19" i="29"/>
  <c r="H20" i="29"/>
  <c r="H21" i="29"/>
  <c r="H22" i="29"/>
  <c r="H23" i="29"/>
  <c r="W14" i="29"/>
  <c r="I19" i="27"/>
  <c r="G18" i="27"/>
  <c r="H18" i="27"/>
  <c r="I18" i="27"/>
  <c r="G17" i="27"/>
  <c r="H17" i="27"/>
  <c r="I17" i="27"/>
  <c r="G16" i="27"/>
  <c r="H16" i="27"/>
  <c r="I16" i="27"/>
  <c r="G15" i="27"/>
  <c r="I15" i="27" s="1"/>
  <c r="H15" i="27"/>
  <c r="G14" i="27"/>
  <c r="I14" i="27" s="1"/>
  <c r="H14" i="27"/>
  <c r="G13" i="27"/>
  <c r="H13" i="27"/>
  <c r="I13" i="27"/>
  <c r="G12" i="27"/>
  <c r="I12" i="27" s="1"/>
  <c r="H12" i="27"/>
  <c r="G11" i="27"/>
  <c r="I11" i="27" s="1"/>
  <c r="H11" i="27"/>
  <c r="G10" i="27"/>
  <c r="H10" i="27"/>
  <c r="I10" i="27"/>
  <c r="G9" i="27"/>
  <c r="H9" i="27"/>
  <c r="I9" i="27"/>
  <c r="G8" i="27"/>
  <c r="H8" i="27"/>
  <c r="I8" i="27"/>
  <c r="G7" i="27"/>
  <c r="I7" i="27" s="1"/>
  <c r="H7" i="27"/>
  <c r="G6" i="27"/>
  <c r="I6" i="27" s="1"/>
  <c r="H6" i="27"/>
  <c r="H5" i="27"/>
  <c r="W19" i="12"/>
  <c r="V19" i="12"/>
  <c r="R56" i="47" l="1"/>
  <c r="R10" i="47"/>
  <c r="Q56" i="47"/>
  <c r="P56" i="47"/>
  <c r="P9" i="47"/>
  <c r="O9" i="47"/>
  <c r="AO41" i="18"/>
  <c r="AC28" i="12"/>
  <c r="X14" i="55"/>
  <c r="X50" i="54"/>
  <c r="Y54" i="54"/>
  <c r="Q37" i="12"/>
  <c r="O3" i="51"/>
  <c r="M39" i="12"/>
  <c r="K5" i="51"/>
  <c r="R36" i="12"/>
  <c r="P2" i="51"/>
  <c r="N37" i="12"/>
  <c r="L3" i="51"/>
  <c r="M38" i="12"/>
  <c r="K4" i="51"/>
  <c r="V41" i="12"/>
  <c r="T7" i="51"/>
  <c r="N36" i="12"/>
  <c r="L2" i="51"/>
  <c r="M36" i="12"/>
  <c r="K2" i="51"/>
  <c r="V40" i="12"/>
  <c r="T6" i="51"/>
  <c r="H41" i="12"/>
  <c r="F7" i="51"/>
  <c r="V39" i="12"/>
  <c r="T5" i="51"/>
  <c r="E44" i="12"/>
  <c r="E52" i="12" s="1"/>
  <c r="V38" i="12"/>
  <c r="T4" i="51"/>
  <c r="Q41" i="12"/>
  <c r="O7" i="51"/>
  <c r="H39" i="12"/>
  <c r="F5" i="51"/>
  <c r="Q39" i="12"/>
  <c r="O5" i="51"/>
  <c r="P40" i="12"/>
  <c r="N6" i="51"/>
  <c r="M41" i="12"/>
  <c r="K7" i="51"/>
  <c r="I38" i="12"/>
  <c r="G4" i="51"/>
  <c r="H36" i="12"/>
  <c r="F2" i="51"/>
  <c r="V36" i="12"/>
  <c r="T2" i="51"/>
  <c r="Q38" i="12"/>
  <c r="O4" i="51"/>
  <c r="P39" i="12"/>
  <c r="N5" i="51"/>
  <c r="M40" i="12"/>
  <c r="K6" i="51"/>
  <c r="C46" i="12"/>
  <c r="T9" i="47"/>
  <c r="BW40" i="18"/>
  <c r="BW37" i="18"/>
  <c r="BX37" i="18"/>
  <c r="BW36" i="18"/>
  <c r="BX36" i="18"/>
  <c r="BW38" i="18"/>
  <c r="BX38" i="18"/>
  <c r="BV40" i="18"/>
  <c r="BW39" i="18"/>
  <c r="BX39" i="18"/>
  <c r="BW35" i="18"/>
  <c r="BX35" i="18"/>
  <c r="BV36" i="18"/>
  <c r="BV41" i="18"/>
  <c r="BU48" i="18"/>
  <c r="BU49" i="18" s="1"/>
  <c r="BU50" i="18" s="1"/>
  <c r="BV37" i="18"/>
  <c r="C44" i="12"/>
  <c r="C52" i="12"/>
  <c r="BU40" i="18"/>
  <c r="BU41" i="18"/>
  <c r="E46" i="12"/>
  <c r="G24" i="29"/>
  <c r="O24" i="29"/>
  <c r="V24" i="29"/>
  <c r="H24" i="29"/>
  <c r="Q24" i="29"/>
  <c r="J24" i="29"/>
  <c r="R24" i="29"/>
  <c r="K24" i="29"/>
  <c r="S24" i="29"/>
  <c r="L24" i="29"/>
  <c r="T24" i="29"/>
  <c r="M24" i="29"/>
  <c r="U24" i="29"/>
  <c r="N24" i="29"/>
  <c r="H36" i="18"/>
  <c r="BO38" i="18"/>
  <c r="X39" i="18"/>
  <c r="AM35" i="18"/>
  <c r="Y11" i="12"/>
  <c r="Y40" i="12"/>
  <c r="Y44" i="12" s="1"/>
  <c r="AC46" i="12"/>
  <c r="Y46" i="12"/>
  <c r="AB44" i="12"/>
  <c r="AB52" i="12" s="1"/>
  <c r="AA44" i="12"/>
  <c r="AA52" i="12" s="1"/>
  <c r="AC44" i="12"/>
  <c r="Z44" i="12"/>
  <c r="Z52" i="12" s="1"/>
  <c r="H38" i="12"/>
  <c r="P13" i="12"/>
  <c r="Z46" i="12"/>
  <c r="AA46" i="12"/>
  <c r="S41" i="12"/>
  <c r="S40" i="12"/>
  <c r="R41" i="12"/>
  <c r="K38" i="12"/>
  <c r="L51" i="12"/>
  <c r="L42" i="12"/>
  <c r="G51" i="12"/>
  <c r="S42" i="12"/>
  <c r="L36" i="12"/>
  <c r="S38" i="12"/>
  <c r="R39" i="12"/>
  <c r="L40" i="12"/>
  <c r="R51" i="12"/>
  <c r="S37" i="12"/>
  <c r="R38" i="12"/>
  <c r="L39" i="12"/>
  <c r="R37" i="12"/>
  <c r="L38" i="12"/>
  <c r="G39" i="12"/>
  <c r="K11" i="50"/>
  <c r="X36" i="12"/>
  <c r="AC22" i="12"/>
  <c r="AC23" i="12" s="1"/>
  <c r="W40" i="12"/>
  <c r="W13" i="12"/>
  <c r="X13" i="12"/>
  <c r="P38" i="12"/>
  <c r="P37" i="12"/>
  <c r="I42" i="12"/>
  <c r="I41" i="12"/>
  <c r="AN21" i="18"/>
  <c r="AN35" i="18" s="1"/>
  <c r="P42" i="12"/>
  <c r="I40" i="12"/>
  <c r="X22" i="18"/>
  <c r="P41" i="12"/>
  <c r="I39" i="12"/>
  <c r="AP23" i="18"/>
  <c r="AQ37" i="18" s="1"/>
  <c r="AZ23" i="18"/>
  <c r="AF26" i="18"/>
  <c r="AN26" i="18"/>
  <c r="AJ25" i="18"/>
  <c r="BM21" i="18"/>
  <c r="J27" i="18"/>
  <c r="S39" i="12"/>
  <c r="BL22" i="18"/>
  <c r="BM36" i="18" s="1"/>
  <c r="BH27" i="18"/>
  <c r="AY22" i="18"/>
  <c r="AZ36" i="18" s="1"/>
  <c r="BP23" i="18"/>
  <c r="AZ25" i="18"/>
  <c r="S28" i="18"/>
  <c r="M21" i="18"/>
  <c r="S24" i="18"/>
  <c r="AY28" i="18"/>
  <c r="T23" i="18"/>
  <c r="AZ28" i="18"/>
  <c r="AS21" i="18"/>
  <c r="BP28" i="18"/>
  <c r="BP24" i="18"/>
  <c r="BQ38" i="18" s="1"/>
  <c r="T27" i="18"/>
  <c r="BQ28" i="18"/>
  <c r="BQ21" i="18"/>
  <c r="AR23" i="18"/>
  <c r="AS37" i="18" s="1"/>
  <c r="AJ27" i="18"/>
  <c r="AS29" i="18"/>
  <c r="W22" i="18"/>
  <c r="M25" i="18"/>
  <c r="BH29" i="18"/>
  <c r="N21" i="18"/>
  <c r="N24" i="18"/>
  <c r="AL25" i="18"/>
  <c r="AT29" i="18"/>
  <c r="W21" i="18"/>
  <c r="AV21" i="18"/>
  <c r="BT21" i="18"/>
  <c r="BU35" i="18" s="1"/>
  <c r="AF22" i="18"/>
  <c r="BT22" i="18"/>
  <c r="BU36" i="18" s="1"/>
  <c r="AT25" i="18"/>
  <c r="X27" i="18"/>
  <c r="BL27" i="18"/>
  <c r="W39" i="12"/>
  <c r="X21" i="18"/>
  <c r="AW21" i="18"/>
  <c r="AG22" i="18"/>
  <c r="AH36" i="18" s="1"/>
  <c r="J23" i="18"/>
  <c r="AB24" i="18"/>
  <c r="AV25" i="18"/>
  <c r="AH27" i="18"/>
  <c r="BM27" i="18"/>
  <c r="BK29" i="18"/>
  <c r="X38" i="12"/>
  <c r="AF21" i="18"/>
  <c r="BD21" i="18"/>
  <c r="BD35" i="18" s="1"/>
  <c r="AL24" i="18"/>
  <c r="BC26" i="18"/>
  <c r="X32" i="18"/>
  <c r="AK21" i="18"/>
  <c r="AL35" i="18" s="1"/>
  <c r="I22" i="18"/>
  <c r="J36" i="18" s="1"/>
  <c r="AN22" i="18"/>
  <c r="AO36" i="18" s="1"/>
  <c r="X23" i="18"/>
  <c r="BD23" i="18"/>
  <c r="BD26" i="18"/>
  <c r="AN27" i="18"/>
  <c r="T28" i="18"/>
  <c r="BK21" i="18"/>
  <c r="BK35" i="18" s="1"/>
  <c r="AV22" i="18"/>
  <c r="AW36" i="18" s="1"/>
  <c r="AF23" i="18"/>
  <c r="AG37" i="18" s="1"/>
  <c r="BL23" i="18"/>
  <c r="BM37" i="18" s="1"/>
  <c r="AR24" i="18"/>
  <c r="BM26" i="18"/>
  <c r="AV27" i="18"/>
  <c r="AJ28" i="18"/>
  <c r="AB29" i="18"/>
  <c r="W41" i="12"/>
  <c r="I21" i="18"/>
  <c r="BL21" i="18"/>
  <c r="AZ24" i="18"/>
  <c r="BT25" i="18"/>
  <c r="BU39" i="18" s="1"/>
  <c r="I27" i="18"/>
  <c r="G40" i="12"/>
  <c r="W42" i="12"/>
  <c r="X40" i="12"/>
  <c r="O13" i="12"/>
  <c r="L13" i="12"/>
  <c r="N13" i="12"/>
  <c r="U41" i="12"/>
  <c r="T41" i="12"/>
  <c r="X42" i="12"/>
  <c r="X41" i="12"/>
  <c r="G42" i="12"/>
  <c r="T40" i="12"/>
  <c r="O42" i="12"/>
  <c r="U38" i="12"/>
  <c r="T39" i="12"/>
  <c r="O41" i="12"/>
  <c r="N42" i="12"/>
  <c r="N46" i="12" s="1"/>
  <c r="L41" i="12"/>
  <c r="U37" i="12"/>
  <c r="T38" i="12"/>
  <c r="O40" i="12"/>
  <c r="N40" i="12"/>
  <c r="U40" i="12"/>
  <c r="G41" i="12"/>
  <c r="O36" i="12"/>
  <c r="U39" i="12"/>
  <c r="T37" i="12"/>
  <c r="O39" i="12"/>
  <c r="N41" i="12"/>
  <c r="X37" i="12"/>
  <c r="W11" i="12"/>
  <c r="S13" i="12"/>
  <c r="N38" i="12"/>
  <c r="O38" i="12"/>
  <c r="BS48" i="29"/>
  <c r="K48" i="29"/>
  <c r="P14" i="29"/>
  <c r="P37" i="29"/>
  <c r="I4" i="29"/>
  <c r="R48" i="29"/>
  <c r="CP48" i="29"/>
  <c r="CI48" i="29"/>
  <c r="CC48" i="29"/>
  <c r="P17" i="29"/>
  <c r="P24" i="29" s="1"/>
  <c r="S51" i="12"/>
  <c r="K51" i="12"/>
  <c r="Q36" i="12"/>
  <c r="N39" i="12"/>
  <c r="N11" i="12"/>
  <c r="N27" i="12" s="1"/>
  <c r="J39" i="29"/>
  <c r="J5" i="12" s="1"/>
  <c r="Q41" i="29"/>
  <c r="Q14" i="29"/>
  <c r="J28" i="29"/>
  <c r="J32" i="29"/>
  <c r="J30" i="29"/>
  <c r="J34" i="29"/>
  <c r="J33" i="29"/>
  <c r="J27" i="29"/>
  <c r="I36" i="12"/>
  <c r="R40" i="12"/>
  <c r="H38" i="29"/>
  <c r="G28" i="29"/>
  <c r="G38" i="29" s="1"/>
  <c r="V37" i="12"/>
  <c r="U36" i="12"/>
  <c r="S36" i="12"/>
  <c r="S11" i="12"/>
  <c r="J31" i="29"/>
  <c r="H40" i="12"/>
  <c r="T9" i="12"/>
  <c r="R8" i="51" s="1"/>
  <c r="M9" i="12"/>
  <c r="O37" i="12"/>
  <c r="O11" i="12"/>
  <c r="O27" i="12" s="1"/>
  <c r="K201" i="29"/>
  <c r="L201" i="29"/>
  <c r="L37" i="12"/>
  <c r="L11" i="12"/>
  <c r="H9" i="12"/>
  <c r="F8" i="51" s="1"/>
  <c r="CS48" i="29"/>
  <c r="I14" i="29"/>
  <c r="CL48" i="29"/>
  <c r="R14" i="29"/>
  <c r="M9" i="47"/>
  <c r="M56" i="47"/>
  <c r="M10" i="47"/>
  <c r="V48" i="29"/>
  <c r="Y141" i="29"/>
  <c r="Y48" i="29" s="1"/>
  <c r="T14" i="29"/>
  <c r="T37" i="29"/>
  <c r="M37" i="12"/>
  <c r="L14" i="29"/>
  <c r="AG48" i="29"/>
  <c r="V14" i="29"/>
  <c r="S14" i="29"/>
  <c r="M14" i="29"/>
  <c r="U9" i="12"/>
  <c r="S8" i="51" s="1"/>
  <c r="S9" i="51" s="1"/>
  <c r="BC48" i="29"/>
  <c r="X11" i="12"/>
  <c r="BT17" i="18" s="1"/>
  <c r="BT19" i="18" s="1"/>
  <c r="X39" i="12"/>
  <c r="R9" i="12"/>
  <c r="P8" i="51" s="1"/>
  <c r="L158" i="29"/>
  <c r="K145" i="29"/>
  <c r="G10" i="47"/>
  <c r="G9" i="47"/>
  <c r="AD27" i="18"/>
  <c r="AD23" i="18"/>
  <c r="AD28" i="18"/>
  <c r="AD22" i="18"/>
  <c r="AD25" i="18"/>
  <c r="AD32" i="18"/>
  <c r="AD29" i="18"/>
  <c r="AD21" i="18"/>
  <c r="AD26" i="18"/>
  <c r="AD24" i="18"/>
  <c r="AI29" i="18"/>
  <c r="AI25" i="18"/>
  <c r="AI32" i="18"/>
  <c r="AI26" i="18"/>
  <c r="AI21" i="18"/>
  <c r="AI24" i="18"/>
  <c r="AI22" i="18"/>
  <c r="AI23" i="18"/>
  <c r="AI28" i="18"/>
  <c r="AI27" i="18"/>
  <c r="AX29" i="18"/>
  <c r="AX25" i="18"/>
  <c r="AX32" i="18"/>
  <c r="AX26" i="18"/>
  <c r="AX24" i="18"/>
  <c r="AX23" i="18"/>
  <c r="AX21" i="18"/>
  <c r="AX27" i="18"/>
  <c r="AX22" i="18"/>
  <c r="AY36" i="18" s="1"/>
  <c r="AX28" i="18"/>
  <c r="G56" i="47"/>
  <c r="G39" i="29"/>
  <c r="G5" i="12" s="1"/>
  <c r="E4" i="51" s="1"/>
  <c r="O27" i="18"/>
  <c r="O23" i="18"/>
  <c r="O28" i="18"/>
  <c r="O32" i="18"/>
  <c r="O25" i="18"/>
  <c r="O22" i="18"/>
  <c r="O26" i="18"/>
  <c r="O29" i="18"/>
  <c r="O21" i="18"/>
  <c r="O35" i="18" s="1"/>
  <c r="O24" i="18"/>
  <c r="Y28" i="18"/>
  <c r="Y24" i="18"/>
  <c r="Y29" i="18"/>
  <c r="Y25" i="18"/>
  <c r="Y26" i="18"/>
  <c r="Y27" i="18"/>
  <c r="Y22" i="18"/>
  <c r="Y23" i="18"/>
  <c r="Y21" i="18"/>
  <c r="Y32" i="18"/>
  <c r="AE27" i="18"/>
  <c r="AE23" i="18"/>
  <c r="AE28" i="18"/>
  <c r="AE24" i="18"/>
  <c r="AE25" i="18"/>
  <c r="AF39" i="18" s="1"/>
  <c r="AE32" i="18"/>
  <c r="AE22" i="18"/>
  <c r="AE21" i="18"/>
  <c r="AE26" i="18"/>
  <c r="AE29" i="18"/>
  <c r="H9" i="47"/>
  <c r="H56" i="47"/>
  <c r="G36" i="12"/>
  <c r="F27" i="18"/>
  <c r="F23" i="18"/>
  <c r="F25" i="18"/>
  <c r="F22" i="18"/>
  <c r="G36" i="18" s="1"/>
  <c r="F29" i="18"/>
  <c r="F24" i="18"/>
  <c r="F21" i="18"/>
  <c r="F26" i="18"/>
  <c r="F28" i="18"/>
  <c r="F32" i="18"/>
  <c r="K29" i="18"/>
  <c r="K25" i="18"/>
  <c r="K32" i="18"/>
  <c r="K26" i="18"/>
  <c r="K21" i="18"/>
  <c r="K28" i="18"/>
  <c r="K24" i="18"/>
  <c r="K23" i="18"/>
  <c r="K22" i="18"/>
  <c r="K27" i="18"/>
  <c r="P28" i="18"/>
  <c r="P24" i="18"/>
  <c r="P29" i="18"/>
  <c r="P32" i="18"/>
  <c r="P25" i="18"/>
  <c r="P27" i="18"/>
  <c r="P23" i="18"/>
  <c r="P22" i="18"/>
  <c r="P26" i="18"/>
  <c r="P21" i="18"/>
  <c r="U32" i="18"/>
  <c r="U26" i="18"/>
  <c r="U27" i="18"/>
  <c r="U22" i="18"/>
  <c r="U29" i="18"/>
  <c r="U24" i="18"/>
  <c r="U21" i="18"/>
  <c r="U28" i="18"/>
  <c r="U23" i="18"/>
  <c r="U25" i="18"/>
  <c r="Z29" i="18"/>
  <c r="Z25" i="18"/>
  <c r="Z32" i="18"/>
  <c r="Z24" i="18"/>
  <c r="Z21" i="18"/>
  <c r="Z28" i="18"/>
  <c r="Z23" i="18"/>
  <c r="Z22" i="18"/>
  <c r="Z26" i="18"/>
  <c r="Z27" i="18"/>
  <c r="Q9" i="12"/>
  <c r="O8" i="51" s="1"/>
  <c r="L147" i="29"/>
  <c r="L48" i="29" s="1"/>
  <c r="V9" i="12"/>
  <c r="T8" i="51" s="1"/>
  <c r="H48" i="29"/>
  <c r="O56" i="47"/>
  <c r="W36" i="12"/>
  <c r="W38" i="12"/>
  <c r="N56" i="47"/>
  <c r="N9" i="47"/>
  <c r="G27" i="18"/>
  <c r="G23" i="18"/>
  <c r="G28" i="18"/>
  <c r="G29" i="18"/>
  <c r="G21" i="18"/>
  <c r="G25" i="18"/>
  <c r="G26" i="18"/>
  <c r="V27" i="18"/>
  <c r="V23" i="18"/>
  <c r="V28" i="18"/>
  <c r="V22" i="18"/>
  <c r="V29" i="18"/>
  <c r="V24" i="18"/>
  <c r="V26" i="18"/>
  <c r="V21" i="18"/>
  <c r="V32" i="18"/>
  <c r="BI32" i="18"/>
  <c r="BI26" i="18"/>
  <c r="BI22" i="18"/>
  <c r="BJ36" i="18" s="1"/>
  <c r="BI27" i="18"/>
  <c r="BI28" i="18"/>
  <c r="BI23" i="18"/>
  <c r="BI24" i="18"/>
  <c r="BI21" i="18"/>
  <c r="BJ35" i="18" s="1"/>
  <c r="BI29" i="18"/>
  <c r="BI25" i="18"/>
  <c r="BN29" i="18"/>
  <c r="BN25" i="18"/>
  <c r="BN32" i="18"/>
  <c r="BN22" i="18"/>
  <c r="BO36" i="18" s="1"/>
  <c r="BN21" i="18"/>
  <c r="BN27" i="18"/>
  <c r="BN26" i="18"/>
  <c r="BN28" i="18"/>
  <c r="BS27" i="18"/>
  <c r="BS23" i="18"/>
  <c r="BS28" i="18"/>
  <c r="BS24" i="18"/>
  <c r="BS29" i="18"/>
  <c r="BS21" i="18"/>
  <c r="BS25" i="18"/>
  <c r="L32" i="18"/>
  <c r="L26" i="18"/>
  <c r="L21" i="18"/>
  <c r="L28" i="18"/>
  <c r="L24" i="18"/>
  <c r="L22" i="18"/>
  <c r="L25" i="18"/>
  <c r="M39" i="18" s="1"/>
  <c r="L23" i="18"/>
  <c r="L27" i="18"/>
  <c r="Q28" i="18"/>
  <c r="Q24" i="18"/>
  <c r="Q29" i="18"/>
  <c r="Q25" i="18"/>
  <c r="Q32" i="18"/>
  <c r="Q27" i="18"/>
  <c r="Q23" i="18"/>
  <c r="Q26" i="18"/>
  <c r="Q21" i="18"/>
  <c r="AA29" i="18"/>
  <c r="AA25" i="18"/>
  <c r="AB39" i="18" s="1"/>
  <c r="AA32" i="18"/>
  <c r="AA26" i="18"/>
  <c r="AA21" i="18"/>
  <c r="AA28" i="18"/>
  <c r="AA23" i="18"/>
  <c r="AA27" i="18"/>
  <c r="AA22" i="18"/>
  <c r="AA24" i="18"/>
  <c r="AB38" i="18" s="1"/>
  <c r="BJ27" i="18"/>
  <c r="BJ23" i="18"/>
  <c r="BJ28" i="18"/>
  <c r="BJ24" i="18"/>
  <c r="BJ26" i="18"/>
  <c r="BJ32" i="18"/>
  <c r="BJ29" i="18"/>
  <c r="BJ25" i="18"/>
  <c r="BK39" i="18" s="1"/>
  <c r="BJ22" i="18"/>
  <c r="BK36" i="18" s="1"/>
  <c r="E32" i="18"/>
  <c r="E26" i="18"/>
  <c r="E27" i="18"/>
  <c r="E25" i="18"/>
  <c r="E22" i="18"/>
  <c r="E29" i="18"/>
  <c r="E23" i="18"/>
  <c r="E28" i="18"/>
  <c r="E24" i="18"/>
  <c r="E21" i="18"/>
  <c r="BS22" i="18"/>
  <c r="BT36" i="18" s="1"/>
  <c r="BN23" i="18"/>
  <c r="G32" i="18"/>
  <c r="BE41" i="18"/>
  <c r="H28" i="18"/>
  <c r="H24" i="18"/>
  <c r="H29" i="18"/>
  <c r="H27" i="18"/>
  <c r="H23" i="18"/>
  <c r="H26" i="18"/>
  <c r="H21" i="18"/>
  <c r="I35" i="18" s="1"/>
  <c r="H25" i="18"/>
  <c r="H32" i="18"/>
  <c r="I41" i="18" s="1"/>
  <c r="R29" i="18"/>
  <c r="R25" i="18"/>
  <c r="R32" i="18"/>
  <c r="R27" i="18"/>
  <c r="R23" i="18"/>
  <c r="R21" i="18"/>
  <c r="R24" i="18"/>
  <c r="AU27" i="18"/>
  <c r="AU23" i="18"/>
  <c r="AV37" i="18" s="1"/>
  <c r="AU28" i="18"/>
  <c r="AU24" i="18"/>
  <c r="AU22" i="18"/>
  <c r="AV36" i="18" s="1"/>
  <c r="AU32" i="18"/>
  <c r="AU26" i="18"/>
  <c r="AU21" i="18"/>
  <c r="AU29" i="18"/>
  <c r="BE28" i="18"/>
  <c r="BE24" i="18"/>
  <c r="BE29" i="18"/>
  <c r="BE25" i="18"/>
  <c r="BE22" i="18"/>
  <c r="BF36" i="18" s="1"/>
  <c r="BE27" i="18"/>
  <c r="BE23" i="18"/>
  <c r="BE21" i="18"/>
  <c r="BE26" i="18"/>
  <c r="BO29" i="18"/>
  <c r="BO25" i="18"/>
  <c r="BO32" i="18"/>
  <c r="BO26" i="18"/>
  <c r="BO22" i="18"/>
  <c r="BP36" i="18" s="1"/>
  <c r="BO21" i="18"/>
  <c r="BO27" i="18"/>
  <c r="BO28" i="18"/>
  <c r="BO23" i="18"/>
  <c r="Q22" i="18"/>
  <c r="R26" i="18"/>
  <c r="BS32" i="18"/>
  <c r="BT41" i="18" s="1"/>
  <c r="E56" i="47"/>
  <c r="E9" i="47"/>
  <c r="AL27" i="18"/>
  <c r="AL23" i="18"/>
  <c r="AL28" i="18"/>
  <c r="AL22" i="18"/>
  <c r="AL29" i="18"/>
  <c r="AL26" i="18"/>
  <c r="AQ29" i="18"/>
  <c r="AQ25" i="18"/>
  <c r="AQ32" i="18"/>
  <c r="AQ26" i="18"/>
  <c r="AQ27" i="18"/>
  <c r="AQ21" i="18"/>
  <c r="AQ28" i="18"/>
  <c r="AQ22" i="18"/>
  <c r="AR36" i="18" s="1"/>
  <c r="AQ24" i="18"/>
  <c r="BA32" i="18"/>
  <c r="BA26" i="18"/>
  <c r="BB40" i="18" s="1"/>
  <c r="BA22" i="18"/>
  <c r="BB36" i="18" s="1"/>
  <c r="BA27" i="18"/>
  <c r="BA29" i="18"/>
  <c r="BA25" i="18"/>
  <c r="BA24" i="18"/>
  <c r="BA23" i="18"/>
  <c r="BA28" i="18"/>
  <c r="BF29" i="18"/>
  <c r="BF25" i="18"/>
  <c r="BF32" i="18"/>
  <c r="BF41" i="18" s="1"/>
  <c r="BF27" i="18"/>
  <c r="BF21" i="18"/>
  <c r="BF28" i="18"/>
  <c r="BF26" i="18"/>
  <c r="BF23" i="18"/>
  <c r="BF22" i="18"/>
  <c r="BG36" i="18" s="1"/>
  <c r="BK27" i="18"/>
  <c r="BK23" i="18"/>
  <c r="BK28" i="18"/>
  <c r="BK24" i="18"/>
  <c r="BK26" i="18"/>
  <c r="BK32" i="18"/>
  <c r="BK22" i="18"/>
  <c r="BL36" i="18" s="1"/>
  <c r="D32" i="18"/>
  <c r="D26" i="18"/>
  <c r="D21" i="18"/>
  <c r="D27" i="18"/>
  <c r="D25" i="18"/>
  <c r="D22" i="18"/>
  <c r="D29" i="18"/>
  <c r="D23" i="18"/>
  <c r="D28" i="18"/>
  <c r="D24" i="18"/>
  <c r="R22" i="18"/>
  <c r="S36" i="18" s="1"/>
  <c r="G24" i="18"/>
  <c r="AU25" i="18"/>
  <c r="W37" i="12"/>
  <c r="AC32" i="18"/>
  <c r="AD41" i="18" s="1"/>
  <c r="AC26" i="18"/>
  <c r="AC27" i="18"/>
  <c r="AC28" i="18"/>
  <c r="AC23" i="18"/>
  <c r="AC22" i="18"/>
  <c r="AC25" i="18"/>
  <c r="AC24" i="18"/>
  <c r="AC29" i="18"/>
  <c r="AC21" i="18"/>
  <c r="AH29" i="18"/>
  <c r="AH25" i="18"/>
  <c r="AH32" i="18"/>
  <c r="AI41" i="18" s="1"/>
  <c r="AH26" i="18"/>
  <c r="AH21" i="18"/>
  <c r="AH24" i="18"/>
  <c r="AH23" i="18"/>
  <c r="AH28" i="18"/>
  <c r="AM27" i="18"/>
  <c r="AM23" i="18"/>
  <c r="AM28" i="18"/>
  <c r="AM24" i="18"/>
  <c r="AM29" i="18"/>
  <c r="AM26" i="18"/>
  <c r="AM25" i="18"/>
  <c r="AM22" i="18"/>
  <c r="AN36" i="18" s="1"/>
  <c r="BB27" i="18"/>
  <c r="BB23" i="18"/>
  <c r="BB28" i="18"/>
  <c r="BB29" i="18"/>
  <c r="BB25" i="18"/>
  <c r="BB22" i="18"/>
  <c r="BC36" i="18" s="1"/>
  <c r="BB24" i="18"/>
  <c r="BB32" i="18"/>
  <c r="BB21" i="18"/>
  <c r="BC35" i="18" s="1"/>
  <c r="O38" i="18"/>
  <c r="V25" i="18"/>
  <c r="W39" i="18" s="1"/>
  <c r="BS26" i="18"/>
  <c r="BT40" i="18" s="1"/>
  <c r="AL32" i="18"/>
  <c r="Q9" i="47"/>
  <c r="AW28" i="18"/>
  <c r="AW24" i="18"/>
  <c r="AW29" i="18"/>
  <c r="AW25" i="18"/>
  <c r="AW32" i="18"/>
  <c r="AW26" i="18"/>
  <c r="AW23" i="18"/>
  <c r="AW37" i="18" s="1"/>
  <c r="AW27" i="18"/>
  <c r="BG29" i="18"/>
  <c r="BG25" i="18"/>
  <c r="BH39" i="18" s="1"/>
  <c r="BG32" i="18"/>
  <c r="BG26" i="18"/>
  <c r="BG21" i="18"/>
  <c r="BG28" i="18"/>
  <c r="BG23" i="18"/>
  <c r="BG24" i="18"/>
  <c r="BG22" i="18"/>
  <c r="BH36" i="18" s="1"/>
  <c r="BA21" i="18"/>
  <c r="BF24" i="18"/>
  <c r="R28" i="18"/>
  <c r="AM32" i="18"/>
  <c r="AN41" i="18" s="1"/>
  <c r="M32" i="18"/>
  <c r="M26" i="18"/>
  <c r="M27" i="18"/>
  <c r="M28" i="18"/>
  <c r="M24" i="18"/>
  <c r="N38" i="18" s="1"/>
  <c r="M22" i="18"/>
  <c r="AS32" i="18"/>
  <c r="AS26" i="18"/>
  <c r="AT40" i="18" s="1"/>
  <c r="AS27" i="18"/>
  <c r="AS28" i="18"/>
  <c r="AS25" i="18"/>
  <c r="AT39" i="18" s="1"/>
  <c r="AS22" i="18"/>
  <c r="AT36" i="18" s="1"/>
  <c r="AS24" i="18"/>
  <c r="AO21" i="18"/>
  <c r="I28" i="18"/>
  <c r="I24" i="18"/>
  <c r="I29" i="18"/>
  <c r="I25" i="18"/>
  <c r="I23" i="18"/>
  <c r="I26" i="18"/>
  <c r="N27" i="18"/>
  <c r="N23" i="18"/>
  <c r="O37" i="18" s="1"/>
  <c r="N28" i="18"/>
  <c r="N26" i="18"/>
  <c r="N22" i="18"/>
  <c r="N32" i="18"/>
  <c r="O41" i="18" s="1"/>
  <c r="N25" i="18"/>
  <c r="W27" i="18"/>
  <c r="W23" i="18"/>
  <c r="X37" i="18" s="1"/>
  <c r="W28" i="18"/>
  <c r="W24" i="18"/>
  <c r="W29" i="18"/>
  <c r="W26" i="18"/>
  <c r="AO28" i="18"/>
  <c r="AO24" i="18"/>
  <c r="AP38" i="18" s="1"/>
  <c r="AO29" i="18"/>
  <c r="AO25" i="18"/>
  <c r="AO23" i="18"/>
  <c r="AP37" i="18" s="1"/>
  <c r="AO27" i="18"/>
  <c r="AT27" i="18"/>
  <c r="AT23" i="18"/>
  <c r="AT28" i="18"/>
  <c r="AT22" i="18"/>
  <c r="AU36" i="18" s="1"/>
  <c r="AT24" i="18"/>
  <c r="AT32" i="18"/>
  <c r="BC27" i="18"/>
  <c r="BC23" i="18"/>
  <c r="BC28" i="18"/>
  <c r="BC24" i="18"/>
  <c r="BC29" i="18"/>
  <c r="BC25" i="18"/>
  <c r="BC22" i="18"/>
  <c r="AO22" i="18"/>
  <c r="AP36" i="18" s="1"/>
  <c r="F10" i="47"/>
  <c r="J29" i="18"/>
  <c r="J25" i="18"/>
  <c r="K39" i="18" s="1"/>
  <c r="J32" i="18"/>
  <c r="J26" i="18"/>
  <c r="J21" i="18"/>
  <c r="J28" i="18"/>
  <c r="J24" i="18"/>
  <c r="K38" i="18" s="1"/>
  <c r="S29" i="18"/>
  <c r="S25" i="18"/>
  <c r="S32" i="18"/>
  <c r="S26" i="18"/>
  <c r="S27" i="18"/>
  <c r="S23" i="18"/>
  <c r="T37" i="18" s="1"/>
  <c r="S21" i="18"/>
  <c r="AK32" i="18"/>
  <c r="AK26" i="18"/>
  <c r="AK27" i="18"/>
  <c r="AK24" i="18"/>
  <c r="AL38" i="18" s="1"/>
  <c r="AK22" i="18"/>
  <c r="AK29" i="18"/>
  <c r="AK23" i="18"/>
  <c r="AP29" i="18"/>
  <c r="AP25" i="18"/>
  <c r="AP32" i="18"/>
  <c r="AP27" i="18"/>
  <c r="AP21" i="18"/>
  <c r="AP28" i="18"/>
  <c r="AY29" i="18"/>
  <c r="AY25" i="18"/>
  <c r="AY32" i="18"/>
  <c r="AY26" i="18"/>
  <c r="AY24" i="18"/>
  <c r="AZ38" i="18" s="1"/>
  <c r="AY23" i="18"/>
  <c r="AY21" i="18"/>
  <c r="BQ32" i="18"/>
  <c r="BQ26" i="18"/>
  <c r="BQ22" i="18"/>
  <c r="BR36" i="18" s="1"/>
  <c r="BQ27" i="18"/>
  <c r="BQ25" i="18"/>
  <c r="BQ29" i="18"/>
  <c r="BQ23" i="18"/>
  <c r="AT21" i="18"/>
  <c r="AP22" i="18"/>
  <c r="AQ36" i="18" s="1"/>
  <c r="AO26" i="18"/>
  <c r="W32" i="18"/>
  <c r="BC32" i="18"/>
  <c r="AG28" i="18"/>
  <c r="AG24" i="18"/>
  <c r="AG29" i="18"/>
  <c r="AG25" i="18"/>
  <c r="AG32" i="18"/>
  <c r="AG27" i="18"/>
  <c r="AG26" i="18"/>
  <c r="BM28" i="18"/>
  <c r="BM24" i="18"/>
  <c r="BN38" i="18" s="1"/>
  <c r="BM29" i="18"/>
  <c r="BM25" i="18"/>
  <c r="BM32" i="18"/>
  <c r="BM22" i="18"/>
  <c r="BN36" i="18" s="1"/>
  <c r="AG21" i="18"/>
  <c r="M23" i="18"/>
  <c r="AK25" i="18"/>
  <c r="AP26" i="18"/>
  <c r="AQ40" i="18" s="1"/>
  <c r="AJ23" i="18"/>
  <c r="T24" i="18"/>
  <c r="AZ27" i="18"/>
  <c r="K21" i="50"/>
  <c r="T32" i="18"/>
  <c r="T26" i="18"/>
  <c r="X28" i="18"/>
  <c r="X24" i="18"/>
  <c r="Y38" i="18" s="1"/>
  <c r="X29" i="18"/>
  <c r="AB32" i="18"/>
  <c r="AB26" i="18"/>
  <c r="AF28" i="18"/>
  <c r="AF24" i="18"/>
  <c r="AF29" i="18"/>
  <c r="AJ32" i="18"/>
  <c r="AJ26" i="18"/>
  <c r="AN28" i="18"/>
  <c r="AN24" i="18"/>
  <c r="AN29" i="18"/>
  <c r="AR32" i="18"/>
  <c r="AR26" i="18"/>
  <c r="AR22" i="18"/>
  <c r="AS36" i="18" s="1"/>
  <c r="AV28" i="18"/>
  <c r="AV24" i="18"/>
  <c r="AW38" i="18" s="1"/>
  <c r="AV29" i="18"/>
  <c r="AZ32" i="18"/>
  <c r="AZ26" i="18"/>
  <c r="AZ22" i="18"/>
  <c r="BA36" i="18" s="1"/>
  <c r="BD28" i="18"/>
  <c r="BD24" i="18"/>
  <c r="BD29" i="18"/>
  <c r="BH32" i="18"/>
  <c r="BH26" i="18"/>
  <c r="BH22" i="18"/>
  <c r="BI36" i="18" s="1"/>
  <c r="BL28" i="18"/>
  <c r="BL24" i="18"/>
  <c r="BL29" i="18"/>
  <c r="BP32" i="18"/>
  <c r="BP26" i="18"/>
  <c r="BP22" i="18"/>
  <c r="BQ36" i="18" s="1"/>
  <c r="BT28" i="18"/>
  <c r="BT24" i="18"/>
  <c r="BU38" i="18" s="1"/>
  <c r="BT29" i="18"/>
  <c r="T22" i="18"/>
  <c r="T36" i="18" s="1"/>
  <c r="AB22" i="18"/>
  <c r="AJ22" i="18"/>
  <c r="BH24" i="18"/>
  <c r="AN25" i="18"/>
  <c r="AO39" i="18" s="1"/>
  <c r="BP25" i="18"/>
  <c r="AV26" i="18"/>
  <c r="AB27" i="18"/>
  <c r="BD27" i="18"/>
  <c r="BD22" i="18"/>
  <c r="BE36" i="18" s="1"/>
  <c r="AB23" i="18"/>
  <c r="AN23" i="18"/>
  <c r="BH23" i="18"/>
  <c r="BT23" i="18"/>
  <c r="BU37" i="18" s="1"/>
  <c r="AJ24" i="18"/>
  <c r="AR25" i="18"/>
  <c r="X26" i="18"/>
  <c r="AF27" i="18"/>
  <c r="BP27" i="18"/>
  <c r="AB28" i="18"/>
  <c r="AR28" i="18"/>
  <c r="BH28" i="18"/>
  <c r="AF32" i="18"/>
  <c r="AV32" i="18"/>
  <c r="AW41" i="18" s="1"/>
  <c r="BL32" i="18"/>
  <c r="T21" i="18"/>
  <c r="AB21" i="18"/>
  <c r="AJ21" i="18"/>
  <c r="AR21" i="18"/>
  <c r="AZ21" i="18"/>
  <c r="BA35" i="18" s="1"/>
  <c r="BH21" i="18"/>
  <c r="BI35" i="18" s="1"/>
  <c r="BP21" i="18"/>
  <c r="BQ35" i="18" s="1"/>
  <c r="T25" i="18"/>
  <c r="BD25" i="18"/>
  <c r="BL26" i="18"/>
  <c r="AR27" i="18"/>
  <c r="BT27" i="18"/>
  <c r="Y22" i="12" l="1"/>
  <c r="BU17" i="18"/>
  <c r="BU19" i="18" s="1"/>
  <c r="W23" i="12"/>
  <c r="BS17" i="18"/>
  <c r="BS19" i="18" s="1"/>
  <c r="AL37" i="18"/>
  <c r="AU37" i="18"/>
  <c r="H38" i="18"/>
  <c r="AS35" i="18"/>
  <c r="BI38" i="18"/>
  <c r="AC37" i="18"/>
  <c r="BE38" i="18"/>
  <c r="AK35" i="18"/>
  <c r="AH41" i="18"/>
  <c r="Z40" i="18"/>
  <c r="AA35" i="18"/>
  <c r="V35" i="18"/>
  <c r="J38" i="12"/>
  <c r="H4" i="51"/>
  <c r="T9" i="51"/>
  <c r="M11" i="12"/>
  <c r="M27" i="12" s="1"/>
  <c r="K8" i="51"/>
  <c r="K9" i="51"/>
  <c r="L9" i="51"/>
  <c r="P9" i="51"/>
  <c r="AI35" i="18"/>
  <c r="Y40" i="18"/>
  <c r="O36" i="18"/>
  <c r="AI40" i="18"/>
  <c r="O40" i="18"/>
  <c r="AX41" i="18"/>
  <c r="AZ37" i="18"/>
  <c r="AX39" i="18"/>
  <c r="AL40" i="18"/>
  <c r="BM35" i="18"/>
  <c r="U37" i="18"/>
  <c r="Y26" i="12"/>
  <c r="Y27" i="12" s="1"/>
  <c r="Y23" i="12"/>
  <c r="W36" i="18"/>
  <c r="AZ39" i="18"/>
  <c r="J37" i="18"/>
  <c r="AN40" i="18"/>
  <c r="AF37" i="18"/>
  <c r="Y35" i="18"/>
  <c r="AO40" i="18"/>
  <c r="AF40" i="18"/>
  <c r="U40" i="18"/>
  <c r="U39" i="18"/>
  <c r="AX40" i="18"/>
  <c r="AF35" i="18"/>
  <c r="BL37" i="18"/>
  <c r="BP37" i="18"/>
  <c r="AF36" i="18"/>
  <c r="N35" i="18"/>
  <c r="AC41" i="18"/>
  <c r="BN40" i="18"/>
  <c r="T17" i="55"/>
  <c r="T18" i="55" s="1"/>
  <c r="AS39" i="18"/>
  <c r="BN41" i="18"/>
  <c r="BG38" i="18"/>
  <c r="U41" i="18"/>
  <c r="BT48" i="18"/>
  <c r="BT49" i="18" s="1"/>
  <c r="BT50" i="18" s="1"/>
  <c r="AH38" i="18"/>
  <c r="AI39" i="18"/>
  <c r="BJ39" i="18"/>
  <c r="AA41" i="18"/>
  <c r="BI37" i="18"/>
  <c r="AL41" i="18"/>
  <c r="R37" i="18"/>
  <c r="BQ40" i="18"/>
  <c r="BM40" i="18"/>
  <c r="X41" i="18"/>
  <c r="K35" i="18"/>
  <c r="Q35" i="18"/>
  <c r="Q40" i="18"/>
  <c r="L41" i="18"/>
  <c r="M37" i="18"/>
  <c r="BJ40" i="18"/>
  <c r="AK41" i="18"/>
  <c r="BT39" i="18"/>
  <c r="BD40" i="18"/>
  <c r="AO37" i="18"/>
  <c r="K40" i="18"/>
  <c r="R41" i="18"/>
  <c r="AA39" i="18"/>
  <c r="V36" i="18"/>
  <c r="P39" i="18"/>
  <c r="AE35" i="18"/>
  <c r="AL36" i="18"/>
  <c r="T40" i="18"/>
  <c r="N41" i="18"/>
  <c r="BC39" i="18"/>
  <c r="BG37" i="18"/>
  <c r="BB41" i="18"/>
  <c r="AV35" i="18"/>
  <c r="I39" i="18"/>
  <c r="R39" i="18"/>
  <c r="W35" i="18"/>
  <c r="AC35" i="18"/>
  <c r="AC40" i="18"/>
  <c r="AZ35" i="18"/>
  <c r="AQ35" i="18"/>
  <c r="T41" i="18"/>
  <c r="AD36" i="18"/>
  <c r="BC40" i="18"/>
  <c r="AU38" i="18"/>
  <c r="AO38" i="18"/>
  <c r="BN39" i="18"/>
  <c r="AT41" i="18"/>
  <c r="AM40" i="18"/>
  <c r="I40" i="18"/>
  <c r="BP35" i="18"/>
  <c r="AW35" i="18"/>
  <c r="AG41" i="18"/>
  <c r="BH40" i="18"/>
  <c r="AD37" i="18"/>
  <c r="BT35" i="18"/>
  <c r="L36" i="18"/>
  <c r="P36" i="18"/>
  <c r="AJ36" i="18"/>
  <c r="X35" i="18"/>
  <c r="BA40" i="18"/>
  <c r="AQ41" i="18"/>
  <c r="BL40" i="18"/>
  <c r="AV41" i="18"/>
  <c r="S37" i="18"/>
  <c r="H41" i="18"/>
  <c r="AR37" i="18"/>
  <c r="BI41" i="18"/>
  <c r="AK40" i="18"/>
  <c r="AZ40" i="18"/>
  <c r="BL38" i="18"/>
  <c r="BG35" i="18"/>
  <c r="S40" i="18"/>
  <c r="BP41" i="18"/>
  <c r="BF39" i="18"/>
  <c r="I37" i="18"/>
  <c r="X40" i="18"/>
  <c r="S38" i="18"/>
  <c r="AW40" i="18"/>
  <c r="AB36" i="18"/>
  <c r="M35" i="18"/>
  <c r="BO41" i="18"/>
  <c r="H35" i="18"/>
  <c r="BA41" i="18"/>
  <c r="AN39" i="18"/>
  <c r="V37" i="18"/>
  <c r="V41" i="18"/>
  <c r="Z37" i="18"/>
  <c r="P38" i="18"/>
  <c r="P37" i="18"/>
  <c r="AE39" i="18"/>
  <c r="BL35" i="18"/>
  <c r="X36" i="18"/>
  <c r="BP38" i="18"/>
  <c r="AR39" i="18"/>
  <c r="AK38" i="18"/>
  <c r="AK36" i="18"/>
  <c r="BQ41" i="18"/>
  <c r="AS40" i="18"/>
  <c r="N40" i="18"/>
  <c r="AX37" i="18"/>
  <c r="AM41" i="18"/>
  <c r="BG39" i="18"/>
  <c r="AM37" i="18"/>
  <c r="I38" i="18"/>
  <c r="K36" i="18"/>
  <c r="AB37" i="18"/>
  <c r="L40" i="18"/>
  <c r="AJ39" i="18"/>
  <c r="AG36" i="18"/>
  <c r="I36" i="18"/>
  <c r="S44" i="12"/>
  <c r="N17" i="55" s="1"/>
  <c r="N18" i="55" s="1"/>
  <c r="S46" i="12"/>
  <c r="L46" i="12"/>
  <c r="P46" i="12"/>
  <c r="W46" i="12"/>
  <c r="AC51" i="12"/>
  <c r="AC52" i="12" s="1"/>
  <c r="F38" i="18"/>
  <c r="X46" i="12"/>
  <c r="E36" i="18"/>
  <c r="E40" i="18"/>
  <c r="F39" i="18"/>
  <c r="E37" i="18"/>
  <c r="E39" i="18"/>
  <c r="G39" i="18"/>
  <c r="E35" i="18"/>
  <c r="E38" i="18"/>
  <c r="F36" i="18"/>
  <c r="E41" i="18"/>
  <c r="O44" i="12"/>
  <c r="J17" i="55" s="1"/>
  <c r="J18" i="55" s="1"/>
  <c r="N44" i="12"/>
  <c r="I17" i="55" s="1"/>
  <c r="I18" i="55" s="1"/>
  <c r="W26" i="12"/>
  <c r="L44" i="12"/>
  <c r="G17" i="55" s="1"/>
  <c r="G18" i="55" s="1"/>
  <c r="X44" i="12"/>
  <c r="O46" i="12"/>
  <c r="AH39" i="18"/>
  <c r="AG39" i="18"/>
  <c r="BD38" i="18"/>
  <c r="AL39" i="18"/>
  <c r="AK39" i="18"/>
  <c r="N36" i="18"/>
  <c r="BK38" i="18"/>
  <c r="H37" i="18"/>
  <c r="G37" i="18"/>
  <c r="N37" i="18"/>
  <c r="BD41" i="18"/>
  <c r="AZ41" i="18"/>
  <c r="T35" i="18"/>
  <c r="BM39" i="18"/>
  <c r="AU41" i="18"/>
  <c r="AP39" i="18"/>
  <c r="AT38" i="18"/>
  <c r="AS38" i="18"/>
  <c r="BB35" i="18"/>
  <c r="AX38" i="18"/>
  <c r="AT37" i="18"/>
  <c r="C29" i="18"/>
  <c r="C25" i="18"/>
  <c r="D39" i="18" s="1"/>
  <c r="C32" i="18"/>
  <c r="D41" i="18" s="1"/>
  <c r="C26" i="18"/>
  <c r="D40" i="18" s="1"/>
  <c r="C24" i="18"/>
  <c r="D38" i="18" s="1"/>
  <c r="C21" i="18"/>
  <c r="D35" i="18" s="1"/>
  <c r="C27" i="18"/>
  <c r="C28" i="18"/>
  <c r="C23" i="18"/>
  <c r="D37" i="18" s="1"/>
  <c r="C22" i="18"/>
  <c r="D36" i="18" s="1"/>
  <c r="AR35" i="18"/>
  <c r="AM36" i="18"/>
  <c r="R36" i="18"/>
  <c r="BP39" i="18"/>
  <c r="AV38" i="18"/>
  <c r="S41" i="18"/>
  <c r="F35" i="18"/>
  <c r="F40" i="18"/>
  <c r="AB35" i="18"/>
  <c r="BO40" i="18"/>
  <c r="BJ41" i="18"/>
  <c r="W37" i="18"/>
  <c r="AA40" i="18"/>
  <c r="Q39" i="18"/>
  <c r="L38" i="18"/>
  <c r="AM39" i="18"/>
  <c r="Z36" i="18"/>
  <c r="Y36" i="18"/>
  <c r="P35" i="18"/>
  <c r="AY41" i="18"/>
  <c r="AJ35" i="18"/>
  <c r="R42" i="12"/>
  <c r="R46" i="12" s="1"/>
  <c r="R13" i="12"/>
  <c r="T3" i="12"/>
  <c r="R2" i="51" s="1"/>
  <c r="R9" i="51" s="1"/>
  <c r="T45" i="29"/>
  <c r="J35" i="18"/>
  <c r="H42" i="12"/>
  <c r="M42" i="12"/>
  <c r="M44" i="12" s="1"/>
  <c r="H17" i="55" s="1"/>
  <c r="H18" i="55" s="1"/>
  <c r="M13" i="12"/>
  <c r="Q7" i="12"/>
  <c r="O6" i="51" s="1"/>
  <c r="O9" i="51" s="1"/>
  <c r="Q45" i="29"/>
  <c r="AQ39" i="18"/>
  <c r="AP35" i="18"/>
  <c r="AO35" i="18"/>
  <c r="BH41" i="18"/>
  <c r="AN38" i="18"/>
  <c r="G41" i="18"/>
  <c r="AY40" i="18"/>
  <c r="BE39" i="18"/>
  <c r="U35" i="18"/>
  <c r="AC36" i="18"/>
  <c r="AG38" i="18"/>
  <c r="AH40" i="18"/>
  <c r="AG40" i="18"/>
  <c r="BD36" i="18"/>
  <c r="J40" i="18"/>
  <c r="BC37" i="18"/>
  <c r="AN37" i="18"/>
  <c r="BG41" i="18"/>
  <c r="BF38" i="18"/>
  <c r="S39" i="18"/>
  <c r="F41" i="18"/>
  <c r="BK37" i="18"/>
  <c r="AB40" i="18"/>
  <c r="M36" i="18"/>
  <c r="W41" i="18"/>
  <c r="AA36" i="18"/>
  <c r="V39" i="18"/>
  <c r="V40" i="18"/>
  <c r="Q41" i="18"/>
  <c r="G40" i="18"/>
  <c r="AF38" i="18"/>
  <c r="G38" i="12"/>
  <c r="AY39" i="18"/>
  <c r="AJ40" i="18"/>
  <c r="AE41" i="18"/>
  <c r="L23" i="12"/>
  <c r="L27" i="12"/>
  <c r="L28" i="12"/>
  <c r="O23" i="12"/>
  <c r="O28" i="12"/>
  <c r="S23" i="12"/>
  <c r="S28" i="12"/>
  <c r="G4" i="12"/>
  <c r="E3" i="51" s="1"/>
  <c r="E9" i="51" s="1"/>
  <c r="G45" i="29"/>
  <c r="J37" i="29"/>
  <c r="K27" i="29"/>
  <c r="K37" i="29" s="1"/>
  <c r="BB39" i="18"/>
  <c r="BA39" i="18"/>
  <c r="L37" i="18"/>
  <c r="K37" i="18"/>
  <c r="AF41" i="18"/>
  <c r="AJ38" i="18"/>
  <c r="BM41" i="18"/>
  <c r="BM38" i="18"/>
  <c r="AP40" i="18"/>
  <c r="BD39" i="18"/>
  <c r="O39" i="18"/>
  <c r="N39" i="18"/>
  <c r="BH38" i="18"/>
  <c r="AR40" i="18"/>
  <c r="BF40" i="18"/>
  <c r="BE40" i="18"/>
  <c r="AM38" i="18"/>
  <c r="AB41" i="18"/>
  <c r="M38" i="18"/>
  <c r="BO35" i="18"/>
  <c r="BN35" i="18"/>
  <c r="BJ38" i="18"/>
  <c r="H40" i="18"/>
  <c r="W44" i="12"/>
  <c r="R17" i="55" s="1"/>
  <c r="R18" i="55" s="1"/>
  <c r="AA37" i="18"/>
  <c r="L35" i="18"/>
  <c r="G35" i="18"/>
  <c r="BR27" i="18"/>
  <c r="BR23" i="18"/>
  <c r="BS37" i="18" s="1"/>
  <c r="BR28" i="18"/>
  <c r="BR25" i="18"/>
  <c r="BS39" i="18" s="1"/>
  <c r="BR29" i="18"/>
  <c r="BR24" i="18"/>
  <c r="BR26" i="18"/>
  <c r="BS40" i="18" s="1"/>
  <c r="BR21" i="18"/>
  <c r="BR32" i="18"/>
  <c r="BS41" i="18" s="1"/>
  <c r="BR22" i="18"/>
  <c r="BS36" i="18" s="1"/>
  <c r="P40" i="18"/>
  <c r="AJ41" i="18"/>
  <c r="X22" i="12"/>
  <c r="X23" i="12" s="1"/>
  <c r="X26" i="12"/>
  <c r="X28" i="12" s="1"/>
  <c r="T42" i="12"/>
  <c r="T46" i="12" s="1"/>
  <c r="T13" i="12"/>
  <c r="H4" i="12"/>
  <c r="F3" i="51" s="1"/>
  <c r="F9" i="51" s="1"/>
  <c r="H45" i="29"/>
  <c r="J43" i="29"/>
  <c r="K33" i="29"/>
  <c r="K43" i="29" s="1"/>
  <c r="J41" i="29"/>
  <c r="J7" i="12" s="1"/>
  <c r="H6" i="51" s="1"/>
  <c r="K31" i="29"/>
  <c r="K41" i="29" s="1"/>
  <c r="K7" i="12" s="1"/>
  <c r="U36" i="18"/>
  <c r="AS41" i="18"/>
  <c r="AH35" i="18"/>
  <c r="AG35" i="18"/>
  <c r="K41" i="18"/>
  <c r="J41" i="18"/>
  <c r="J39" i="18"/>
  <c r="BH37" i="18"/>
  <c r="BC41" i="18"/>
  <c r="AD35" i="18"/>
  <c r="AD40" i="18"/>
  <c r="AR41" i="18"/>
  <c r="BF35" i="18"/>
  <c r="BE35" i="18"/>
  <c r="BO37" i="18"/>
  <c r="BN37" i="18"/>
  <c r="F37" i="18"/>
  <c r="BT38" i="18"/>
  <c r="BJ37" i="18"/>
  <c r="W40" i="18"/>
  <c r="H39" i="18"/>
  <c r="Q38" i="18"/>
  <c r="G38" i="18"/>
  <c r="Z39" i="18"/>
  <c r="Y39" i="18"/>
  <c r="AE36" i="18"/>
  <c r="U42" i="12"/>
  <c r="U46" i="12" s="1"/>
  <c r="U13" i="12"/>
  <c r="R11" i="12"/>
  <c r="K34" i="29"/>
  <c r="K44" i="29" s="1"/>
  <c r="J44" i="29"/>
  <c r="N23" i="12"/>
  <c r="N28" i="12"/>
  <c r="K30" i="29"/>
  <c r="K40" i="29" s="1"/>
  <c r="K6" i="12" s="1"/>
  <c r="J40" i="29"/>
  <c r="J6" i="12" s="1"/>
  <c r="H5" i="51" s="1"/>
  <c r="I38" i="29"/>
  <c r="I18" i="29"/>
  <c r="I24" i="29" s="1"/>
  <c r="AU35" i="18"/>
  <c r="AT35" i="18"/>
  <c r="BC38" i="18"/>
  <c r="BF37" i="18"/>
  <c r="BE37" i="18"/>
  <c r="R38" i="18"/>
  <c r="W38" i="18"/>
  <c r="Q42" i="12"/>
  <c r="Q46" i="12" s="1"/>
  <c r="Q13" i="12"/>
  <c r="AY35" i="18"/>
  <c r="BQ39" i="18"/>
  <c r="BI40" i="18"/>
  <c r="AK37" i="18"/>
  <c r="BQ37" i="18"/>
  <c r="T39" i="18"/>
  <c r="J38" i="18"/>
  <c r="BH35" i="18"/>
  <c r="AW39" i="18"/>
  <c r="AI38" i="18"/>
  <c r="AD38" i="18"/>
  <c r="AC38" i="18"/>
  <c r="BL41" i="18"/>
  <c r="BG40" i="18"/>
  <c r="BB37" i="18"/>
  <c r="BA37" i="18"/>
  <c r="AR38" i="18"/>
  <c r="AQ38" i="18"/>
  <c r="AV40" i="18"/>
  <c r="S35" i="18"/>
  <c r="AI36" i="18"/>
  <c r="BK41" i="18"/>
  <c r="R35" i="18"/>
  <c r="M40" i="18"/>
  <c r="BT37" i="18"/>
  <c r="BO39" i="18"/>
  <c r="BI39" i="18"/>
  <c r="V42" i="12"/>
  <c r="V46" i="12" s="1"/>
  <c r="V13" i="12"/>
  <c r="AU40" i="18"/>
  <c r="AA38" i="18"/>
  <c r="V38" i="18"/>
  <c r="Q36" i="18"/>
  <c r="L39" i="18"/>
  <c r="Z41" i="18"/>
  <c r="Y41" i="18"/>
  <c r="Z38" i="18"/>
  <c r="P41" i="18"/>
  <c r="AY37" i="18"/>
  <c r="AJ37" i="18"/>
  <c r="AE38" i="18"/>
  <c r="AE37" i="18"/>
  <c r="U11" i="12"/>
  <c r="J42" i="29"/>
  <c r="J8" i="12" s="1"/>
  <c r="H7" i="51" s="1"/>
  <c r="K32" i="29"/>
  <c r="K42" i="29" s="1"/>
  <c r="K8" i="12" s="1"/>
  <c r="P3" i="12"/>
  <c r="N2" i="51" s="1"/>
  <c r="N9" i="51" s="1"/>
  <c r="P45" i="29"/>
  <c r="S27" i="12"/>
  <c r="U38" i="18"/>
  <c r="T38" i="18"/>
  <c r="AI37" i="18"/>
  <c r="AH37" i="18"/>
  <c r="BD37" i="18"/>
  <c r="X38" i="18"/>
  <c r="AD39" i="18"/>
  <c r="AC39" i="18"/>
  <c r="AV39" i="18"/>
  <c r="AU39" i="18"/>
  <c r="BB38" i="18"/>
  <c r="BA38" i="18"/>
  <c r="BP40" i="18"/>
  <c r="BK40" i="18"/>
  <c r="R40" i="18"/>
  <c r="M41" i="18"/>
  <c r="Y37" i="18"/>
  <c r="AX35" i="18"/>
  <c r="AP41" i="18"/>
  <c r="Q37" i="18"/>
  <c r="Z35" i="18"/>
  <c r="AY38" i="18"/>
  <c r="AE40" i="18"/>
  <c r="M28" i="12"/>
  <c r="V11" i="12"/>
  <c r="J38" i="29"/>
  <c r="J4" i="12" s="1"/>
  <c r="H3" i="51" s="1"/>
  <c r="K28" i="29"/>
  <c r="K38" i="29" s="1"/>
  <c r="K4" i="12" s="1"/>
  <c r="I3" i="51" s="1"/>
  <c r="BR37" i="18" l="1"/>
  <c r="M23" i="12"/>
  <c r="Y51" i="12"/>
  <c r="Y52" i="12" s="1"/>
  <c r="K39" i="12"/>
  <c r="I5" i="51"/>
  <c r="K40" i="12"/>
  <c r="I6" i="51"/>
  <c r="S52" i="12"/>
  <c r="K41" i="12"/>
  <c r="I7" i="51"/>
  <c r="Y28" i="12"/>
  <c r="S17" i="55"/>
  <c r="S18" i="55" s="1"/>
  <c r="V44" i="12"/>
  <c r="Q17" i="55" s="1"/>
  <c r="Q18" i="55" s="1"/>
  <c r="O52" i="12"/>
  <c r="M46" i="12"/>
  <c r="N52" i="12"/>
  <c r="L52" i="12"/>
  <c r="U44" i="12"/>
  <c r="P17" i="55" s="1"/>
  <c r="P18" i="55" s="1"/>
  <c r="W51" i="12"/>
  <c r="W52" i="12" s="1"/>
  <c r="W27" i="12"/>
  <c r="W28" i="12"/>
  <c r="BS35" i="18"/>
  <c r="BR35" i="18"/>
  <c r="Q40" i="12"/>
  <c r="Q44" i="12" s="1"/>
  <c r="L17" i="55" s="1"/>
  <c r="L18" i="55" s="1"/>
  <c r="Q11" i="12"/>
  <c r="T36" i="12"/>
  <c r="T44" i="12" s="1"/>
  <c r="O17" i="55" s="1"/>
  <c r="O18" i="55" s="1"/>
  <c r="T11" i="12"/>
  <c r="J40" i="12"/>
  <c r="J41" i="12"/>
  <c r="I4" i="12"/>
  <c r="G3" i="51" s="1"/>
  <c r="G9" i="51" s="1"/>
  <c r="I45" i="29"/>
  <c r="R23" i="12"/>
  <c r="R28" i="12"/>
  <c r="R27" i="12"/>
  <c r="K9" i="12"/>
  <c r="X27" i="12"/>
  <c r="X51" i="12"/>
  <c r="X52" i="12" s="1"/>
  <c r="BS38" i="18"/>
  <c r="BR38" i="18"/>
  <c r="K3" i="12"/>
  <c r="I2" i="51" s="1"/>
  <c r="K45" i="29"/>
  <c r="J37" i="12"/>
  <c r="U23" i="12"/>
  <c r="U28" i="12"/>
  <c r="U27" i="12"/>
  <c r="J39" i="12"/>
  <c r="BR41" i="18"/>
  <c r="J9" i="12"/>
  <c r="J3" i="12"/>
  <c r="H2" i="51" s="1"/>
  <c r="J45" i="29"/>
  <c r="M52" i="12"/>
  <c r="BR40" i="18"/>
  <c r="B28" i="18"/>
  <c r="B29" i="18"/>
  <c r="B22" i="18"/>
  <c r="C36" i="18" s="1"/>
  <c r="B32" i="18"/>
  <c r="C41" i="18" s="1"/>
  <c r="B27" i="18"/>
  <c r="B21" i="18"/>
  <c r="C35" i="18" s="1"/>
  <c r="B23" i="18"/>
  <c r="C37" i="18" s="1"/>
  <c r="B25" i="18"/>
  <c r="C39" i="18" s="1"/>
  <c r="B26" i="18"/>
  <c r="C40" i="18" s="1"/>
  <c r="B24" i="18"/>
  <c r="C38" i="18" s="1"/>
  <c r="P36" i="12"/>
  <c r="P44" i="12" s="1"/>
  <c r="K17" i="55" s="1"/>
  <c r="K18" i="55" s="1"/>
  <c r="P11" i="12"/>
  <c r="V23" i="12"/>
  <c r="V28" i="12"/>
  <c r="V27" i="12"/>
  <c r="H11" i="12"/>
  <c r="H37" i="12"/>
  <c r="H13" i="12"/>
  <c r="G13" i="12"/>
  <c r="G37" i="12"/>
  <c r="G11" i="12"/>
  <c r="BR39" i="18"/>
  <c r="K37" i="12"/>
  <c r="R44" i="12"/>
  <c r="M17" i="55" s="1"/>
  <c r="M18" i="55" s="1"/>
  <c r="V52" i="12" l="1"/>
  <c r="J13" i="12"/>
  <c r="H8" i="51"/>
  <c r="H9" i="51" s="1"/>
  <c r="K42" i="12"/>
  <c r="I8" i="51"/>
  <c r="I9" i="51" s="1"/>
  <c r="U52" i="12"/>
  <c r="R52" i="12"/>
  <c r="P23" i="12"/>
  <c r="P28" i="12"/>
  <c r="P27" i="12"/>
  <c r="T52" i="12"/>
  <c r="H23" i="12"/>
  <c r="H28" i="12"/>
  <c r="H27" i="12"/>
  <c r="I37" i="12"/>
  <c r="I13" i="12"/>
  <c r="I11" i="12"/>
  <c r="Q23" i="12"/>
  <c r="Q28" i="12"/>
  <c r="Q27" i="12"/>
  <c r="Q52" i="12"/>
  <c r="J42" i="12"/>
  <c r="T23" i="12"/>
  <c r="T27" i="12"/>
  <c r="T28" i="12"/>
  <c r="P52" i="12"/>
  <c r="K36" i="12"/>
  <c r="K11" i="12"/>
  <c r="H46" i="12"/>
  <c r="H44" i="12"/>
  <c r="C17" i="55" s="1"/>
  <c r="C18" i="55" s="1"/>
  <c r="G23" i="12"/>
  <c r="G27" i="12"/>
  <c r="G28" i="12"/>
  <c r="K13" i="12"/>
  <c r="G46" i="12"/>
  <c r="G44" i="12"/>
  <c r="B17" i="55" s="1"/>
  <c r="B18" i="55" s="1"/>
  <c r="K46" i="12"/>
  <c r="J36" i="12"/>
  <c r="J11" i="12"/>
  <c r="K44" i="12" l="1"/>
  <c r="F17" i="55" s="1"/>
  <c r="F18" i="55" s="1"/>
  <c r="J46" i="12"/>
  <c r="H52" i="12"/>
  <c r="K23" i="12"/>
  <c r="K28" i="12"/>
  <c r="K27" i="12"/>
  <c r="I23" i="12"/>
  <c r="I28" i="12"/>
  <c r="I27" i="12"/>
  <c r="K52" i="12"/>
  <c r="J23" i="12"/>
  <c r="J28" i="12"/>
  <c r="J27" i="12"/>
  <c r="I46" i="12"/>
  <c r="I44" i="12"/>
  <c r="D17" i="55" s="1"/>
  <c r="D18" i="55" s="1"/>
  <c r="J44" i="12"/>
  <c r="E17" i="55" s="1"/>
  <c r="E18" i="55" s="1"/>
  <c r="G52" i="12"/>
  <c r="I52" i="12" l="1"/>
  <c r="J5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 M Woodward</author>
  </authors>
  <commentList>
    <comment ref="W18" authorId="0" shapeId="0" xr:uid="{00000000-0006-0000-0100-000001000000}">
      <text>
        <r>
          <rPr>
            <b/>
            <sz val="10"/>
            <color indexed="81"/>
            <rFont val="Calibri"/>
            <family val="2"/>
          </rPr>
          <t>F M Woodward:</t>
        </r>
        <r>
          <rPr>
            <sz val="10"/>
            <color indexed="81"/>
            <rFont val="Calibri"/>
            <family val="2"/>
          </rPr>
          <t xml:space="preserve">
O&amp;M budget books, PB17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Newman</author>
    <author>Administrator</author>
  </authors>
  <commentList>
    <comment ref="X50" authorId="0" shapeId="0" xr:uid="{00000000-0006-0000-0800-000001000000}">
      <text>
        <r>
          <rPr>
            <b/>
            <sz val="8"/>
            <color indexed="81"/>
            <rFont val="Tahoma"/>
            <family val="2"/>
          </rPr>
          <t xml:space="preserve">David Newman: </t>
        </r>
        <r>
          <rPr>
            <sz val="8"/>
            <color indexed="81"/>
            <rFont val="Tahoma"/>
            <family val="2"/>
          </rPr>
          <t xml:space="preserve">The 2005 War Bridge was enacted at the end of 2004 and scored as 2004 BA, although  only $1.8 billion was obligated in 2004.
</t>
        </r>
      </text>
    </comment>
    <comment ref="J51" authorId="0" shapeId="0" xr:uid="{00000000-0006-0000-0800-000002000000}">
      <text>
        <r>
          <rPr>
            <b/>
            <sz val="8"/>
            <color indexed="81"/>
            <rFont val="Tahoma"/>
            <family val="2"/>
          </rPr>
          <t>David Newman:</t>
        </r>
        <r>
          <rPr>
            <sz val="8"/>
            <color indexed="81"/>
            <rFont val="Tahoma"/>
            <family val="2"/>
          </rPr>
          <t xml:space="preserve">
Excludes a $226 million ATB rescission of regular 2002 appropriations enacted in this act.  Those amounts are reflected in the regular appropriations column.
Excludes $3 million scorekeeping rounding plug.
Excludes $390 million in other account specific rescissions of regular appropriations.  Those amounts are annoted on the affected appropriation lines.</t>
        </r>
      </text>
    </comment>
    <comment ref="R51" authorId="0" shapeId="0" xr:uid="{00000000-0006-0000-0800-000003000000}">
      <text>
        <r>
          <rPr>
            <b/>
            <sz val="8"/>
            <color indexed="81"/>
            <rFont val="Tahoma"/>
            <family val="2"/>
          </rPr>
          <t>David Newman:</t>
        </r>
        <r>
          <rPr>
            <sz val="8"/>
            <color indexed="81"/>
            <rFont val="Tahoma"/>
            <family val="2"/>
          </rPr>
          <t xml:space="preserve">
Reflects transfers from Iraq Freedom Fund to other appropriations.   $400 million transferred out of function 050 to Coast Guard operating expenses in 
70 0600 0 1 403.</t>
        </r>
      </text>
    </comment>
    <comment ref="W51" authorId="0" shapeId="0" xr:uid="{00000000-0006-0000-0800-000004000000}">
      <text>
        <r>
          <rPr>
            <b/>
            <sz val="8"/>
            <color indexed="81"/>
            <rFont val="Tahoma"/>
            <family val="2"/>
          </rPr>
          <t>David Newman:</t>
        </r>
        <r>
          <rPr>
            <sz val="8"/>
            <color indexed="81"/>
            <rFont val="Tahoma"/>
            <family val="2"/>
          </rPr>
          <t xml:space="preserve">
Differs from bill run by $84 million.  Excludes $80M transferred to Coast Guard outside of function 050 and $4M for defense health program that doesn't show up in summer baseline.</t>
        </r>
      </text>
    </comment>
    <comment ref="AC51" authorId="0" shapeId="0" xr:uid="{00000000-0006-0000-0800-000005000000}">
      <text>
        <r>
          <rPr>
            <b/>
            <sz val="8"/>
            <color indexed="81"/>
            <rFont val="Tahoma"/>
            <family val="2"/>
          </rPr>
          <t>David Newman:</t>
        </r>
        <r>
          <rPr>
            <sz val="8"/>
            <color indexed="81"/>
            <rFont val="Tahoma"/>
            <family val="2"/>
          </rPr>
          <t xml:space="preserve">
Pflag 2 =S05</t>
        </r>
      </text>
    </comment>
    <comment ref="AD51" authorId="0" shapeId="0" xr:uid="{00000000-0006-0000-0800-000006000000}">
      <text>
        <r>
          <rPr>
            <b/>
            <sz val="8"/>
            <color indexed="81"/>
            <rFont val="Tahoma"/>
            <family val="2"/>
          </rPr>
          <t>David Newman:</t>
        </r>
        <r>
          <rPr>
            <sz val="8"/>
            <color indexed="81"/>
            <rFont val="Tahoma"/>
            <family val="2"/>
          </rPr>
          <t xml:space="preserve">
Differs from bill run by $72 million.  Funding for Coast Guard was scored in sfun 403, but shows up here in 054.  Also excludes reounding plug.</t>
        </r>
      </text>
    </comment>
    <comment ref="AL51" authorId="0" shapeId="0" xr:uid="{00000000-0006-0000-0800-000007000000}">
      <text>
        <r>
          <rPr>
            <b/>
            <sz val="8"/>
            <color indexed="81"/>
            <rFont val="Tahoma"/>
            <family val="2"/>
          </rPr>
          <t>David Newman:</t>
        </r>
        <r>
          <rPr>
            <sz val="8"/>
            <color indexed="81"/>
            <rFont val="Tahoma"/>
            <family val="2"/>
          </rPr>
          <t xml:space="preserve">
Includes $5,767 million for hurricane recovery and $130 million for avian flu preparation in PL 109-148.
Includes $1,486 million for Hurricane aKatrina nd $708 million for NG troops on the southern bourder from 109-234.</t>
        </r>
      </text>
    </comment>
    <comment ref="AM51" authorId="0" shapeId="0" xr:uid="{00000000-0006-0000-0800-000008000000}">
      <text>
        <r>
          <rPr>
            <b/>
            <sz val="8"/>
            <color indexed="81"/>
            <rFont val="Tahoma"/>
            <family val="2"/>
          </rPr>
          <t>David Newman:</t>
        </r>
        <r>
          <rPr>
            <sz val="8"/>
            <color indexed="81"/>
            <rFont val="Tahoma"/>
            <family val="2"/>
          </rPr>
          <t xml:space="preserve">
Bill run shows $68,248 for PL 109-234.  War funding of $66,059 plus border security of $708M plus    $1486M for hurricane recovery equals $68,253M.</t>
        </r>
      </text>
    </comment>
    <comment ref="BR51" authorId="0" shapeId="0" xr:uid="{00000000-0006-0000-0800-000009000000}">
      <text>
        <r>
          <rPr>
            <b/>
            <sz val="8"/>
            <color indexed="81"/>
            <rFont val="Tahoma"/>
            <family val="2"/>
          </rPr>
          <t>David Newman:</t>
        </r>
        <r>
          <rPr>
            <sz val="8"/>
            <color indexed="81"/>
            <rFont val="Tahoma"/>
            <family val="2"/>
          </rPr>
          <t xml:space="preserve">
Rescissions in FMAP and education funding bill.  Excludes a rescission of $122M in war related supplemental funding for Procurement, Marine Corps.  The net effect of that rescission is shown in the war supplemental column.</t>
        </r>
      </text>
    </comment>
    <comment ref="AE67" authorId="0" shapeId="0" xr:uid="{00000000-0006-0000-0800-00000A000000}">
      <text>
        <r>
          <rPr>
            <b/>
            <sz val="8"/>
            <color indexed="81"/>
            <rFont val="Tahoma"/>
            <family val="2"/>
          </rPr>
          <t>David Newman:</t>
        </r>
        <r>
          <rPr>
            <sz val="8"/>
            <color indexed="81"/>
            <rFont val="Tahoma"/>
            <family val="2"/>
          </rPr>
          <t xml:space="preserve">
Appropriation for BAH shortfall.</t>
        </r>
      </text>
    </comment>
    <comment ref="AD83" authorId="0" shapeId="0" xr:uid="{00000000-0006-0000-0800-00000B000000}">
      <text>
        <r>
          <rPr>
            <b/>
            <sz val="8"/>
            <color indexed="81"/>
            <rFont val="Tahoma"/>
            <family val="2"/>
          </rPr>
          <t>David Newman:</t>
        </r>
        <r>
          <rPr>
            <sz val="8"/>
            <color indexed="81"/>
            <rFont val="Tahoma"/>
            <family val="2"/>
          </rPr>
          <t xml:space="preserve">
Subtracts $124 million that was provided for Tsunami relief.  
</t>
        </r>
      </text>
    </comment>
    <comment ref="AF97" authorId="1" shapeId="0" xr:uid="{00000000-0006-0000-0800-00000C000000}">
      <text>
        <r>
          <rPr>
            <b/>
            <sz val="8"/>
            <color indexed="81"/>
            <rFont val="Tahoma"/>
            <family val="2"/>
          </rPr>
          <t>Administrator:</t>
        </r>
        <r>
          <rPr>
            <sz val="8"/>
            <color indexed="81"/>
            <rFont val="Tahoma"/>
            <family val="2"/>
          </rPr>
          <t xml:space="preserve">
Includes $1,894 million in funding for Hurricane Katrina Recovery that was appropriated in PL 109-61 and 109-62, which were enacted for FY05 after the Summer 05 baseline was complete.  Thus, those amounts were not included in PSET 144.</t>
        </r>
      </text>
    </comment>
    <comment ref="I105" authorId="0" shapeId="0" xr:uid="{00000000-0006-0000-0800-00000D000000}">
      <text>
        <r>
          <rPr>
            <b/>
            <sz val="8"/>
            <color indexed="81"/>
            <rFont val="Tahoma"/>
            <family val="2"/>
          </rPr>
          <t>David Newman:</t>
        </r>
        <r>
          <rPr>
            <sz val="8"/>
            <color indexed="81"/>
            <rFont val="Tahoma"/>
            <family val="2"/>
          </rPr>
          <t xml:space="preserve">
Transfer  to Dept of State 11 1075 0 1 152.</t>
        </r>
      </text>
    </comment>
    <comment ref="J105" authorId="0" shapeId="0" xr:uid="{00000000-0006-0000-0800-00000E000000}">
      <text>
        <r>
          <rPr>
            <b/>
            <sz val="8"/>
            <color indexed="81"/>
            <rFont val="Tahoma"/>
            <family val="2"/>
          </rPr>
          <t>David Newman:</t>
        </r>
        <r>
          <rPr>
            <sz val="8"/>
            <color indexed="81"/>
            <rFont val="Tahoma"/>
            <family val="2"/>
          </rPr>
          <t xml:space="preserve">
Transfer  to Dept of State 11 1075 0 1 152.</t>
        </r>
      </text>
    </comment>
    <comment ref="R106" authorId="0" shapeId="0" xr:uid="{00000000-0006-0000-0800-00000F000000}">
      <text>
        <r>
          <rPr>
            <b/>
            <sz val="8"/>
            <color indexed="81"/>
            <rFont val="Tahoma"/>
            <family val="2"/>
          </rPr>
          <t>David Newman:</t>
        </r>
        <r>
          <rPr>
            <sz val="8"/>
            <color indexed="81"/>
            <rFont val="Tahoma"/>
            <family val="2"/>
          </rPr>
          <t xml:space="preserve">
There was a rescission of $3.49 billion enacted in 2004.  Appropriations bill provided $15.8 billion to IFF, but most of that money was to be transferred to other appropriations.  Kent moved the BA to the receiving appropriation in the summer baseline for 2003.  If the rescission is shown here in an adjusted accounting the amount would be negative.</t>
        </r>
      </text>
    </comment>
    <comment ref="V106" authorId="0" shapeId="0" xr:uid="{00000000-0006-0000-0800-000010000000}">
      <text>
        <r>
          <rPr>
            <b/>
            <sz val="8"/>
            <color indexed="81"/>
            <rFont val="Tahoma"/>
            <family val="2"/>
          </rPr>
          <t>David Newman:</t>
        </r>
        <r>
          <rPr>
            <sz val="8"/>
            <color indexed="81"/>
            <rFont val="Tahoma"/>
            <family val="2"/>
          </rPr>
          <t xml:space="preserve">
This was a rescission of a supplemental appropriation in 2003.</t>
        </r>
      </text>
    </comment>
    <comment ref="J112" authorId="0" shapeId="0" xr:uid="{00000000-0006-0000-0800-000011000000}">
      <text>
        <r>
          <rPr>
            <b/>
            <sz val="8"/>
            <color indexed="81"/>
            <rFont val="Tahoma"/>
            <family val="2"/>
          </rPr>
          <t>David Newman:</t>
        </r>
        <r>
          <rPr>
            <sz val="8"/>
            <color indexed="81"/>
            <rFont val="Tahoma"/>
            <family val="2"/>
          </rPr>
          <t xml:space="preserve">
Includes a rescission of $224 million provided in the 2001 DERF PL 107-38.</t>
        </r>
      </text>
    </comment>
    <comment ref="AM121" authorId="0" shapeId="0" xr:uid="{00000000-0006-0000-0800-000012000000}">
      <text>
        <r>
          <rPr>
            <b/>
            <sz val="8"/>
            <color indexed="81"/>
            <rFont val="Tahoma"/>
            <family val="2"/>
          </rPr>
          <t>David Newman:</t>
        </r>
        <r>
          <rPr>
            <sz val="8"/>
            <color indexed="81"/>
            <rFont val="Tahoma"/>
            <family val="2"/>
          </rPr>
          <t xml:space="preserve">
$1958 appropriated into JIEDDO under O&amp;M is shown in procurement instead.
</t>
        </r>
      </text>
    </comment>
    <comment ref="BP127" authorId="0" shapeId="0" xr:uid="{00000000-0006-0000-0800-000013000000}">
      <text>
        <r>
          <rPr>
            <b/>
            <sz val="8"/>
            <color indexed="81"/>
            <rFont val="Tahoma"/>
            <family val="2"/>
          </rPr>
          <t>David Newman:</t>
        </r>
        <r>
          <rPr>
            <sz val="8"/>
            <color indexed="81"/>
            <rFont val="Tahoma"/>
            <family val="2"/>
          </rPr>
          <t xml:space="preserve">
Includes a $122 million rescission in the FMAPEDUC bill (P.L. 111-226)</t>
        </r>
      </text>
    </comment>
    <comment ref="BR127" authorId="0" shapeId="0" xr:uid="{00000000-0006-0000-0800-000014000000}">
      <text>
        <r>
          <rPr>
            <b/>
            <sz val="8"/>
            <color indexed="81"/>
            <rFont val="Tahoma"/>
            <family val="2"/>
          </rPr>
          <t>David Newman:</t>
        </r>
        <r>
          <rPr>
            <sz val="8"/>
            <color indexed="81"/>
            <rFont val="Tahoma"/>
            <family val="2"/>
          </rPr>
          <t xml:space="preserve">
Amount in this cell excludes a rescission of $122M in supplemental war funding that was included in this act.</t>
        </r>
      </text>
    </comment>
    <comment ref="AM138" authorId="0" shapeId="0" xr:uid="{00000000-0006-0000-0800-000015000000}">
      <text>
        <r>
          <rPr>
            <b/>
            <sz val="8"/>
            <color indexed="81"/>
            <rFont val="Tahoma"/>
            <family val="2"/>
          </rPr>
          <t>David Newman:</t>
        </r>
        <r>
          <rPr>
            <sz val="8"/>
            <color indexed="81"/>
            <rFont val="Tahoma"/>
            <family val="2"/>
          </rPr>
          <t xml:space="preserve">
$1958 million was appropriated under the O&amp;M title in 2006.  The majority of those funds were transferred to procurement accounts for execution.  For consistency, all funds to this account are shown in procurement.</t>
        </r>
      </text>
    </comment>
    <comment ref="H143" authorId="0" shapeId="0" xr:uid="{00000000-0006-0000-0800-000016000000}">
      <text>
        <r>
          <rPr>
            <b/>
            <sz val="8"/>
            <color indexed="81"/>
            <rFont val="Tahoma"/>
            <family val="2"/>
          </rPr>
          <t>David Newman:</t>
        </r>
        <r>
          <rPr>
            <sz val="8"/>
            <color indexed="81"/>
            <rFont val="Tahoma"/>
            <family val="2"/>
          </rPr>
          <t xml:space="preserve">
Includes rescission of $12M in regular funds -enacted in PL 107-206.</t>
        </r>
      </text>
    </comment>
    <comment ref="J143" authorId="0" shapeId="0" xr:uid="{00000000-0006-0000-0800-000017000000}">
      <text>
        <r>
          <rPr>
            <b/>
            <sz val="8"/>
            <color indexed="81"/>
            <rFont val="Tahoma"/>
            <family val="2"/>
          </rPr>
          <t>David Newman:</t>
        </r>
        <r>
          <rPr>
            <sz val="8"/>
            <color indexed="81"/>
            <rFont val="Tahoma"/>
            <family val="2"/>
          </rPr>
          <t xml:space="preserve">
Rescission of $12 million in regular MPAF funds not included in this amount.</t>
        </r>
      </text>
    </comment>
    <comment ref="H145" authorId="0" shapeId="0" xr:uid="{00000000-0006-0000-0800-000018000000}">
      <text>
        <r>
          <rPr>
            <b/>
            <sz val="8"/>
            <color indexed="81"/>
            <rFont val="Tahoma"/>
            <family val="2"/>
          </rPr>
          <t>David Newman:</t>
        </r>
        <r>
          <rPr>
            <sz val="8"/>
            <color indexed="81"/>
            <rFont val="Tahoma"/>
            <family val="2"/>
          </rPr>
          <t xml:space="preserve">
Includes rescission of $65M in regular funds -enacted in PL 107-206.</t>
        </r>
      </text>
    </comment>
    <comment ref="J145" authorId="0" shapeId="0" xr:uid="{00000000-0006-0000-0800-000019000000}">
      <text>
        <r>
          <rPr>
            <b/>
            <sz val="8"/>
            <color indexed="81"/>
            <rFont val="Tahoma"/>
            <family val="2"/>
          </rPr>
          <t>David Newman:</t>
        </r>
        <r>
          <rPr>
            <sz val="8"/>
            <color indexed="81"/>
            <rFont val="Tahoma"/>
            <family val="2"/>
          </rPr>
          <t xml:space="preserve">
Rescission of $65 million in regular OPAF funds not included in this amount.</t>
        </r>
      </text>
    </comment>
    <comment ref="H147" authorId="0" shapeId="0" xr:uid="{00000000-0006-0000-0800-00001A000000}">
      <text>
        <r>
          <rPr>
            <b/>
            <sz val="8"/>
            <color indexed="81"/>
            <rFont val="Tahoma"/>
            <family val="2"/>
          </rPr>
          <t>David Newman:</t>
        </r>
        <r>
          <rPr>
            <sz val="8"/>
            <color indexed="81"/>
            <rFont val="Tahoma"/>
            <family val="2"/>
          </rPr>
          <t xml:space="preserve">
Includes rescission of $30M in regular funds -enacted in PL 107-206.</t>
        </r>
      </text>
    </comment>
    <comment ref="J147" authorId="0" shapeId="0" xr:uid="{00000000-0006-0000-0800-00001B000000}">
      <text>
        <r>
          <rPr>
            <b/>
            <sz val="8"/>
            <color indexed="81"/>
            <rFont val="Tahoma"/>
            <family val="2"/>
          </rPr>
          <t>David Newman:</t>
        </r>
        <r>
          <rPr>
            <sz val="8"/>
            <color indexed="81"/>
            <rFont val="Tahoma"/>
            <family val="2"/>
          </rPr>
          <t xml:space="preserve">
Rescission of $30 million in regular PDW funds not included in this amount.</t>
        </r>
      </text>
    </comment>
    <comment ref="O155" authorId="0" shapeId="0" xr:uid="{00000000-0006-0000-0800-00001C000000}">
      <text>
        <r>
          <rPr>
            <b/>
            <sz val="8"/>
            <color indexed="81"/>
            <rFont val="Tahoma"/>
            <family val="2"/>
          </rPr>
          <t>David Newman:</t>
        </r>
        <r>
          <rPr>
            <sz val="8"/>
            <color indexed="81"/>
            <rFont val="Tahoma"/>
            <family val="2"/>
          </rPr>
          <t xml:space="preserve">
Includes rescission of $3M in funds enacted in PL 108-11.</t>
        </r>
      </text>
    </comment>
    <comment ref="R155" authorId="0" shapeId="0" xr:uid="{00000000-0006-0000-0800-00001D000000}">
      <text>
        <r>
          <rPr>
            <b/>
            <sz val="8"/>
            <color indexed="81"/>
            <rFont val="Tahoma"/>
            <family val="2"/>
          </rPr>
          <t>David Newman:</t>
        </r>
        <r>
          <rPr>
            <sz val="8"/>
            <color indexed="81"/>
            <rFont val="Tahoma"/>
            <family val="2"/>
          </rPr>
          <t xml:space="preserve">
Excludes $3M rescission of regular RDT&amp;E Navy funds.</t>
        </r>
      </text>
    </comment>
    <comment ref="H158" authorId="0" shapeId="0" xr:uid="{00000000-0006-0000-0800-00001E000000}">
      <text>
        <r>
          <rPr>
            <b/>
            <sz val="8"/>
            <color indexed="81"/>
            <rFont val="Tahoma"/>
            <family val="2"/>
          </rPr>
          <t>David Newman:</t>
        </r>
        <r>
          <rPr>
            <sz val="8"/>
            <color indexed="81"/>
            <rFont val="Tahoma"/>
            <family val="2"/>
          </rPr>
          <t xml:space="preserve">
Includes rescission of $57M in regular funds -enacted in PL 107-206.</t>
        </r>
      </text>
    </comment>
    <comment ref="J158" authorId="0" shapeId="0" xr:uid="{00000000-0006-0000-0800-00001F000000}">
      <text>
        <r>
          <rPr>
            <b/>
            <sz val="8"/>
            <color indexed="81"/>
            <rFont val="Tahoma"/>
            <family val="2"/>
          </rPr>
          <t>David Newman:</t>
        </r>
        <r>
          <rPr>
            <sz val="8"/>
            <color indexed="81"/>
            <rFont val="Tahoma"/>
            <family val="2"/>
          </rPr>
          <t xml:space="preserve">
Rescission of $57 million in regular RDT&amp;E, AF funds not included in this amount.</t>
        </r>
      </text>
    </comment>
    <comment ref="V197" authorId="0" shapeId="0" xr:uid="{00000000-0006-0000-0800-000020000000}">
      <text>
        <r>
          <rPr>
            <b/>
            <sz val="8"/>
            <color indexed="81"/>
            <rFont val="Tahoma"/>
            <family val="2"/>
          </rPr>
          <t>David Newman:</t>
        </r>
        <r>
          <rPr>
            <sz val="8"/>
            <color indexed="81"/>
            <rFont val="Tahoma"/>
            <family val="2"/>
          </rPr>
          <t xml:space="preserve">
 Rescinded in section 168 of Division H of the Consolidated Appropriations Act, 2004, PL 108-199The 2005 Bridge Supp reversed this rescission.</t>
        </r>
      </text>
    </comment>
    <comment ref="X197" authorId="0" shapeId="0" xr:uid="{00000000-0006-0000-0800-000021000000}">
      <text>
        <r>
          <rPr>
            <b/>
            <sz val="8"/>
            <color indexed="81"/>
            <rFont val="Tahoma"/>
            <family val="2"/>
          </rPr>
          <t>David Newman:</t>
        </r>
        <r>
          <rPr>
            <sz val="8"/>
            <color indexed="81"/>
            <rFont val="Tahoma"/>
            <family val="2"/>
          </rPr>
          <t xml:space="preserve">
This amount was a cancellation of the rescission in the consolidated appropriations act.</t>
        </r>
      </text>
    </comment>
    <comment ref="AB197" authorId="0" shapeId="0" xr:uid="{00000000-0006-0000-0800-000022000000}">
      <text>
        <r>
          <rPr>
            <b/>
            <sz val="8"/>
            <color indexed="81"/>
            <rFont val="Tahoma"/>
            <family val="2"/>
          </rPr>
          <t>David Newman:</t>
        </r>
        <r>
          <rPr>
            <sz val="8"/>
            <color indexed="81"/>
            <rFont val="Tahoma"/>
            <family val="2"/>
          </rPr>
          <t xml:space="preserve">
Rescission of $1.8 billion in regular DoD approps act for 2004 was reversed in Title IX of the 2005 DoD approps act, and was scored as new BA.  Moved that funding to the regular column for 2005.</t>
        </r>
      </text>
    </comment>
    <comment ref="H201" authorId="0" shapeId="0" xr:uid="{00000000-0006-0000-0800-000023000000}">
      <text>
        <r>
          <rPr>
            <b/>
            <sz val="8"/>
            <color indexed="81"/>
            <rFont val="Tahoma"/>
            <family val="2"/>
          </rPr>
          <t>David Newman:</t>
        </r>
        <r>
          <rPr>
            <sz val="8"/>
            <color indexed="81"/>
            <rFont val="Tahoma"/>
            <family val="2"/>
          </rPr>
          <t xml:space="preserve">
Includes rescission of $15M in regular funds -enacted in PL 107-206.</t>
        </r>
      </text>
    </comment>
    <comment ref="J201" authorId="0" shapeId="0" xr:uid="{00000000-0006-0000-0800-000024000000}">
      <text>
        <r>
          <rPr>
            <b/>
            <sz val="8"/>
            <color indexed="81"/>
            <rFont val="Tahoma"/>
            <family val="2"/>
          </rPr>
          <t>David Newman:</t>
        </r>
        <r>
          <rPr>
            <sz val="8"/>
            <color indexed="81"/>
            <rFont val="Tahoma"/>
            <family val="2"/>
          </rPr>
          <t xml:space="preserve">
Does not include $15 M rescission of regular appropriations for this account.</t>
        </r>
      </text>
    </comment>
    <comment ref="J202" authorId="0" shapeId="0" xr:uid="{00000000-0006-0000-0800-000025000000}">
      <text>
        <r>
          <rPr>
            <b/>
            <sz val="8"/>
            <color indexed="81"/>
            <rFont val="Tahoma"/>
            <family val="2"/>
          </rPr>
          <t>David Newman:</t>
        </r>
        <r>
          <rPr>
            <sz val="8"/>
            <color indexed="81"/>
            <rFont val="Tahoma"/>
            <family val="2"/>
          </rPr>
          <t xml:space="preserve">
Enacted in 107-206, but not declared an emergency.  DC subaccount.</t>
        </r>
      </text>
    </comment>
    <comment ref="H206" authorId="0" shapeId="0" xr:uid="{00000000-0006-0000-0800-000026000000}">
      <text>
        <r>
          <rPr>
            <b/>
            <sz val="8"/>
            <color indexed="81"/>
            <rFont val="Tahoma"/>
            <family val="2"/>
          </rPr>
          <t>David Newman:</t>
        </r>
        <r>
          <rPr>
            <sz val="8"/>
            <color indexed="81"/>
            <rFont val="Tahoma"/>
            <family val="2"/>
          </rPr>
          <t xml:space="preserve">
Includes rescission of $16M in regular funds -enacted in PL 107-206.</t>
        </r>
      </text>
    </comment>
    <comment ref="J206" authorId="0" shapeId="0" xr:uid="{00000000-0006-0000-0800-000027000000}">
      <text>
        <r>
          <rPr>
            <b/>
            <sz val="8"/>
            <color indexed="81"/>
            <rFont val="Tahoma"/>
            <family val="2"/>
          </rPr>
          <t>David Newman:</t>
        </r>
        <r>
          <rPr>
            <sz val="8"/>
            <color indexed="81"/>
            <rFont val="Tahoma"/>
            <family val="2"/>
          </rPr>
          <t xml:space="preserve">
Excludes $16 M rescission of regular appropriations.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 M Woodward</author>
  </authors>
  <commentList>
    <comment ref="W18" authorId="0" shapeId="0" xr:uid="{00000000-0006-0000-0200-000001000000}">
      <text>
        <r>
          <rPr>
            <b/>
            <sz val="10"/>
            <color rgb="FF000000"/>
            <rFont val="Calibri"/>
            <family val="2"/>
          </rPr>
          <t>F M Woodward:</t>
        </r>
        <r>
          <rPr>
            <sz val="10"/>
            <color rgb="FF000000"/>
            <rFont val="Calibri"/>
            <family val="2"/>
          </rPr>
          <t xml:space="preserve">
</t>
        </r>
        <r>
          <rPr>
            <sz val="10"/>
            <color rgb="FF000000"/>
            <rFont val="Calibri"/>
            <family val="2"/>
          </rPr>
          <t>O&amp;M budget books, PB17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Matt Woodward</author>
  </authors>
  <commentList>
    <comment ref="S7" authorId="0" shapeId="0" xr:uid="{1C9E2DF7-104E-754B-AE7E-F89A17C225E6}">
      <text>
        <r>
          <rPr>
            <b/>
            <sz val="10"/>
            <color rgb="FF000000"/>
            <rFont val="Tahoma"/>
            <family val="2"/>
          </rPr>
          <t>Matt Woodward:</t>
        </r>
        <r>
          <rPr>
            <sz val="10"/>
            <color rgb="FF000000"/>
            <rFont val="Tahoma"/>
            <family val="2"/>
          </rPr>
          <t xml:space="preserve">
</t>
        </r>
        <r>
          <rPr>
            <sz val="10"/>
            <color rgb="FF000000"/>
            <rFont val="Tahoma"/>
            <family val="2"/>
          </rPr>
          <t xml:space="preserve">$5 B Missile Defense
</t>
        </r>
        <r>
          <rPr>
            <sz val="10"/>
            <color rgb="FF000000"/>
            <rFont val="Tahoma"/>
            <family val="2"/>
          </rPr>
          <t>$6 B non-war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Daniel Frisk</author>
  </authors>
  <commentList>
    <comment ref="D73" authorId="0" shapeId="0" xr:uid="{00000000-0006-0000-0D00-000001000000}">
      <text>
        <r>
          <rPr>
            <b/>
            <sz val="9"/>
            <color indexed="81"/>
            <rFont val="Tahoma"/>
            <family val="2"/>
          </rPr>
          <t>Daniel Frisk:</t>
        </r>
        <r>
          <rPr>
            <sz val="9"/>
            <color indexed="81"/>
            <rFont val="Tahoma"/>
            <family val="2"/>
          </rPr>
          <t xml:space="preserve">
Guard and Reserve (combined).</t>
        </r>
      </text>
    </comment>
  </commentList>
</comments>
</file>

<file path=xl/sharedStrings.xml><?xml version="1.0" encoding="utf-8"?>
<sst xmlns="http://schemas.openxmlformats.org/spreadsheetml/2006/main" count="2812" uniqueCount="788">
  <si>
    <t>Department</t>
  </si>
  <si>
    <t>Fiscal Year</t>
  </si>
  <si>
    <t>Military Personnel</t>
  </si>
  <si>
    <t>O&amp;M</t>
  </si>
  <si>
    <t>Procurement</t>
  </si>
  <si>
    <t>RDT&amp;E</t>
  </si>
  <si>
    <t>Military Construction</t>
  </si>
  <si>
    <t>Family    Housing</t>
  </si>
  <si>
    <t>Revolving Funds &amp; Other</t>
  </si>
  <si>
    <t>Total</t>
  </si>
  <si>
    <t>Total Department of Defense</t>
  </si>
  <si>
    <t>21.  Public Law 113-6 (Consolidated and Further Continuing Appropriations Act, 2013).  These figures include sequestration of funding pursuant to the Balanced Budget and Emergency Deficit Control Act as amended.</t>
  </si>
  <si>
    <t>Army</t>
  </si>
  <si>
    <t>Navy</t>
  </si>
  <si>
    <t>Air Force</t>
  </si>
  <si>
    <t>Defense-Wide</t>
  </si>
  <si>
    <t>Proc</t>
  </si>
  <si>
    <t>RDTE</t>
  </si>
  <si>
    <t>.</t>
  </si>
  <si>
    <t>Family Housing</t>
  </si>
  <si>
    <t>P.L. 107-117</t>
  </si>
  <si>
    <t>P.L. 107-206</t>
  </si>
  <si>
    <t>P.L. 108-7</t>
  </si>
  <si>
    <t>P.L. 108-11</t>
  </si>
  <si>
    <t>P.L. 107-248</t>
  </si>
  <si>
    <t>P.L. 108-87</t>
  </si>
  <si>
    <t>P.L. 108-287</t>
  </si>
  <si>
    <t>P.L. 109-13</t>
  </si>
  <si>
    <t>P.L. 109-148</t>
  </si>
  <si>
    <t>P.L. 109-234</t>
  </si>
  <si>
    <t>P.L. 109-289</t>
  </si>
  <si>
    <t>P.L. 110-28</t>
  </si>
  <si>
    <t>P.L. 110-116</t>
  </si>
  <si>
    <t>P.L. 110-161</t>
  </si>
  <si>
    <t>P.L. 110-252</t>
  </si>
  <si>
    <t>P.L. 111-5</t>
  </si>
  <si>
    <t>P.L. 111-32</t>
  </si>
  <si>
    <t>P.L. 111-118</t>
  </si>
  <si>
    <t>P.L. 111-212</t>
  </si>
  <si>
    <t>P.L. 112-10</t>
  </si>
  <si>
    <t>P.L. 112-74</t>
  </si>
  <si>
    <t>Discretionary Budget Authority, in millions of dollars</t>
  </si>
  <si>
    <t>Supplemental</t>
  </si>
  <si>
    <t>DERF</t>
  </si>
  <si>
    <t>Omnibus</t>
  </si>
  <si>
    <t>Late Supp</t>
  </si>
  <si>
    <t>Midyear War</t>
  </si>
  <si>
    <t>War Bridge</t>
  </si>
  <si>
    <t>Midyear</t>
  </si>
  <si>
    <t>Midyear War Supp</t>
  </si>
  <si>
    <t>MRAPs</t>
  </si>
  <si>
    <t>War Supp</t>
  </si>
  <si>
    <t>War</t>
  </si>
  <si>
    <t>Appropriations Public Law</t>
  </si>
  <si>
    <t xml:space="preserve">P.L. 107-117 </t>
  </si>
  <si>
    <t>P.L 108-106</t>
  </si>
  <si>
    <t>P.L. 110-92 &amp; P.L. 110-116</t>
  </si>
  <si>
    <t>P.L. 111-117
P.L. 111-118</t>
  </si>
  <si>
    <t>SubFunction</t>
  </si>
  <si>
    <t>Agebu</t>
  </si>
  <si>
    <t>Agebu Title</t>
  </si>
  <si>
    <t xml:space="preserve">TID </t>
  </si>
  <si>
    <t>TID Title</t>
  </si>
  <si>
    <t>051</t>
  </si>
  <si>
    <t>00700</t>
  </si>
  <si>
    <t>Department of Defense--Military</t>
  </si>
  <si>
    <t>Intragovernmental Receipts, Kaho'olawe Island</t>
  </si>
  <si>
    <t>Travel and administration</t>
  </si>
  <si>
    <t>Defense Vessel Transfer Receipt Account</t>
  </si>
  <si>
    <t>00705</t>
  </si>
  <si>
    <t xml:space="preserve">Medicare-Eligible retiree health fund contribution, Navy        </t>
  </si>
  <si>
    <t>Medicare-Eligible retiree health fund contribution, Marine Corps</t>
  </si>
  <si>
    <t>Medicare-Eligible retiree health fund contribution, reserve pers</t>
  </si>
  <si>
    <t>Military personnel, Marine Corps</t>
  </si>
  <si>
    <t>Reserve personnel, Marine Corps</t>
  </si>
  <si>
    <t>Reserve personnel, Navy</t>
  </si>
  <si>
    <t>Military personnel, Navy</t>
  </si>
  <si>
    <t xml:space="preserve">Medicare-Eligible retiree health fund contribution, Army        </t>
  </si>
  <si>
    <t>Medicare-Eligible retiree health fund contribution, National Gua</t>
  </si>
  <si>
    <t>Military personnel, Army</t>
  </si>
  <si>
    <t>National Guard personnel, Army</t>
  </si>
  <si>
    <t>Reserve personnel, Army</t>
  </si>
  <si>
    <t xml:space="preserve">Medicare-Eligible retiree health fund contribution, Air Force   </t>
  </si>
  <si>
    <t>Military personnel, Air Force</t>
  </si>
  <si>
    <t>Reserve personnel, Air Force</t>
  </si>
  <si>
    <t>National Guard personnel, Air Force</t>
  </si>
  <si>
    <t>Military personnel</t>
  </si>
  <si>
    <t>00710</t>
  </si>
  <si>
    <t>Operation and Maintenance</t>
  </si>
  <si>
    <t>Operation and maintenance, Marine Corps</t>
  </si>
  <si>
    <t>Operation and maintenance, Marine Corps Reserve</t>
  </si>
  <si>
    <t>Payment to Kaho'olawe Island conveyance, remediation, and enviro</t>
  </si>
  <si>
    <t>Kaho' olawe Island conveyance, remediation, and environmental re</t>
  </si>
  <si>
    <t>Operation and maintenance, Navy</t>
  </si>
  <si>
    <t>Operation and maintenance, Navy Reserve</t>
  </si>
  <si>
    <t>Operation and maintenance, Army</t>
  </si>
  <si>
    <t>Operation and maintenance, Army National Guard</t>
  </si>
  <si>
    <t>Operation and maintenance, Army Reserve</t>
  </si>
  <si>
    <t xml:space="preserve">Afghanistan security forces fund                                </t>
  </si>
  <si>
    <t xml:space="preserve">Iraq security forces fund                                       </t>
  </si>
  <si>
    <t xml:space="preserve">Afghanistan Infrastructure Fund                                 </t>
  </si>
  <si>
    <t>Operation and maintenance, Air Force</t>
  </si>
  <si>
    <t>Operation and maintenance, Air Force Reserve</t>
  </si>
  <si>
    <t>Operation and maintenance, Air National Guard</t>
  </si>
  <si>
    <t>Counter-terrorism and operational response transfer fund</t>
  </si>
  <si>
    <t>Operation and maintenance, Defense-wide</t>
  </si>
  <si>
    <t xml:space="preserve">United States Court of Appeals for the Armed Forces             </t>
  </si>
  <si>
    <t>Drug interdiction and counter-drug activities</t>
  </si>
  <si>
    <t>Office of the Inspector General</t>
  </si>
  <si>
    <t xml:space="preserve">Department of Defense Acquisition Workforce Development Fund    </t>
  </si>
  <si>
    <t>Overseas contingency operations transfer account</t>
  </si>
  <si>
    <t>Defense health program</t>
  </si>
  <si>
    <t>Disaster relief</t>
  </si>
  <si>
    <t>Former Soviet Union threat reduction account</t>
  </si>
  <si>
    <t>Iraq freedom fund</t>
  </si>
  <si>
    <t>Foreign currency fluctuations</t>
  </si>
  <si>
    <t>The Department of Defense Environmental Restoration Accounts</t>
  </si>
  <si>
    <t>Environmental restoration, formerly used Defense sites</t>
  </si>
  <si>
    <t>Overseas humanitarian, disaster and civic aid</t>
  </si>
  <si>
    <t>Emergency response fund</t>
  </si>
  <si>
    <t>Support for international sporting competitions</t>
  </si>
  <si>
    <t>OPLAN 34A-35 P.O.W. payments</t>
  </si>
  <si>
    <t xml:space="preserve">Emergency response                                              </t>
  </si>
  <si>
    <t>Defense cooperation</t>
  </si>
  <si>
    <t>Disposal of Department of Defense real property</t>
  </si>
  <si>
    <t>Lease of Department of Defense real property</t>
  </si>
  <si>
    <t>Overseas military facility investment recovery</t>
  </si>
  <si>
    <t>Pakistan Counterinsugency Capability Fund/Afghanistan Infrastructure Fund</t>
  </si>
  <si>
    <t>Joint improvised explosive device defeat fund</t>
  </si>
  <si>
    <t>A-T-B cuts:  O&amp;M</t>
  </si>
  <si>
    <t>Miscellaneous special funds</t>
  </si>
  <si>
    <t>Strategic Reserve Readiness Fund</t>
  </si>
  <si>
    <t>Operation and Maintenance--reductions</t>
  </si>
  <si>
    <t>2005 Bridge Fund Plug</t>
  </si>
  <si>
    <t>00715</t>
  </si>
  <si>
    <t>Procurement, Marine Corps</t>
  </si>
  <si>
    <t>Aircraft procurement, Navy</t>
  </si>
  <si>
    <t>Weapons procurement, Navy</t>
  </si>
  <si>
    <t>Procurement of ammunition, Navy and Marine Corps</t>
  </si>
  <si>
    <t>Shipbuilding and conversion, Navy</t>
  </si>
  <si>
    <t>Other procurement, Navy</t>
  </si>
  <si>
    <t>Aircraft procurement, Army</t>
  </si>
  <si>
    <t>Missile procurement, Army</t>
  </si>
  <si>
    <t>Procurement of weapons and tracked combat vehicles, Army</t>
  </si>
  <si>
    <t>Procurement of ammunition, Army</t>
  </si>
  <si>
    <t>Other procurement, Army</t>
  </si>
  <si>
    <t xml:space="preserve">Joint improvised explosive device defeat fund                   </t>
  </si>
  <si>
    <t>Pakistan Counterinsugency Fund</t>
  </si>
  <si>
    <t>Chemical agents and munitions destruction, Army</t>
  </si>
  <si>
    <t>Aircraft procurement, Air Force</t>
  </si>
  <si>
    <t>Procurement of ammunition, Air Force</t>
  </si>
  <si>
    <t>Missile procurement, Air Force</t>
  </si>
  <si>
    <t>Other procurement, Air Force</t>
  </si>
  <si>
    <t>Mine Resistant Ambush Protected Vehicle Fund</t>
  </si>
  <si>
    <t>Procurement, Defense-wide</t>
  </si>
  <si>
    <t>00716</t>
  </si>
  <si>
    <t xml:space="preserve">Rapid acquisition fund                                          </t>
  </si>
  <si>
    <t>National guard and reserve equipment</t>
  </si>
  <si>
    <t>Defense production act purchases</t>
  </si>
  <si>
    <t xml:space="preserve">Chemical agents and munitions destruction, army                 </t>
  </si>
  <si>
    <t>Defense procurement</t>
  </si>
  <si>
    <t>A-T-B cuts:  Procurement</t>
  </si>
  <si>
    <t>00720</t>
  </si>
  <si>
    <t>Research, Development, Test, and Evaluation</t>
  </si>
  <si>
    <t>Research, development, test, and evaluation, Navy</t>
  </si>
  <si>
    <t>Research, development, test, and evaluation, Army</t>
  </si>
  <si>
    <t xml:space="preserve">Tanker replacement transfer fund, Air Force                     </t>
  </si>
  <si>
    <t>Research, development, test, and evaluation, Air Force</t>
  </si>
  <si>
    <t>Research, development, test, and evaluation, Defense-wide</t>
  </si>
  <si>
    <t>Operational test and evaluation</t>
  </si>
  <si>
    <t>Research, development, test, and evaluation</t>
  </si>
  <si>
    <t>Research and Development--reductions</t>
  </si>
  <si>
    <t>A-T-B cuts:  R&amp;D</t>
  </si>
  <si>
    <t>00725</t>
  </si>
  <si>
    <t xml:space="preserve">Military construction, Navy and Marine Corps                    </t>
  </si>
  <si>
    <t>Military construction, Naval Reserve</t>
  </si>
  <si>
    <t>Military construction, Army</t>
  </si>
  <si>
    <t>Military construction, Army National Guard</t>
  </si>
  <si>
    <t>Military construction, Army Reserve</t>
  </si>
  <si>
    <t>Military construction, Air Force</t>
  </si>
  <si>
    <t>Military construction, Air Force Reserve</t>
  </si>
  <si>
    <t>Military construction, Air National Guard</t>
  </si>
  <si>
    <t xml:space="preserve">Chemical demilitarization construction, defense-wide            </t>
  </si>
  <si>
    <t>Military construction, Defense-wide</t>
  </si>
  <si>
    <t>Base realignment and closure account</t>
  </si>
  <si>
    <t xml:space="preserve">Base realignment and closure account 2005                       </t>
  </si>
  <si>
    <t>Foreign currency fluctuations, construction</t>
  </si>
  <si>
    <t>North Atlantic Treaty Organization security investment program</t>
  </si>
  <si>
    <t>00730</t>
  </si>
  <si>
    <t>Family housing construction, Navy and Marine Corps</t>
  </si>
  <si>
    <t>Family housing operation and maintenance, Navy and Marine Corps</t>
  </si>
  <si>
    <t>Family housing construction, Army</t>
  </si>
  <si>
    <t>Family housing operation and maintenance, Army</t>
  </si>
  <si>
    <t>Family housing construction, Air Force</t>
  </si>
  <si>
    <t>Family housing operation and maintenance, Air Force</t>
  </si>
  <si>
    <t>Family housing, Defense-wide</t>
  </si>
  <si>
    <t xml:space="preserve">Family housing construction, Defense-Wide                       </t>
  </si>
  <si>
    <t xml:space="preserve">Family housing operation and maintenance, Defense-Wide          </t>
  </si>
  <si>
    <t xml:space="preserve">Department of Defense family housing improvement fund           </t>
  </si>
  <si>
    <t>Homeowners assistance fund</t>
  </si>
  <si>
    <t>00740</t>
  </si>
  <si>
    <t>Revolving and Management Funds</t>
  </si>
  <si>
    <t>National defense sealift fund</t>
  </si>
  <si>
    <t xml:space="preserve">Working capital fund, Air Force                                 </t>
  </si>
  <si>
    <t>Pentagon reservation maintenance revolving fund</t>
  </si>
  <si>
    <t>A-T-B cuts:  Revolving</t>
  </si>
  <si>
    <t>00745</t>
  </si>
  <si>
    <t>Allowances</t>
  </si>
  <si>
    <t>Department of Defense Closed Accounts</t>
  </si>
  <si>
    <t>Other legislation</t>
  </si>
  <si>
    <t>General transfer authority outlay allowance</t>
  </si>
  <si>
    <t>Undistributed DOD reductions</t>
  </si>
  <si>
    <t>00755</t>
  </si>
  <si>
    <t>Trust Funds</t>
  </si>
  <si>
    <t>Surcharge collections, sales of commissary stores, Defense</t>
  </si>
  <si>
    <t>General fund payment, surcharge collections, sales of commissary</t>
  </si>
  <si>
    <t>National security education trust fund</t>
  </si>
  <si>
    <t>053</t>
  </si>
  <si>
    <t>01905</t>
  </si>
  <si>
    <t>National Nuclear Security Administration</t>
  </si>
  <si>
    <t>Weapons activities</t>
  </si>
  <si>
    <t>Defense nuclear nonproliferation</t>
  </si>
  <si>
    <t>Cerro Grande Fire Activities</t>
  </si>
  <si>
    <t>Office of the Administrator</t>
  </si>
  <si>
    <t>Naval Reactors</t>
  </si>
  <si>
    <t>01910</t>
  </si>
  <si>
    <t>Environmental and Other Defense Activities</t>
  </si>
  <si>
    <t>Defense environmental restoration and waste management</t>
  </si>
  <si>
    <t>Other defense activities</t>
  </si>
  <si>
    <t>Defense nuclear waste disposal</t>
  </si>
  <si>
    <t>Defense environmental services</t>
  </si>
  <si>
    <t xml:space="preserve">Defense environmental cleanup                                   </t>
  </si>
  <si>
    <t>01920</t>
  </si>
  <si>
    <t>Energy Programs</t>
  </si>
  <si>
    <t xml:space="preserve">Energy supply and conservation                                  </t>
  </si>
  <si>
    <t xml:space="preserve">Electricity Delivery and Energy Reliability                     </t>
  </si>
  <si>
    <t>20200</t>
  </si>
  <si>
    <t>Corps of Engineers-Civil Works</t>
  </si>
  <si>
    <t>Formerly utilized sites remedial action program</t>
  </si>
  <si>
    <t>34700</t>
  </si>
  <si>
    <t>Defense Nuclear Facilities Safety Board</t>
  </si>
  <si>
    <t>Salaries and expenses</t>
  </si>
  <si>
    <t>02480</t>
  </si>
  <si>
    <t>Science and Technology</t>
  </si>
  <si>
    <t>Research, development, acquisitions and operations</t>
  </si>
  <si>
    <t>Contractor pay freeze savings</t>
  </si>
  <si>
    <t>054</t>
  </si>
  <si>
    <t>01103</t>
  </si>
  <si>
    <t>General Administration</t>
  </si>
  <si>
    <t>Telecommunications carrier compliance fund</t>
  </si>
  <si>
    <t>01105</t>
  </si>
  <si>
    <t>Legal Activities and U.S. Marshals</t>
  </si>
  <si>
    <t>Salaries and expenses, General Legal Activities</t>
  </si>
  <si>
    <t>01106</t>
  </si>
  <si>
    <t>Radiation Exposure Compensation</t>
  </si>
  <si>
    <t>Administrative expenses</t>
  </si>
  <si>
    <t>Payment to radiation exposure compensation trust fund</t>
  </si>
  <si>
    <t>Radiation exposure compensation trust fund</t>
  </si>
  <si>
    <t>01110</t>
  </si>
  <si>
    <t>Federal Bureau of Investigation</t>
  </si>
  <si>
    <t>Payment from the general fund</t>
  </si>
  <si>
    <t>02108</t>
  </si>
  <si>
    <t>Coast Guard</t>
  </si>
  <si>
    <t>Operating expenses</t>
  </si>
  <si>
    <t>02170</t>
  </si>
  <si>
    <t>Maritime Administration</t>
  </si>
  <si>
    <t>Ready reserve force</t>
  </si>
  <si>
    <t>Maritime security program</t>
  </si>
  <si>
    <t>02460</t>
  </si>
  <si>
    <t>United States Coast Guard</t>
  </si>
  <si>
    <t>Operating Expenses</t>
  </si>
  <si>
    <t>Acquisition, construction, and improvements</t>
  </si>
  <si>
    <t>02465</t>
  </si>
  <si>
    <t xml:space="preserve">Preparedness                                                    </t>
  </si>
  <si>
    <t xml:space="preserve">Infrastructure protection and information security              </t>
  </si>
  <si>
    <t>02470</t>
  </si>
  <si>
    <t xml:space="preserve">Federal Emergency Management Agency                             </t>
  </si>
  <si>
    <t>Administrative and regional operations</t>
  </si>
  <si>
    <t>State and local programs</t>
  </si>
  <si>
    <t>02845</t>
  </si>
  <si>
    <t xml:space="preserve">Research, development, and operations                           </t>
  </si>
  <si>
    <t>02490</t>
  </si>
  <si>
    <t>Information Analysis and Infrastructure Protection</t>
  </si>
  <si>
    <t>Assessments and evaluation</t>
  </si>
  <si>
    <t xml:space="preserve">Office of Assistant Secretary of the Army (Civil Works)         </t>
  </si>
  <si>
    <t>20045</t>
  </si>
  <si>
    <t>Selective Service System</t>
  </si>
  <si>
    <t>36100</t>
  </si>
  <si>
    <t>Federal Emergency Management Agency</t>
  </si>
  <si>
    <t>Emergency management planning and assistance</t>
  </si>
  <si>
    <t>42200</t>
  </si>
  <si>
    <t>National Science Foundation</t>
  </si>
  <si>
    <t>Research and related activities</t>
  </si>
  <si>
    <t>46700</t>
  </si>
  <si>
    <t>Intelligence Community Management Account</t>
  </si>
  <si>
    <t>Intelligence community management account</t>
  </si>
  <si>
    <t>00630</t>
  </si>
  <si>
    <t>Bureau of Industry and Security</t>
  </si>
  <si>
    <t>Operations and administration</t>
  </si>
  <si>
    <t>53500</t>
  </si>
  <si>
    <t>Privacy and Civil Liberties Oversight Board</t>
  </si>
  <si>
    <t xml:space="preserve">Salaries and Expenses                                           </t>
  </si>
  <si>
    <t>MILPERs</t>
  </si>
  <si>
    <t>Revolving Funds</t>
  </si>
  <si>
    <t>MILCON</t>
  </si>
  <si>
    <t>Other O&amp;M Related</t>
  </si>
  <si>
    <t>Milpers</t>
  </si>
  <si>
    <t xml:space="preserve">Military Intelligence Program Transfer Fund                     </t>
  </si>
  <si>
    <t>111-226</t>
  </si>
  <si>
    <t>Account Data Actuals</t>
  </si>
  <si>
    <t>Adjustment to Actuals</t>
  </si>
  <si>
    <t>P.L. 109-148 &amp; P.L. 109-234</t>
  </si>
  <si>
    <t>109-61
109-62</t>
  </si>
  <si>
    <t>109-13</t>
  </si>
  <si>
    <t>P.L. 108-324</t>
  </si>
  <si>
    <t>Pset Total</t>
  </si>
  <si>
    <t>Regular</t>
  </si>
  <si>
    <t>Late Rescissions</t>
  </si>
  <si>
    <t>Other Supp</t>
  </si>
  <si>
    <t>Stimulus</t>
  </si>
  <si>
    <t>Midyear Other Supp</t>
  </si>
  <si>
    <t>Hurricane Supp</t>
  </si>
  <si>
    <t>Tsunami/Other</t>
  </si>
  <si>
    <t>O&amp;M+DWCF</t>
  </si>
  <si>
    <t>Appropriated OCO [nominal $B]</t>
  </si>
  <si>
    <t>Boots on the Ground</t>
  </si>
  <si>
    <t>DoD</t>
  </si>
  <si>
    <t>USMC</t>
  </si>
  <si>
    <t>USN</t>
  </si>
  <si>
    <t>Def-Wide</t>
  </si>
  <si>
    <t>pgdp</t>
  </si>
  <si>
    <t>Def-wide</t>
  </si>
  <si>
    <t>Other</t>
  </si>
  <si>
    <t>Revolve</t>
  </si>
  <si>
    <t>Subtotal</t>
  </si>
  <si>
    <t>1991 Approps from PL 101-511 [Nominal]</t>
  </si>
  <si>
    <t>[BA nominal $M]</t>
  </si>
  <si>
    <t>Table 6-1:  DEPARTMENT OF DEFENSE TOA BY PUBLIC LAW TITLE</t>
  </si>
  <si>
    <t>(Dollars in Millions)</t>
  </si>
  <si>
    <t>Public Law Title</t>
  </si>
  <si>
    <t>FY 1948</t>
  </si>
  <si>
    <t>FY 1949</t>
  </si>
  <si>
    <t>FY 1950</t>
  </si>
  <si>
    <t>FY 1951</t>
  </si>
  <si>
    <t>FY 1952</t>
  </si>
  <si>
    <t>FY 1953</t>
  </si>
  <si>
    <t>FY 1954</t>
  </si>
  <si>
    <t>FY 1955</t>
  </si>
  <si>
    <t>FY 1956</t>
  </si>
  <si>
    <t>FY 1957</t>
  </si>
  <si>
    <t>FY 1958</t>
  </si>
  <si>
    <t>FY 1959</t>
  </si>
  <si>
    <t>FY 1960</t>
  </si>
  <si>
    <t>FY 1961</t>
  </si>
  <si>
    <t>FY 1962</t>
  </si>
  <si>
    <t>FY 1963</t>
  </si>
  <si>
    <t>FY 1964</t>
  </si>
  <si>
    <t>FY 1965</t>
  </si>
  <si>
    <t>FY 1966</t>
  </si>
  <si>
    <t>FY 1967</t>
  </si>
  <si>
    <t>FY 1968</t>
  </si>
  <si>
    <t>FY 1969</t>
  </si>
  <si>
    <t>FY 1970</t>
  </si>
  <si>
    <t>FY 1971</t>
  </si>
  <si>
    <t>FY 1972</t>
  </si>
  <si>
    <t>FY 1973</t>
  </si>
  <si>
    <t>FY 1974</t>
  </si>
  <si>
    <t>FY 1975</t>
  </si>
  <si>
    <t>FY 1976</t>
  </si>
  <si>
    <t>FY 1977</t>
  </si>
  <si>
    <t>FY 1978</t>
  </si>
  <si>
    <t>FY 1979</t>
  </si>
  <si>
    <t>Military Personnel  .............................................................................................</t>
  </si>
  <si>
    <t>Retired Pay, Defense  .............................................................................................</t>
  </si>
  <si>
    <t>Operation and Maintenance  .............................................................................................</t>
  </si>
  <si>
    <t>Procurement  .............................................................................................</t>
  </si>
  <si>
    <t>RDT&amp;E  .....................................................................................................</t>
  </si>
  <si>
    <t>Military Construction  .............................................................................................</t>
  </si>
  <si>
    <t>Family Housing  .............................................................................................</t>
  </si>
  <si>
    <t>Revolving and Management Funds  .............................................................................................</t>
  </si>
  <si>
    <t>Trust, Receipts, and Other  .....................................................................................................</t>
  </si>
  <si>
    <t>Percent Real Growth (%)</t>
  </si>
  <si>
    <t>NOTE:  All enacted war and supplemental funding is included.</t>
  </si>
  <si>
    <t>[nominal $M]</t>
  </si>
  <si>
    <t>`</t>
  </si>
  <si>
    <t>BBA Compliance [nominal $B]</t>
  </si>
  <si>
    <t>Month</t>
  </si>
  <si>
    <t>Afghanistan In-Country</t>
  </si>
  <si>
    <t>Iraq In-Country</t>
  </si>
  <si>
    <t>DOD Uniformed Military Personnel and Contractor Personnel in AFG
(Q4 FY2007-Q1 FY2016)</t>
  </si>
  <si>
    <t>Quarter</t>
  </si>
  <si>
    <t>Uniformed Military</t>
  </si>
  <si>
    <t xml:space="preserve"> Contractors</t>
  </si>
  <si>
    <t>Q4 FY2007</t>
  </si>
  <si>
    <t>Q1 FY2008</t>
  </si>
  <si>
    <t>Q2 FY2008</t>
  </si>
  <si>
    <t>Q3 FY2008</t>
  </si>
  <si>
    <t>Q4 FY2008</t>
  </si>
  <si>
    <t>Q1 FY2009</t>
  </si>
  <si>
    <t>Q2 FY2009</t>
  </si>
  <si>
    <t>Q3 FY2009</t>
  </si>
  <si>
    <t>Q4 FY2009</t>
  </si>
  <si>
    <t>Q1 FY2010</t>
  </si>
  <si>
    <t>Q2 FY2010</t>
  </si>
  <si>
    <t>Q3 FY2010</t>
  </si>
  <si>
    <t>Q4 FY2010</t>
  </si>
  <si>
    <t>Q1 FY2011</t>
  </si>
  <si>
    <t>Q2 FY2011</t>
  </si>
  <si>
    <t>Q3 FY2011</t>
  </si>
  <si>
    <t>Q4 FY2011</t>
  </si>
  <si>
    <t>Q1 FY2012</t>
  </si>
  <si>
    <t>Q2 FY2012</t>
  </si>
  <si>
    <t>Q3 FY2012</t>
  </si>
  <si>
    <t>Q4 FY2012</t>
  </si>
  <si>
    <t>Q1 FY2013</t>
  </si>
  <si>
    <t>Q2 FY2013</t>
  </si>
  <si>
    <t>Q3 FY2013</t>
  </si>
  <si>
    <t>Q4 FY2013</t>
  </si>
  <si>
    <t>Q1 FY2014</t>
  </si>
  <si>
    <t>Q2 FY2014</t>
  </si>
  <si>
    <t>Q3 FY2014</t>
  </si>
  <si>
    <t>Q4 FY2014</t>
  </si>
  <si>
    <t>Q1 FY2015</t>
  </si>
  <si>
    <t>Q2 FY2015</t>
  </si>
  <si>
    <t>Q3 FY2015</t>
  </si>
  <si>
    <t>Q4 FY2015</t>
  </si>
  <si>
    <t>Q1 FY2016</t>
  </si>
  <si>
    <t>DOD Uniformed Military Personnel and Contractor Personnel in Iraq
(Q4 F72007-Q1 FY2014)</t>
  </si>
  <si>
    <t>Uniformed Military Personnel</t>
  </si>
  <si>
    <t>—</t>
  </si>
  <si>
    <t xml:space="preserve">Q1 FY2013 </t>
  </si>
  <si>
    <t xml:space="preserve">Q4 FY2013 </t>
  </si>
  <si>
    <t>FY</t>
  </si>
  <si>
    <t>Afg</t>
  </si>
  <si>
    <t>Irq</t>
  </si>
  <si>
    <t>Disaster</t>
  </si>
  <si>
    <t>Ebola</t>
  </si>
  <si>
    <t>P.L. 113-6</t>
  </si>
  <si>
    <t>P.L. 113-2</t>
  </si>
  <si>
    <t>P.L. 113-76</t>
  </si>
  <si>
    <t>P.L. 113-235</t>
  </si>
  <si>
    <t xml:space="preserve">17100001051 </t>
  </si>
  <si>
    <t xml:space="preserve">17100101051 </t>
  </si>
  <si>
    <t xml:space="preserve">17100201051 </t>
  </si>
  <si>
    <t xml:space="preserve">17100301051 </t>
  </si>
  <si>
    <t xml:space="preserve">17110501051 </t>
  </si>
  <si>
    <t xml:space="preserve">17110801051 </t>
  </si>
  <si>
    <t xml:space="preserve">17140501051 </t>
  </si>
  <si>
    <t xml:space="preserve">17145301051 </t>
  </si>
  <si>
    <t xml:space="preserve">21100401051 </t>
  </si>
  <si>
    <t xml:space="preserve">21100501051 </t>
  </si>
  <si>
    <t xml:space="preserve">21100601051 </t>
  </si>
  <si>
    <t xml:space="preserve">21201001051 </t>
  </si>
  <si>
    <t xml:space="preserve">21206001051 </t>
  </si>
  <si>
    <t xml:space="preserve">21207001051 </t>
  </si>
  <si>
    <t xml:space="preserve">57100701051 </t>
  </si>
  <si>
    <t xml:space="preserve">57100801051 </t>
  </si>
  <si>
    <t xml:space="preserve">57100901051 </t>
  </si>
  <si>
    <t xml:space="preserve">57350001051 </t>
  </si>
  <si>
    <t xml:space="preserve">57370001051 </t>
  </si>
  <si>
    <t xml:space="preserve">57385001051 </t>
  </si>
  <si>
    <t xml:space="preserve">97800501051 </t>
  </si>
  <si>
    <t xml:space="preserve">99880201051 </t>
  </si>
  <si>
    <t xml:space="preserve">Ship Modernization, Operations and Sustainment Fund             </t>
  </si>
  <si>
    <t xml:space="preserve">17051301051 </t>
  </si>
  <si>
    <t xml:space="preserve">17110601051 </t>
  </si>
  <si>
    <t xml:space="preserve">17110701051 </t>
  </si>
  <si>
    <t xml:space="preserve">17180401051 </t>
  </si>
  <si>
    <t xml:space="preserve">17180601051 </t>
  </si>
  <si>
    <t xml:space="preserve">21202001051 </t>
  </si>
  <si>
    <t xml:space="preserve">21206501051 </t>
  </si>
  <si>
    <t xml:space="preserve">21208001051 </t>
  </si>
  <si>
    <t xml:space="preserve">21209101051 </t>
  </si>
  <si>
    <t xml:space="preserve">21209201051 </t>
  </si>
  <si>
    <t xml:space="preserve">Pakistan Counterinsurgency  Fund                                </t>
  </si>
  <si>
    <t xml:space="preserve">21209501051 </t>
  </si>
  <si>
    <t xml:space="preserve">21209601051 </t>
  </si>
  <si>
    <t xml:space="preserve">Iraq Train and Equip Fund                                       </t>
  </si>
  <si>
    <t xml:space="preserve">57340001051 </t>
  </si>
  <si>
    <t xml:space="preserve">57374001051 </t>
  </si>
  <si>
    <t xml:space="preserve">57384001051 </t>
  </si>
  <si>
    <t xml:space="preserve">97010001051 </t>
  </si>
  <si>
    <t xml:space="preserve">97010401051 </t>
  </si>
  <si>
    <t xml:space="preserve">97010501051 </t>
  </si>
  <si>
    <t xml:space="preserve">97010701051 </t>
  </si>
  <si>
    <t xml:space="preserve">97011101051 </t>
  </si>
  <si>
    <t xml:space="preserve">97011801051 </t>
  </si>
  <si>
    <t xml:space="preserve">97013001051 </t>
  </si>
  <si>
    <t xml:space="preserve">97013401051 </t>
  </si>
  <si>
    <t xml:space="preserve">97080101051 </t>
  </si>
  <si>
    <t xml:space="preserve">97081001051 </t>
  </si>
  <si>
    <t xml:space="preserve">97081101051 </t>
  </si>
  <si>
    <t xml:space="preserve">97081901051 </t>
  </si>
  <si>
    <t xml:space="preserve">97083801051 </t>
  </si>
  <si>
    <t xml:space="preserve">97518802051 </t>
  </si>
  <si>
    <t xml:space="preserve">97518902051 </t>
  </si>
  <si>
    <t xml:space="preserve">97519302051 </t>
  </si>
  <si>
    <t xml:space="preserve">97800401051 </t>
  </si>
  <si>
    <t xml:space="preserve">97992202051 </t>
  </si>
  <si>
    <t xml:space="preserve">17110901051 </t>
  </si>
  <si>
    <t xml:space="preserve">17150601051 </t>
  </si>
  <si>
    <t xml:space="preserve">17150701051 </t>
  </si>
  <si>
    <t xml:space="preserve">17150801051 </t>
  </si>
  <si>
    <t xml:space="preserve">17161101051 </t>
  </si>
  <si>
    <t xml:space="preserve">17181001051 </t>
  </si>
  <si>
    <t xml:space="preserve">21203101051 </t>
  </si>
  <si>
    <t xml:space="preserve">21203201051 </t>
  </si>
  <si>
    <t xml:space="preserve">21203301051 </t>
  </si>
  <si>
    <t xml:space="preserve">21203401051 </t>
  </si>
  <si>
    <t xml:space="preserve">21203501051 </t>
  </si>
  <si>
    <t xml:space="preserve">21209301051 </t>
  </si>
  <si>
    <t xml:space="preserve">57301001051 </t>
  </si>
  <si>
    <t xml:space="preserve">57301101051 </t>
  </si>
  <si>
    <t xml:space="preserve">57302001051 </t>
  </si>
  <si>
    <t xml:space="preserve">Space Procurement, Air Force                                    </t>
  </si>
  <si>
    <t xml:space="preserve">57308001051 </t>
  </si>
  <si>
    <t xml:space="preserve">97030001051 </t>
  </si>
  <si>
    <t xml:space="preserve">97035001051 </t>
  </si>
  <si>
    <t xml:space="preserve">97036001051 </t>
  </si>
  <si>
    <t xml:space="preserve">97039001051 </t>
  </si>
  <si>
    <t xml:space="preserve">17131901051 </t>
  </si>
  <si>
    <t xml:space="preserve">21204001051 </t>
  </si>
  <si>
    <t xml:space="preserve">57360001051 </t>
  </si>
  <si>
    <t xml:space="preserve">97040001051 </t>
  </si>
  <si>
    <t xml:space="preserve">97046001051 </t>
  </si>
  <si>
    <t xml:space="preserve">99000301051 </t>
  </si>
  <si>
    <t xml:space="preserve">17120501051 </t>
  </si>
  <si>
    <t xml:space="preserve">17123501051 </t>
  </si>
  <si>
    <t xml:space="preserve">21205001051 </t>
  </si>
  <si>
    <t xml:space="preserve">21208501051 </t>
  </si>
  <si>
    <t xml:space="preserve">21208601051 </t>
  </si>
  <si>
    <t xml:space="preserve">57330001051 </t>
  </si>
  <si>
    <t xml:space="preserve">57373001051 </t>
  </si>
  <si>
    <t xml:space="preserve">57383001051 </t>
  </si>
  <si>
    <t xml:space="preserve">97039101051 </t>
  </si>
  <si>
    <t xml:space="preserve">97050001051 </t>
  </si>
  <si>
    <t xml:space="preserve">97051001051 </t>
  </si>
  <si>
    <t xml:space="preserve">97051201051 </t>
  </si>
  <si>
    <t xml:space="preserve">Department of Defense Base Closure Account                      </t>
  </si>
  <si>
    <t xml:space="preserve">97051601051 </t>
  </si>
  <si>
    <t xml:space="preserve">97080401051 </t>
  </si>
  <si>
    <t xml:space="preserve">17073001051 </t>
  </si>
  <si>
    <t xml:space="preserve">17073501051 </t>
  </si>
  <si>
    <t xml:space="preserve">21072001051 </t>
  </si>
  <si>
    <t xml:space="preserve">21072501051 </t>
  </si>
  <si>
    <t xml:space="preserve">57074001051 </t>
  </si>
  <si>
    <t xml:space="preserve">57074501051 </t>
  </si>
  <si>
    <t xml:space="preserve">97076501051 </t>
  </si>
  <si>
    <t xml:space="preserve">97083401051 </t>
  </si>
  <si>
    <t xml:space="preserve">97409003051 </t>
  </si>
  <si>
    <t xml:space="preserve">17455704051 </t>
  </si>
  <si>
    <t xml:space="preserve">97493004051 </t>
  </si>
  <si>
    <t xml:space="preserve">97495004051 </t>
  </si>
  <si>
    <t xml:space="preserve">97991801051 </t>
  </si>
  <si>
    <t xml:space="preserve">97816408051 </t>
  </si>
  <si>
    <t xml:space="preserve">89024001053 </t>
  </si>
  <si>
    <t xml:space="preserve">89030901053 </t>
  </si>
  <si>
    <t xml:space="preserve">89031301053 </t>
  </si>
  <si>
    <t xml:space="preserve">89031401053 </t>
  </si>
  <si>
    <t xml:space="preserve">89024301053 </t>
  </si>
  <si>
    <t xml:space="preserve">89025101053 </t>
  </si>
  <si>
    <t xml:space="preserve">Nuclear Energy                                                  </t>
  </si>
  <si>
    <t xml:space="preserve">89031901053 </t>
  </si>
  <si>
    <t xml:space="preserve">96313001053 </t>
  </si>
  <si>
    <t xml:space="preserve">95390001053 </t>
  </si>
  <si>
    <t xml:space="preserve">15033301054 </t>
  </si>
  <si>
    <t xml:space="preserve">15811607054 </t>
  </si>
  <si>
    <t xml:space="preserve">15020001054 </t>
  </si>
  <si>
    <t xml:space="preserve">69171001054 </t>
  </si>
  <si>
    <t xml:space="preserve">69171101054 </t>
  </si>
  <si>
    <t xml:space="preserve">70061001054 </t>
  </si>
  <si>
    <t xml:space="preserve">70056501054 </t>
  </si>
  <si>
    <t xml:space="preserve">70070001054 </t>
  </si>
  <si>
    <t xml:space="preserve">90040001054 </t>
  </si>
  <si>
    <t xml:space="preserve">49010001054 </t>
  </si>
  <si>
    <t xml:space="preserve">95040101054 </t>
  </si>
  <si>
    <t xml:space="preserve">13030001054 </t>
  </si>
  <si>
    <t xml:space="preserve">95272401054 </t>
  </si>
  <si>
    <t>……………………..</t>
  </si>
  <si>
    <t>Total Appropriations [BA nominal $M]</t>
  </si>
  <si>
    <t>CBO - DoD [BA nominal $M]</t>
  </si>
  <si>
    <t>Afghanistan</t>
  </si>
  <si>
    <t>Iraq</t>
  </si>
  <si>
    <t>Green Book Tab2-1</t>
  </si>
  <si>
    <t>Late Sup Factor 0.153</t>
  </si>
  <si>
    <t>Rescissions in FMAP and education funding bill.  Excludes a rescission of $122M in war related supplemental funding for Procurement, Marine Corps.  The net effect of that rescission is shown in the war supplemental column.</t>
  </si>
  <si>
    <t>2001 BA to 2002 TOA</t>
  </si>
  <si>
    <t>Green Book Tab6-1</t>
  </si>
  <si>
    <t>DoD Topline [nominal $B]</t>
  </si>
  <si>
    <t>Milper</t>
  </si>
  <si>
    <t>-</t>
  </si>
  <si>
    <t>DWCF</t>
  </si>
  <si>
    <t>Column1</t>
  </si>
  <si>
    <t xml:space="preserve">OCO Forces </t>
  </si>
  <si>
    <t>DoD Non-Emergency Funding</t>
  </si>
  <si>
    <t>Fraction of Total, Emergency</t>
  </si>
  <si>
    <t>DoD Topline [real FY17 $B]</t>
  </si>
  <si>
    <t>[BA Nominal $B]</t>
  </si>
  <si>
    <t>PGPD</t>
  </si>
  <si>
    <t>Appropriated OCO [real FY18 $B]</t>
  </si>
  <si>
    <t>MilPer Army</t>
  </si>
  <si>
    <t>MilPer Navy</t>
  </si>
  <si>
    <t>MilPer MC</t>
  </si>
  <si>
    <t>MilPer AF</t>
  </si>
  <si>
    <t>O&amp;M Army</t>
  </si>
  <si>
    <t>O&amp;M Navy</t>
  </si>
  <si>
    <t>O&amp;M MC</t>
  </si>
  <si>
    <t>O&amp;M AF</t>
  </si>
  <si>
    <t>O&amp;M DW</t>
  </si>
  <si>
    <t>O&amp;M NR</t>
  </si>
  <si>
    <t>O&amp;M ANG</t>
  </si>
  <si>
    <t>AC Proc Army</t>
  </si>
  <si>
    <t>Missile Proc Army</t>
  </si>
  <si>
    <t>WTCV</t>
  </si>
  <si>
    <t>OPA</t>
  </si>
  <si>
    <t>AP Navy</t>
  </si>
  <si>
    <t>Weapons Proc Navy</t>
  </si>
  <si>
    <t>Proc MC</t>
  </si>
  <si>
    <t>AP AF</t>
  </si>
  <si>
    <t>OP N</t>
  </si>
  <si>
    <t>Missile Proc AF</t>
  </si>
  <si>
    <t>OP AF</t>
  </si>
  <si>
    <t>Proc DW</t>
  </si>
  <si>
    <t>RDTE A</t>
  </si>
  <si>
    <t>RDTE AF</t>
  </si>
  <si>
    <t>DWCF A</t>
  </si>
  <si>
    <t>DWCF AF</t>
  </si>
  <si>
    <t>PL 102-28--Apr. 10, 1991</t>
  </si>
  <si>
    <t>105 STAT 161-168</t>
  </si>
  <si>
    <t xml:space="preserve">ODS = FYDP - PL [nominal] </t>
  </si>
  <si>
    <t>Mil</t>
  </si>
  <si>
    <t>Ctr</t>
  </si>
  <si>
    <t>Difference between CBO and DoD</t>
  </si>
  <si>
    <t>Total Emergency Funding*</t>
  </si>
  <si>
    <t>*CBO estimate includes Recissions/transfers</t>
  </si>
  <si>
    <t>[Nominal, FY91 $B]</t>
  </si>
  <si>
    <t>OCO</t>
  </si>
  <si>
    <t>Total Appropriations [nominal $M]</t>
  </si>
  <si>
    <t>Total Appropriations (with transfer/recissions)</t>
  </si>
  <si>
    <t>CBO Tally - Green Book Tab 2-1</t>
  </si>
  <si>
    <t>CBO Tally of OCO/GWOT and Emergency Funding</t>
  </si>
  <si>
    <t>Transfers, Recissions, Shifts in funding From Dan Frisk/Dave Newman</t>
  </si>
  <si>
    <t>Trust Fund</t>
  </si>
  <si>
    <t>Base</t>
  </si>
  <si>
    <t>non-war supplemental funding</t>
  </si>
  <si>
    <t>[nominal $ B]</t>
  </si>
  <si>
    <t>Fraction</t>
  </si>
  <si>
    <t>Sup Fraction of Total Budget</t>
  </si>
  <si>
    <t>CBO OCO</t>
  </si>
  <si>
    <t>Green book delta</t>
  </si>
  <si>
    <t>cbo delta</t>
  </si>
  <si>
    <t>Average Strength Estimates</t>
  </si>
  <si>
    <t xml:space="preserve"> -  </t>
  </si>
  <si>
    <t>In-Theater</t>
  </si>
  <si>
    <t>In CONUS/Other Mobilization</t>
  </si>
  <si>
    <t>Enduring Total</t>
  </si>
  <si>
    <t>Fraction of the Total DoD Forces</t>
  </si>
  <si>
    <t>Fraction of the AC Forces</t>
  </si>
  <si>
    <t>Total DoD AC+RC [1000s, PB17 FYDP]</t>
  </si>
  <si>
    <t>Total DoD AC [1000s, PB17 FYDP]</t>
  </si>
  <si>
    <t>CRS</t>
  </si>
  <si>
    <t>CTR Average Strength Estimates</t>
  </si>
  <si>
    <t>CIV Average Strength Estimates</t>
  </si>
  <si>
    <t>Afghanistan CTR</t>
  </si>
  <si>
    <t>Iraq CTR</t>
  </si>
  <si>
    <t>Total OCO Mil Forces</t>
  </si>
  <si>
    <t>Total Forces</t>
  </si>
  <si>
    <t>O&amp;S</t>
  </si>
  <si>
    <t>fract total</t>
  </si>
  <si>
    <t>[real FY18 $M]</t>
  </si>
  <si>
    <t>TOTAL</t>
  </si>
  <si>
    <t xml:space="preserve">Military Construction </t>
  </si>
  <si>
    <t>Table 1-10 PB1998 Green Book</t>
  </si>
  <si>
    <t>pgdp_2019</t>
  </si>
  <si>
    <t>pgdp_D</t>
  </si>
  <si>
    <t>Budget Authority</t>
  </si>
  <si>
    <r>
      <rPr>
        <sz val="12"/>
        <rFont val="Calibri"/>
        <family val="2"/>
        <scheme val="minor"/>
      </rPr>
      <t>Operation
&amp; Maintenance</t>
    </r>
  </si>
  <si>
    <t>Offsetting Receipts</t>
  </si>
  <si>
    <t>DoD Total</t>
  </si>
  <si>
    <t>Outlays</t>
  </si>
  <si>
    <t>DoDTotal</t>
  </si>
  <si>
    <t>[nominal]</t>
  </si>
  <si>
    <t>.
.
.
.
.
.</t>
  </si>
  <si>
    <t>Forces Data [end strength]</t>
  </si>
  <si>
    <t>total investment</t>
  </si>
  <si>
    <t>FY_MAD_VARS_b180220e</t>
  </si>
  <si>
    <r>
      <rPr>
        <b/>
        <sz val="10"/>
        <rFont val="Calibri"/>
        <family val="2"/>
        <scheme val="minor"/>
      </rPr>
      <t>Total Real Growth</t>
    </r>
    <r>
      <rPr>
        <sz val="10"/>
        <rFont val="Calibri"/>
        <family val="2"/>
        <scheme val="minor"/>
      </rPr>
      <t xml:space="preserve">  ...............................................................</t>
    </r>
  </si>
  <si>
    <t>Org</t>
  </si>
  <si>
    <t>Budget</t>
  </si>
  <si>
    <t xml:space="preserve">Base  </t>
  </si>
  <si>
    <t xml:space="preserve">Global War on Terror1  </t>
  </si>
  <si>
    <t xml:space="preserve">Other Supplemental2  </t>
  </si>
  <si>
    <t xml:space="preserve">Global War on Terror3  </t>
  </si>
  <si>
    <t xml:space="preserve">Global War on Terror4  </t>
  </si>
  <si>
    <t xml:space="preserve">Global War on Terror5 6  </t>
  </si>
  <si>
    <t xml:space="preserve">Other Supplemental6  </t>
  </si>
  <si>
    <t xml:space="preserve">Global War on Terror7  </t>
  </si>
  <si>
    <t xml:space="preserve">Hurricane &amp; Tsunami Relief8  </t>
  </si>
  <si>
    <t xml:space="preserve">Global War on Terror9  </t>
  </si>
  <si>
    <t xml:space="preserve">Hurricane Relief10  </t>
  </si>
  <si>
    <t xml:space="preserve">Avian Flu Relief11  </t>
  </si>
  <si>
    <t xml:space="preserve">Global War on Terror12  </t>
  </si>
  <si>
    <t xml:space="preserve">Other Supplemental12  </t>
  </si>
  <si>
    <t xml:space="preserve">Global War on Terror13  </t>
  </si>
  <si>
    <t xml:space="preserve">Recovery Act14  </t>
  </si>
  <si>
    <t xml:space="preserve">Global War on Terror15  </t>
  </si>
  <si>
    <t xml:space="preserve">Overseas Contingency Ops16  </t>
  </si>
  <si>
    <t xml:space="preserve">Overseas Contingency Ops17  </t>
  </si>
  <si>
    <t xml:space="preserve">Haiti Earthquake18  </t>
  </si>
  <si>
    <t xml:space="preserve">Overseas Contingency Ops19  </t>
  </si>
  <si>
    <t xml:space="preserve">Overseas Contingency Ops20  </t>
  </si>
  <si>
    <t xml:space="preserve">Overseas Contingency Ops21  </t>
  </si>
  <si>
    <t xml:space="preserve">Hurricane Sandy22  </t>
  </si>
  <si>
    <t xml:space="preserve">Overseas Contingency Ops23  </t>
  </si>
  <si>
    <t xml:space="preserve">Iron Dome24  </t>
  </si>
  <si>
    <t xml:space="preserve">Overseas Contingency Ops25  </t>
  </si>
  <si>
    <t xml:space="preserve">Ebola Relief25  </t>
  </si>
  <si>
    <t xml:space="preserve">Overseas Contingency Ops26  </t>
  </si>
  <si>
    <t xml:space="preserve">Overseas Contingency Ops27  </t>
  </si>
  <si>
    <t xml:space="preserve">Overseas Contingency Ops28  </t>
  </si>
  <si>
    <t xml:space="preserve">Missile Defeat29  </t>
  </si>
  <si>
    <t xml:space="preserve">Overseas Contingency Ops30  </t>
  </si>
  <si>
    <t>[BA real $B]</t>
  </si>
  <si>
    <t>count:</t>
  </si>
  <si>
    <t>subtotal:</t>
  </si>
  <si>
    <t>1.  Public Law 107-38 (2001 Emergency Supplemental Appropriations Act for Recovery From and Response to Terrorist Attacks on the United States).</t>
  </si>
  <si>
    <t>2.  Public Laws 106-554 (Consolidated Appropriations Act, 2001) and 107-20 (Supplemental Appropriations Act, 2001).</t>
  </si>
  <si>
    <t>3.  Public Laws 107-117 (Dept of Defense and Emergency Supplemental Appropriations for Recovery from and Response to Terrorist Attacks on the United States Act, 2002), 107-206 (2002 Supplemental Appropriations Act for Further Recovery from and Response to Terrorist Attacks on the United States), and 107-38.</t>
  </si>
  <si>
    <t>4.  Public Laws 108-7 (Consolidated Appropriations Resolution, 2003) and 108-11 (Emergency Wartime Supplemental Appropriations Act, 2003).</t>
  </si>
  <si>
    <t>5.  $25B appropriated in FY 2004 (PL 108-287: Title IX Bridge) was for FY 2005 war-related costs.</t>
  </si>
  <si>
    <t>6.  Public Law 108-106 (Emergency Supplemental Appropriations Act for Defense and for the Reconstruction of Iraq and Afghanistan, 2004).</t>
  </si>
  <si>
    <t>7.  Public Law 109-13 (Emergency Supplemental Appropriations Act for Defense, the Global War on Terror, and Tsunami Relief, 2005).</t>
  </si>
  <si>
    <t>8.  Public Laws 109-13, 108-324 (Military Construction Appropriations and Emergency Hurricane Supplemental Appropriations Act, 2005), 109-61 (Emergency Supplemental Appropriations Act to Meet Immediate Needs Arising From the Consequences of Hurricane Katrina, 2005), and 109-62 (Second Emergency Supplemental Appropriations Act to Meet Immediate Needs Arising From the Consequences of Hurricane Katrina, 2005).</t>
  </si>
  <si>
    <t>9.  Public Laws 109-148 (Dept of Defense, Emergency Supplemental Appropriations to Address Hurricanes in the Gulf of Mexico, and Pandemic Influenza Act, 2006) and 109-234 (Emergency Supplemental Appropriations Act for Defense, the Global War on Terror, and Hurricane Recovery, 2006).</t>
  </si>
  <si>
    <t>10.  Public Laws 109-148 and 109-234.</t>
  </si>
  <si>
    <t>11.  Public Law 109-148.</t>
  </si>
  <si>
    <t>12.  Public Laws 109-289 (Dept of Defense Appropriations Act, 2007) and 110-28 (U.S. Troop Readiness, Veterans' Care, Katrina Recovery, and Iraq Accountability Appropriations Act, 2007).</t>
  </si>
  <si>
    <t>13.  Public Laws 110-116 (Dept of Defense Appropriations Act, 2008), 110-161 (Consolidated Appropriations Act, 2008), 110-252 (Supplemental Appropriations Act, 2008), and 110-92 (Joint Resolution).</t>
  </si>
  <si>
    <t>14.  Public Law 111-05 (The American Recovery and Reinvestment Act of 2009).</t>
  </si>
  <si>
    <t>15.  Public Law 110-252 (Supplemental Appropriations Act, 2008).</t>
  </si>
  <si>
    <t>16.  Public Law 111-032 (Supplemental Appropriations Act, 2009).</t>
  </si>
  <si>
    <t>17.  Public Laws 111-117 (Consolidated Appropriations Act, 2010), 111-118 (Dept of Defense Appropriations Act, 2010), and 111-212 (Supplemental Appropriations Act, 2010).</t>
  </si>
  <si>
    <t>18.  Public Law 111-212.</t>
  </si>
  <si>
    <t>19.  Public Law 112–10 (Department of Defense and Full-Year Continuing Appropriations Act, 2011).</t>
  </si>
  <si>
    <t>20.  Public Law 112-74 (Consolidated Appropriations Act, 2012).</t>
  </si>
  <si>
    <t>22.  Public Law 113-2 (Disaster Relief Appropriations).</t>
  </si>
  <si>
    <t>23.  Public Law 113-76 (Consolidated Appropriations Act, 2014).</t>
  </si>
  <si>
    <t>24.  Public Law 113-145 (Emergency Supplemental Appropriations Resolution, 2014).</t>
  </si>
  <si>
    <t>25.  Public Law 113-235 (Consolidated and Further Continuing Appropriations Act, 2015).</t>
  </si>
  <si>
    <t>26.  Public Law 114-113 (Consolidated Appropriations Act, 2016).</t>
  </si>
  <si>
    <t>27.  Public Law 115-31 (Consolidated Appropriations Act, 2017).</t>
  </si>
  <si>
    <t>28.  Public Law 115-96 (Further Additional Continuing Appropriations Act, 2018).</t>
  </si>
  <si>
    <t>29.  Public Law 115-96, Division B (Missile Defeat and Defense Enhancements).</t>
  </si>
  <si>
    <t>30.  Overseas Contingency Operations request proposed as part of the FY 2019 President's Budget submission.  Includes a technical amendment moving $20 billion OCO funding
to base funding.</t>
  </si>
  <si>
    <t>Non-Base Other</t>
  </si>
  <si>
    <t>Non-Base OCO/GWOT</t>
  </si>
  <si>
    <t>.
.
.</t>
  </si>
  <si>
    <t>Appropriated OCO [real $B]</t>
  </si>
  <si>
    <t>DoD Topline [real $B]</t>
  </si>
  <si>
    <t>[real, $ B]</t>
  </si>
  <si>
    <t>FY  CBO Constant Dollars</t>
  </si>
  <si>
    <t>PB19 Table 6-8:  DEPARTMENT OF DEFENSE BUDGET AUTHORITY BY PUBLIC LAW TITLE</t>
  </si>
  <si>
    <t>OCO to Base  .................................................</t>
  </si>
  <si>
    <t>Outyears Placeholder for OCO  ................................................</t>
  </si>
  <si>
    <t>Green Book Tab6-8</t>
  </si>
  <si>
    <t>Check</t>
  </si>
  <si>
    <t>Boots on the Ground (budget overview)</t>
  </si>
  <si>
    <t>Green Book Tab 6-8</t>
  </si>
  <si>
    <t>Total OCO</t>
  </si>
  <si>
    <t>2001-2019</t>
  </si>
  <si>
    <t>Frac non-base in total</t>
  </si>
  <si>
    <t>Frac other in non-base</t>
  </si>
  <si>
    <t>Total Current Dollars  ...............................................................</t>
  </si>
  <si>
    <t>Current Dollars (nomninal)</t>
  </si>
  <si>
    <t>constant dollars (real)</t>
  </si>
  <si>
    <t>base budget</t>
  </si>
  <si>
    <t>Total Constant Dollars  ...............................................................</t>
  </si>
  <si>
    <t>Current Dollars (nominal)</t>
  </si>
  <si>
    <t>Investment</t>
  </si>
  <si>
    <t>Investment Fraction</t>
  </si>
  <si>
    <t>Milcon Fraction</t>
  </si>
  <si>
    <t>Frac OCO</t>
  </si>
  <si>
    <t>Fraction OCO</t>
  </si>
  <si>
    <t>DoD Base-Budget Funding</t>
  </si>
  <si>
    <t>invest</t>
  </si>
  <si>
    <t>real $B</t>
  </si>
  <si>
    <t>total</t>
  </si>
  <si>
    <t>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</si>
</sst>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2" formatCode="_(&quot;$&quot;* #,##0_);_(&quot;$&quot;* \(#,##0\);_(&quot;$&quot;* &quot;-&quot;_);_(@_)"/>
    <numFmt numFmtId="44" formatCode="_(&quot;$&quot;* #,##0.00_);_(&quot;$&quot;* \(#,##0.00\);_(&quot;$&quot;* &quot;-&quot;??_);_(@_)"/>
    <numFmt numFmtId="43" formatCode="_(* #,##0.00_);_(* \(#,##0.00\);_(* &quot;-&quot;??_);_(@_)"/>
    <numFmt numFmtId="164" formatCode="0.0"/>
    <numFmt numFmtId="165" formatCode="0.000"/>
    <numFmt numFmtId="166" formatCode="#,##0.000"/>
    <numFmt numFmtId="167" formatCode="#,##0.0"/>
    <numFmt numFmtId="168" formatCode="_([$€-2]* #,##0.00_);_([$€-2]* \(#,##0.00\);_([$€-2]* &quot;-&quot;??_)"/>
    <numFmt numFmtId="169" formatCode="_(* #,##0_);_(* \(#,##0\);_(* &quot;-&quot;??_);_(@_)"/>
    <numFmt numFmtId="170" formatCode="#,##0\ ;\-#,##0\ ;"/>
    <numFmt numFmtId="171" formatCode="#,##0.0\ ;\-#,##0.0\ ;0.0\ "/>
    <numFmt numFmtId="172" formatCode="#,##0.000\ ;\-#,##0.000\ ;"/>
    <numFmt numFmtId="173" formatCode="[$-409]mmm\-yy;@"/>
    <numFmt numFmtId="174" formatCode="000\ 0000\ 0\ 0\ 000"/>
    <numFmt numFmtId="175" formatCode="\+#,##0.00\ ;[Red]\-#,##0.00\ ;\-"/>
    <numFmt numFmtId="176" formatCode="0.0000"/>
    <numFmt numFmtId="177" formatCode="#,##0.0\ ;\-#,##0.0\ ;"/>
  </numFmts>
  <fonts count="109">
    <font>
      <sz val="12"/>
      <color theme="1"/>
      <name val="Calibri"/>
      <family val="2"/>
    </font>
    <font>
      <sz val="12"/>
      <color theme="1"/>
      <name val="Calibri"/>
      <family val="2"/>
    </font>
    <font>
      <sz val="12"/>
      <color theme="1"/>
      <name val="Calibri"/>
      <family val="2"/>
    </font>
    <font>
      <b/>
      <sz val="12"/>
      <color theme="1"/>
      <name val="Calibri"/>
      <family val="2"/>
    </font>
    <font>
      <sz val="12"/>
      <name val="Times New Roman"/>
      <family val="1"/>
    </font>
    <font>
      <b/>
      <sz val="12"/>
      <name val="Calibri"/>
      <family val="2"/>
      <scheme val="minor"/>
    </font>
    <font>
      <sz val="9"/>
      <name val="Arial"/>
      <family val="2"/>
    </font>
    <font>
      <sz val="10"/>
      <name val="Calibri"/>
      <family val="2"/>
      <scheme val="minor"/>
    </font>
    <font>
      <sz val="11"/>
      <color theme="1"/>
      <name val="Calibri"/>
      <family val="2"/>
      <scheme val="minor"/>
    </font>
    <font>
      <b/>
      <sz val="11"/>
      <color theme="1"/>
      <name val="Calibri"/>
      <family val="2"/>
      <scheme val="minor"/>
    </font>
    <font>
      <sz val="10"/>
      <name val="Arial"/>
      <family val="2"/>
    </font>
    <font>
      <b/>
      <sz val="14"/>
      <color theme="1"/>
      <name val="Calibri"/>
      <family val="2"/>
    </font>
    <font>
      <sz val="12"/>
      <color theme="1"/>
      <name val="Calibri"/>
      <family val="2"/>
      <scheme val="minor"/>
    </font>
    <font>
      <sz val="10"/>
      <name val="Tahoma"/>
      <family val="2"/>
    </font>
    <font>
      <b/>
      <sz val="8"/>
      <color indexed="81"/>
      <name val="Tahoma"/>
      <family val="2"/>
    </font>
    <font>
      <sz val="8"/>
      <color indexed="81"/>
      <name val="Tahoma"/>
      <family val="2"/>
    </font>
    <font>
      <sz val="11"/>
      <color indexed="8"/>
      <name val="Calibri"/>
      <family val="2"/>
    </font>
    <font>
      <sz val="11"/>
      <color indexed="20"/>
      <name val="Calibri"/>
      <family val="2"/>
    </font>
    <font>
      <sz val="11"/>
      <color indexed="60"/>
      <name val="Calibri"/>
      <family val="2"/>
    </font>
    <font>
      <b/>
      <sz val="9"/>
      <color indexed="81"/>
      <name val="Tahoma"/>
      <family val="2"/>
    </font>
    <font>
      <sz val="9"/>
      <color indexed="81"/>
      <name val="Tahoma"/>
      <family val="2"/>
    </font>
    <font>
      <sz val="8"/>
      <color theme="1"/>
      <name val="Calibri"/>
      <family val="2"/>
    </font>
    <font>
      <sz val="8"/>
      <name val="Calibri"/>
      <family val="2"/>
    </font>
    <font>
      <b/>
      <sz val="18"/>
      <color theme="3"/>
      <name val="Calibri Light"/>
      <family val="2"/>
      <scheme val="major"/>
    </font>
    <font>
      <sz val="12"/>
      <name val="Calibri"/>
      <family val="2"/>
      <scheme val="minor"/>
    </font>
    <font>
      <b/>
      <sz val="14"/>
      <name val="Calibri"/>
      <family val="2"/>
      <scheme val="minor"/>
    </font>
    <font>
      <sz val="11"/>
      <color theme="1"/>
      <name val="Courier New"/>
      <family val="2"/>
    </font>
    <font>
      <sz val="11"/>
      <color indexed="9"/>
      <name val="Calibri"/>
      <family val="2"/>
    </font>
    <font>
      <sz val="11"/>
      <color theme="0"/>
      <name val="Calibri"/>
      <family val="2"/>
      <scheme val="minor"/>
    </font>
    <font>
      <sz val="11"/>
      <color theme="0"/>
      <name val="Courier New"/>
      <family val="2"/>
    </font>
    <font>
      <sz val="11"/>
      <color rgb="FF9C0006"/>
      <name val="Calibri"/>
      <family val="2"/>
      <scheme val="minor"/>
    </font>
    <font>
      <sz val="11"/>
      <color rgb="FF9C0006"/>
      <name val="Courier New"/>
      <family val="2"/>
    </font>
    <font>
      <b/>
      <sz val="11"/>
      <color indexed="52"/>
      <name val="Calibri"/>
      <family val="2"/>
    </font>
    <font>
      <b/>
      <sz val="11"/>
      <color rgb="FFFA7D00"/>
      <name val="Calibri"/>
      <family val="2"/>
      <scheme val="minor"/>
    </font>
    <font>
      <b/>
      <sz val="11"/>
      <color rgb="FFFA7D00"/>
      <name val="Courier New"/>
      <family val="2"/>
    </font>
    <font>
      <b/>
      <sz val="11"/>
      <color indexed="9"/>
      <name val="Calibri"/>
      <family val="2"/>
    </font>
    <font>
      <b/>
      <sz val="11"/>
      <color theme="0"/>
      <name val="Calibri"/>
      <family val="2"/>
      <scheme val="minor"/>
    </font>
    <font>
      <b/>
      <sz val="11"/>
      <color theme="0"/>
      <name val="Courier New"/>
      <family val="2"/>
    </font>
    <font>
      <i/>
      <sz val="11"/>
      <color indexed="23"/>
      <name val="Calibri"/>
      <family val="2"/>
    </font>
    <font>
      <i/>
      <sz val="11"/>
      <color rgb="FF7F7F7F"/>
      <name val="Calibri"/>
      <family val="2"/>
      <scheme val="minor"/>
    </font>
    <font>
      <i/>
      <sz val="11"/>
      <color rgb="FF7F7F7F"/>
      <name val="Courier New"/>
      <family val="2"/>
    </font>
    <font>
      <sz val="11"/>
      <color rgb="FF006100"/>
      <name val="Calibri"/>
      <family val="2"/>
      <scheme val="minor"/>
    </font>
    <font>
      <sz val="11"/>
      <color indexed="17"/>
      <name val="Calibri"/>
      <family val="2"/>
    </font>
    <font>
      <sz val="11"/>
      <color rgb="FF006100"/>
      <name val="Courier New"/>
      <family val="2"/>
    </font>
    <font>
      <b/>
      <sz val="15"/>
      <color indexed="56"/>
      <name val="Calibri"/>
      <family val="2"/>
    </font>
    <font>
      <b/>
      <sz val="15"/>
      <color theme="3"/>
      <name val="Calibri"/>
      <family val="2"/>
      <scheme val="minor"/>
    </font>
    <font>
      <b/>
      <sz val="15"/>
      <color theme="3"/>
      <name val="Courier New"/>
      <family val="2"/>
    </font>
    <font>
      <b/>
      <sz val="13"/>
      <color indexed="56"/>
      <name val="Calibri"/>
      <family val="2"/>
    </font>
    <font>
      <b/>
      <sz val="13"/>
      <color theme="3"/>
      <name val="Calibri"/>
      <family val="2"/>
      <scheme val="minor"/>
    </font>
    <font>
      <b/>
      <sz val="13"/>
      <color theme="3"/>
      <name val="Courier New"/>
      <family val="2"/>
    </font>
    <font>
      <b/>
      <sz val="11"/>
      <color indexed="56"/>
      <name val="Calibri"/>
      <family val="2"/>
    </font>
    <font>
      <b/>
      <sz val="11"/>
      <color theme="3"/>
      <name val="Calibri"/>
      <family val="2"/>
      <scheme val="minor"/>
    </font>
    <font>
      <b/>
      <sz val="11"/>
      <color theme="3"/>
      <name val="Courier New"/>
      <family val="2"/>
    </font>
    <font>
      <sz val="10"/>
      <color indexed="12"/>
      <name val="MS Sans Serif"/>
      <family val="2"/>
    </font>
    <font>
      <sz val="11"/>
      <color indexed="62"/>
      <name val="Calibri"/>
      <family val="2"/>
    </font>
    <font>
      <sz val="11"/>
      <color rgb="FF3F3F76"/>
      <name val="Calibri"/>
      <family val="2"/>
      <scheme val="minor"/>
    </font>
    <font>
      <sz val="11"/>
      <color rgb="FF3F3F76"/>
      <name val="Courier New"/>
      <family val="2"/>
    </font>
    <font>
      <sz val="11"/>
      <color indexed="52"/>
      <name val="Calibri"/>
      <family val="2"/>
    </font>
    <font>
      <sz val="11"/>
      <color rgb="FFFA7D00"/>
      <name val="Calibri"/>
      <family val="2"/>
      <scheme val="minor"/>
    </font>
    <font>
      <sz val="11"/>
      <color rgb="FFFA7D00"/>
      <name val="Courier New"/>
      <family val="2"/>
    </font>
    <font>
      <sz val="11"/>
      <color rgb="FF9C6500"/>
      <name val="Calibri"/>
      <family val="2"/>
      <scheme val="minor"/>
    </font>
    <font>
      <sz val="11"/>
      <color rgb="FF9C6500"/>
      <name val="Courier New"/>
      <family val="2"/>
    </font>
    <font>
      <sz val="10"/>
      <name val="MS Sans Serif"/>
      <family val="2"/>
    </font>
    <font>
      <b/>
      <sz val="11"/>
      <color indexed="63"/>
      <name val="Calibri"/>
      <family val="2"/>
    </font>
    <font>
      <b/>
      <sz val="11"/>
      <color rgb="FF3F3F3F"/>
      <name val="Calibri"/>
      <family val="2"/>
      <scheme val="minor"/>
    </font>
    <font>
      <b/>
      <sz val="11"/>
      <color rgb="FF3F3F3F"/>
      <name val="Courier New"/>
      <family val="2"/>
    </font>
    <font>
      <b/>
      <sz val="18"/>
      <color indexed="56"/>
      <name val="Cambria"/>
      <family val="2"/>
    </font>
    <font>
      <b/>
      <sz val="11"/>
      <color indexed="8"/>
      <name val="Calibri"/>
      <family val="2"/>
    </font>
    <font>
      <b/>
      <sz val="11"/>
      <color theme="1"/>
      <name val="Courier New"/>
      <family val="2"/>
    </font>
    <font>
      <sz val="11"/>
      <color indexed="10"/>
      <name val="Calibri"/>
      <family val="2"/>
    </font>
    <font>
      <sz val="11"/>
      <color rgb="FFFF0000"/>
      <name val="Calibri"/>
      <family val="2"/>
      <scheme val="minor"/>
    </font>
    <font>
      <sz val="11"/>
      <color rgb="FFFF0000"/>
      <name val="Courier New"/>
      <family val="2"/>
    </font>
    <font>
      <sz val="14"/>
      <color rgb="FF006100"/>
      <name val="Calibri"/>
      <family val="2"/>
      <scheme val="minor"/>
    </font>
    <font>
      <sz val="14"/>
      <color theme="1"/>
      <name val="Calibri"/>
      <family val="2"/>
    </font>
    <font>
      <b/>
      <sz val="10"/>
      <name val="Calibri"/>
      <family val="2"/>
      <scheme val="minor"/>
    </font>
    <font>
      <u/>
      <sz val="12"/>
      <color theme="11"/>
      <name val="Calibri"/>
      <family val="2"/>
    </font>
    <font>
      <sz val="10"/>
      <color indexed="81"/>
      <name val="Calibri"/>
      <family val="2"/>
    </font>
    <font>
      <b/>
      <sz val="10"/>
      <color indexed="81"/>
      <name val="Calibri"/>
      <family val="2"/>
    </font>
    <font>
      <b/>
      <sz val="10"/>
      <color theme="0"/>
      <name val="Arial"/>
      <family val="2"/>
    </font>
    <font>
      <b/>
      <u/>
      <sz val="10"/>
      <name val="Calibri"/>
      <family val="2"/>
      <scheme val="minor"/>
    </font>
    <font>
      <b/>
      <sz val="14"/>
      <color theme="1"/>
      <name val="Calibri"/>
      <family val="2"/>
      <scheme val="minor"/>
    </font>
    <font>
      <u/>
      <sz val="12"/>
      <color theme="10"/>
      <name val="Arial"/>
      <family val="2"/>
    </font>
    <font>
      <u/>
      <sz val="10"/>
      <color indexed="12"/>
      <name val="Arial"/>
      <family val="2"/>
    </font>
    <font>
      <u/>
      <sz val="10"/>
      <color theme="10"/>
      <name val="Arial"/>
      <family val="2"/>
    </font>
    <font>
      <sz val="12"/>
      <name val="Arial"/>
      <family val="2"/>
    </font>
    <font>
      <u/>
      <sz val="12"/>
      <color theme="10"/>
      <name val="Calibri"/>
      <family val="2"/>
    </font>
    <font>
      <sz val="8.5"/>
      <name val="Calibri"/>
      <family val="2"/>
      <scheme val="minor"/>
    </font>
    <font>
      <sz val="9"/>
      <name val="Calibri"/>
      <family val="2"/>
      <scheme val="minor"/>
    </font>
    <font>
      <b/>
      <sz val="16"/>
      <color theme="1"/>
      <name val="Calibri"/>
      <family val="2"/>
    </font>
    <font>
      <sz val="12"/>
      <color rgb="FF000000"/>
      <name val="Calibri"/>
      <family val="2"/>
    </font>
    <font>
      <b/>
      <sz val="10"/>
      <color theme="1"/>
      <name val="Calibri"/>
      <family val="2"/>
      <scheme val="minor"/>
    </font>
    <font>
      <i/>
      <sz val="10"/>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b/>
      <sz val="12"/>
      <color theme="1"/>
      <name val="Calibri"/>
      <family val="2"/>
      <scheme val="minor"/>
    </font>
    <font>
      <sz val="12"/>
      <color rgb="FFC00000"/>
      <name val="Calibri"/>
      <family val="2"/>
    </font>
    <font>
      <b/>
      <sz val="14"/>
      <color rgb="FF000000"/>
      <name val="Calibri"/>
      <family val="2"/>
    </font>
    <font>
      <i/>
      <sz val="10"/>
      <color rgb="FF000000"/>
      <name val="Calibri"/>
      <family val="2"/>
    </font>
    <font>
      <sz val="10"/>
      <color rgb="FF000000"/>
      <name val="Calibri"/>
      <family val="2"/>
    </font>
    <font>
      <b/>
      <sz val="18"/>
      <color theme="1"/>
      <name val="Calibri"/>
      <family val="2"/>
      <scheme val="minor"/>
    </font>
    <font>
      <u/>
      <sz val="16"/>
      <name val="Calibri"/>
      <family val="2"/>
      <scheme val="minor"/>
    </font>
    <font>
      <sz val="16"/>
      <color rgb="FF000000"/>
      <name val="Calibri"/>
      <family val="2"/>
      <scheme val="minor"/>
    </font>
    <font>
      <sz val="16"/>
      <color theme="1"/>
      <name val="Calibri"/>
      <family val="2"/>
      <scheme val="minor"/>
    </font>
    <font>
      <sz val="16"/>
      <name val="Calibri"/>
      <family val="2"/>
      <scheme val="minor"/>
    </font>
    <font>
      <b/>
      <sz val="10"/>
      <color rgb="FF000000"/>
      <name val="Calibri"/>
      <family val="2"/>
    </font>
    <font>
      <sz val="10"/>
      <color rgb="FF000000"/>
      <name val="Tahoma"/>
      <family val="2"/>
    </font>
    <font>
      <b/>
      <sz val="10"/>
      <color rgb="FF000000"/>
      <name val="Tahoma"/>
      <family val="2"/>
    </font>
    <font>
      <sz val="8"/>
      <name val="Arial"/>
      <family val="2"/>
    </font>
  </fonts>
  <fills count="70">
    <fill>
      <patternFill patternType="none"/>
    </fill>
    <fill>
      <patternFill patternType="gray125"/>
    </fill>
    <fill>
      <patternFill patternType="solid">
        <fgColor indexed="42"/>
        <bgColor indexed="64"/>
      </patternFill>
    </fill>
    <fill>
      <patternFill patternType="solid">
        <fgColor indexed="45"/>
      </patternFill>
    </fill>
    <fill>
      <patternFill patternType="solid">
        <fgColor indexed="43"/>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theme="9" tint="0.79998168889431442"/>
        <bgColor indexed="64"/>
      </patternFill>
    </fill>
    <fill>
      <patternFill patternType="solid">
        <fgColor indexed="9"/>
        <bgColor indexed="9"/>
      </patternFill>
    </fill>
    <fill>
      <patternFill patternType="solid">
        <fgColor theme="3" tint="-0.249977111117893"/>
        <bgColor indexed="64"/>
      </patternFill>
    </fill>
    <fill>
      <patternFill patternType="solid">
        <fgColor theme="8" tint="0.59999389629810485"/>
        <bgColor indexed="64"/>
      </patternFill>
    </fill>
    <fill>
      <patternFill patternType="solid">
        <fgColor rgb="FFE2EFDA"/>
        <bgColor rgb="FF000000"/>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63">
    <border>
      <left/>
      <right/>
      <top/>
      <bottom/>
      <diagonal/>
    </border>
    <border>
      <left style="hair">
        <color rgb="FF000000"/>
      </left>
      <right/>
      <top/>
      <bottom/>
      <diagonal/>
    </border>
    <border>
      <left style="hair">
        <color rgb="FF000000"/>
      </left>
      <right style="hair">
        <color rgb="FF000000"/>
      </right>
      <top/>
      <bottom/>
      <diagonal/>
    </border>
    <border>
      <left/>
      <right style="hair">
        <color rgb="FF000000"/>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theme="1"/>
      </top>
      <bottom/>
      <diagonal/>
    </border>
    <border>
      <left style="hair">
        <color rgb="FF000000"/>
      </left>
      <right style="hair">
        <color rgb="FF000000"/>
      </right>
      <top style="hair">
        <color theme="1"/>
      </top>
      <bottom/>
      <diagonal/>
    </border>
    <border>
      <left style="hair">
        <color theme="1" tint="0.34998626667073579"/>
      </left>
      <right/>
      <top style="hair">
        <color theme="1"/>
      </top>
      <bottom/>
      <diagonal/>
    </border>
    <border>
      <left/>
      <right/>
      <top style="hair">
        <color theme="1"/>
      </top>
      <bottom style="hair">
        <color theme="1"/>
      </bottom>
      <diagonal/>
    </border>
    <border>
      <left style="hair">
        <color theme="1" tint="0.34998626667073579"/>
      </left>
      <right style="hair">
        <color theme="1" tint="0.34998626667073579"/>
      </right>
      <top/>
      <bottom/>
      <diagonal/>
    </border>
    <border>
      <left style="hair">
        <color theme="1" tint="0.34998626667073579"/>
      </left>
      <right/>
      <top/>
      <bottom/>
      <diagonal/>
    </border>
    <border>
      <left style="hair">
        <color rgb="FF000000"/>
      </left>
      <right style="hair">
        <color theme="1" tint="0.34998626667073579"/>
      </right>
      <top/>
      <bottom/>
      <diagonal/>
    </border>
    <border>
      <left/>
      <right/>
      <top/>
      <bottom style="hair">
        <color rgb="FF000000"/>
      </bottom>
      <diagonal/>
    </border>
    <border>
      <left style="hair">
        <color rgb="FF000000"/>
      </left>
      <right style="hair">
        <color theme="1" tint="0.34998626667073579"/>
      </right>
      <top style="hair">
        <color rgb="FF000000"/>
      </top>
      <bottom style="hair">
        <color rgb="FF000000"/>
      </bottom>
      <diagonal/>
    </border>
    <border>
      <left/>
      <right/>
      <top style="hair">
        <color rgb="FF000000"/>
      </top>
      <bottom style="hair">
        <color rgb="FF000000"/>
      </bottom>
      <diagonal/>
    </border>
    <border>
      <left style="hair">
        <color theme="1" tint="0.34998626667073579"/>
      </left>
      <right style="hair">
        <color theme="1" tint="0.34998626667073579"/>
      </right>
      <top style="hair">
        <color rgb="FF000000"/>
      </top>
      <bottom style="hair">
        <color rgb="FF000000"/>
      </bottom>
      <diagonal/>
    </border>
    <border>
      <left style="hair">
        <color theme="1" tint="0.34998626667073579"/>
      </left>
      <right/>
      <top style="hair">
        <color rgb="FF000000"/>
      </top>
      <bottom style="hair">
        <color rgb="FF000000"/>
      </bottom>
      <diagonal/>
    </border>
    <border>
      <left/>
      <right/>
      <top style="hair">
        <color rgb="FF000000"/>
      </top>
      <bottom style="hair">
        <color theme="1"/>
      </bottom>
      <diagonal/>
    </border>
    <border>
      <left/>
      <right/>
      <top style="thin">
        <color theme="4" tint="0.399975585192419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hair">
        <color theme="1" tint="0.34998626667073579"/>
      </right>
      <top style="hair">
        <color rgb="FF000000"/>
      </top>
      <bottom style="hair">
        <color rgb="FF000000"/>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theme="1"/>
      </left>
      <right style="hair">
        <color theme="1"/>
      </right>
      <top style="hair">
        <color theme="1"/>
      </top>
      <bottom/>
      <diagonal/>
    </border>
    <border>
      <left style="hair">
        <color theme="1"/>
      </left>
      <right/>
      <top style="hair">
        <color theme="1"/>
      </top>
      <bottom/>
      <diagonal/>
    </border>
    <border>
      <left style="hair">
        <color theme="1"/>
      </left>
      <right style="hair">
        <color theme="1"/>
      </right>
      <top/>
      <bottom/>
      <diagonal/>
    </border>
    <border>
      <left style="hair">
        <color theme="1"/>
      </left>
      <right/>
      <top/>
      <bottom/>
      <diagonal/>
    </border>
    <border>
      <left style="hair">
        <color theme="1"/>
      </left>
      <right style="hair">
        <color theme="1"/>
      </right>
      <top/>
      <bottom style="hair">
        <color theme="1"/>
      </bottom>
      <diagonal/>
    </border>
    <border>
      <left style="hair">
        <color theme="1"/>
      </left>
      <right/>
      <top/>
      <bottom style="hair">
        <color theme="1"/>
      </bottom>
      <diagonal/>
    </border>
    <border>
      <left/>
      <right/>
      <top/>
      <bottom style="hair">
        <color theme="1"/>
      </bottom>
      <diagonal/>
    </border>
    <border>
      <left style="hair">
        <color theme="1"/>
      </left>
      <right style="hair">
        <color theme="1"/>
      </right>
      <top style="hair">
        <color rgb="FF000000"/>
      </top>
      <bottom style="hair">
        <color rgb="FF000000"/>
      </bottom>
      <diagonal/>
    </border>
    <border>
      <left style="hair">
        <color theme="1"/>
      </left>
      <right/>
      <top style="hair">
        <color rgb="FF000000"/>
      </top>
      <bottom style="hair">
        <color rgb="FF000000"/>
      </bottom>
      <diagonal/>
    </border>
    <border>
      <left style="medium">
        <color indexed="64"/>
      </left>
      <right/>
      <top style="medium">
        <color indexed="64"/>
      </top>
      <bottom style="medium">
        <color indexed="64"/>
      </bottom>
      <diagonal/>
    </border>
    <border>
      <left style="hair">
        <color theme="1" tint="0.34998626667073579"/>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hair">
        <color theme="1"/>
      </right>
      <top/>
      <bottom/>
      <diagonal/>
    </border>
  </borders>
  <cellStyleXfs count="481">
    <xf numFmtId="0" fontId="0" fillId="0" borderId="0"/>
    <xf numFmtId="0" fontId="4" fillId="0" borderId="0"/>
    <xf numFmtId="0" fontId="8"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0" fontId="13" fillId="0" borderId="0"/>
    <xf numFmtId="0" fontId="17" fillId="3" borderId="0" applyNumberFormat="0" applyBorder="0" applyAlignment="0" applyProtection="0"/>
    <xf numFmtId="0" fontId="18" fillId="4" borderId="0" applyNumberFormat="0" applyBorder="0" applyAlignment="0" applyProtection="0"/>
    <xf numFmtId="0" fontId="4" fillId="0" borderId="0"/>
    <xf numFmtId="0" fontId="16" fillId="37" borderId="0" applyNumberFormat="0" applyBorder="0" applyAlignment="0" applyProtection="0"/>
    <xf numFmtId="0" fontId="16" fillId="37" borderId="0" applyNumberFormat="0" applyBorder="0" applyAlignment="0" applyProtection="0"/>
    <xf numFmtId="0" fontId="8" fillId="13" borderId="0" applyNumberFormat="0" applyBorder="0" applyAlignment="0" applyProtection="0"/>
    <xf numFmtId="0" fontId="26" fillId="1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8" fillId="17" borderId="0" applyNumberFormat="0" applyBorder="0" applyAlignment="0" applyProtection="0"/>
    <xf numFmtId="0" fontId="26" fillId="17"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8" fillId="21" borderId="0" applyNumberFormat="0" applyBorder="0" applyAlignment="0" applyProtection="0"/>
    <xf numFmtId="0" fontId="26" fillId="21"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8" fillId="25" borderId="0" applyNumberFormat="0" applyBorder="0" applyAlignment="0" applyProtection="0"/>
    <xf numFmtId="0" fontId="26" fillId="25"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8" fillId="29" borderId="0" applyNumberFormat="0" applyBorder="0" applyAlignment="0" applyProtection="0"/>
    <xf numFmtId="0" fontId="26" fillId="29"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8" fillId="33" borderId="0" applyNumberFormat="0" applyBorder="0" applyAlignment="0" applyProtection="0"/>
    <xf numFmtId="0" fontId="26" fillId="33"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8" fillId="14" borderId="0" applyNumberFormat="0" applyBorder="0" applyAlignment="0" applyProtection="0"/>
    <xf numFmtId="0" fontId="26" fillId="14" borderId="0" applyNumberFormat="0" applyBorder="0" applyAlignment="0" applyProtection="0"/>
    <xf numFmtId="0" fontId="16" fillId="43" borderId="0" applyNumberFormat="0" applyBorder="0" applyAlignment="0" applyProtection="0"/>
    <xf numFmtId="0" fontId="16" fillId="43" borderId="0" applyNumberFormat="0" applyBorder="0" applyAlignment="0" applyProtection="0"/>
    <xf numFmtId="0" fontId="8" fillId="18" borderId="0" applyNumberFormat="0" applyBorder="0" applyAlignment="0" applyProtection="0"/>
    <xf numFmtId="0" fontId="26" fillId="18"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8" fillId="22" borderId="0" applyNumberFormat="0" applyBorder="0" applyAlignment="0" applyProtection="0"/>
    <xf numFmtId="0" fontId="26" fillId="22" borderId="0" applyNumberFormat="0" applyBorder="0" applyAlignment="0" applyProtection="0"/>
    <xf numFmtId="0" fontId="16" fillId="39" borderId="0" applyNumberFormat="0" applyBorder="0" applyAlignment="0" applyProtection="0"/>
    <xf numFmtId="0" fontId="16" fillId="39" borderId="0" applyNumberFormat="0" applyBorder="0" applyAlignment="0" applyProtection="0"/>
    <xf numFmtId="0" fontId="8" fillId="26" borderId="0" applyNumberFormat="0" applyBorder="0" applyAlignment="0" applyProtection="0"/>
    <xf numFmtId="0" fontId="26" fillId="26"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8" fillId="30" borderId="0" applyNumberFormat="0" applyBorder="0" applyAlignment="0" applyProtection="0"/>
    <xf numFmtId="0" fontId="26" fillId="30"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8" fillId="34" borderId="0" applyNumberFormat="0" applyBorder="0" applyAlignment="0" applyProtection="0"/>
    <xf numFmtId="0" fontId="26" fillId="34"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8" fillId="15" borderId="0" applyNumberFormat="0" applyBorder="0" applyAlignment="0" applyProtection="0"/>
    <xf numFmtId="0" fontId="29" fillId="15"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8" fillId="19" borderId="0" applyNumberFormat="0" applyBorder="0" applyAlignment="0" applyProtection="0"/>
    <xf numFmtId="0" fontId="29" fillId="19"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8" fillId="23" borderId="0" applyNumberFormat="0" applyBorder="0" applyAlignment="0" applyProtection="0"/>
    <xf numFmtId="0" fontId="29" fillId="23"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8" fillId="27" borderId="0" applyNumberFormat="0" applyBorder="0" applyAlignment="0" applyProtection="0"/>
    <xf numFmtId="0" fontId="29" fillId="2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8" fillId="31" borderId="0" applyNumberFormat="0" applyBorder="0" applyAlignment="0" applyProtection="0"/>
    <xf numFmtId="0" fontId="29" fillId="31"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8" fillId="35" borderId="0" applyNumberFormat="0" applyBorder="0" applyAlignment="0" applyProtection="0"/>
    <xf numFmtId="0" fontId="29" fillId="35"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8" fillId="12" borderId="0" applyNumberFormat="0" applyBorder="0" applyAlignment="0" applyProtection="0"/>
    <xf numFmtId="0" fontId="29" fillId="12"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8" fillId="16" borderId="0" applyNumberFormat="0" applyBorder="0" applyAlignment="0" applyProtection="0"/>
    <xf numFmtId="0" fontId="29" fillId="16"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8" fillId="20" borderId="0" applyNumberFormat="0" applyBorder="0" applyAlignment="0" applyProtection="0"/>
    <xf numFmtId="0" fontId="29" fillId="20"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8" fillId="24" borderId="0" applyNumberFormat="0" applyBorder="0" applyAlignment="0" applyProtection="0"/>
    <xf numFmtId="0" fontId="29" fillId="24"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8" fillId="28" borderId="0" applyNumberFormat="0" applyBorder="0" applyAlignment="0" applyProtection="0"/>
    <xf numFmtId="0" fontId="29" fillId="28" borderId="0" applyNumberFormat="0" applyBorder="0" applyAlignment="0" applyProtection="0"/>
    <xf numFmtId="0" fontId="27" fillId="53" borderId="0" applyNumberFormat="0" applyBorder="0" applyAlignment="0" applyProtection="0"/>
    <xf numFmtId="0" fontId="27" fillId="53" borderId="0" applyNumberFormat="0" applyBorder="0" applyAlignment="0" applyProtection="0"/>
    <xf numFmtId="0" fontId="28" fillId="32" borderId="0" applyNumberFormat="0" applyBorder="0" applyAlignment="0" applyProtection="0"/>
    <xf numFmtId="0" fontId="29" fillId="32" borderId="0" applyNumberFormat="0" applyBorder="0" applyAlignment="0" applyProtection="0"/>
    <xf numFmtId="0" fontId="17" fillId="3" borderId="0" applyNumberFormat="0" applyBorder="0" applyAlignment="0" applyProtection="0"/>
    <xf numFmtId="0" fontId="30" fillId="6" borderId="0" applyNumberFormat="0" applyBorder="0" applyAlignment="0" applyProtection="0"/>
    <xf numFmtId="0" fontId="31" fillId="6" borderId="0" applyNumberFormat="0" applyBorder="0" applyAlignment="0" applyProtection="0"/>
    <xf numFmtId="0" fontId="32" fillId="54" borderId="15" applyNumberFormat="0" applyAlignment="0" applyProtection="0"/>
    <xf numFmtId="0" fontId="32" fillId="54" borderId="15" applyNumberFormat="0" applyAlignment="0" applyProtection="0"/>
    <xf numFmtId="0" fontId="33" fillId="9" borderId="9" applyNumberFormat="0" applyAlignment="0" applyProtection="0"/>
    <xf numFmtId="0" fontId="34" fillId="9" borderId="9" applyNumberFormat="0" applyAlignment="0" applyProtection="0"/>
    <xf numFmtId="0" fontId="35" fillId="55" borderId="16" applyNumberFormat="0" applyAlignment="0" applyProtection="0"/>
    <xf numFmtId="0" fontId="35" fillId="55" borderId="16" applyNumberFormat="0" applyAlignment="0" applyProtection="0"/>
    <xf numFmtId="0" fontId="36" fillId="10" borderId="12" applyNumberFormat="0" applyAlignment="0" applyProtection="0"/>
    <xf numFmtId="0" fontId="37" fillId="10" borderId="12" applyNumberFormat="0" applyAlignment="0" applyProtection="0"/>
    <xf numFmtId="43" fontId="10" fillId="0" borderId="0" applyFont="0" applyFill="0" applyBorder="0" applyAlignment="0" applyProtection="0"/>
    <xf numFmtId="43" fontId="4"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6" fillId="0" borderId="0" applyFont="0" applyFill="0" applyBorder="0" applyAlignment="0" applyProtection="0"/>
    <xf numFmtId="43" fontId="8" fillId="0" borderId="0" applyFont="0" applyFill="0" applyBorder="0" applyAlignment="0" applyProtection="0"/>
    <xf numFmtId="168" fontId="10"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5" borderId="0" applyNumberFormat="0" applyBorder="0" applyAlignment="0" applyProtection="0"/>
    <xf numFmtId="0" fontId="42" fillId="38" borderId="0" applyNumberFormat="0" applyBorder="0" applyAlignment="0" applyProtection="0"/>
    <xf numFmtId="0" fontId="41" fillId="5" borderId="0" applyNumberFormat="0" applyBorder="0" applyAlignment="0" applyProtection="0"/>
    <xf numFmtId="0" fontId="43" fillId="5" borderId="0" applyNumberFormat="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6" applyNumberFormat="0" applyFill="0" applyAlignment="0" applyProtection="0"/>
    <xf numFmtId="0" fontId="46" fillId="0" borderId="6"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7" applyNumberFormat="0" applyFill="0" applyAlignment="0" applyProtection="0"/>
    <xf numFmtId="0" fontId="49" fillId="0" borderId="7" applyNumberFormat="0" applyFill="0" applyAlignment="0" applyProtection="0"/>
    <xf numFmtId="0" fontId="50" fillId="0" borderId="19" applyNumberFormat="0" applyFill="0" applyAlignment="0" applyProtection="0"/>
    <xf numFmtId="0" fontId="50" fillId="0" borderId="19" applyNumberFormat="0" applyFill="0" applyAlignment="0" applyProtection="0"/>
    <xf numFmtId="0" fontId="51" fillId="0" borderId="8" applyNumberFormat="0" applyFill="0" applyAlignment="0" applyProtection="0"/>
    <xf numFmtId="0" fontId="52" fillId="0" borderId="8"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41" borderId="15" applyNumberFormat="0" applyAlignment="0" applyProtection="0"/>
    <xf numFmtId="0" fontId="54" fillId="41" borderId="15" applyNumberFormat="0" applyAlignment="0" applyProtection="0"/>
    <xf numFmtId="0" fontId="55" fillId="8" borderId="9" applyNumberFormat="0" applyAlignment="0" applyProtection="0"/>
    <xf numFmtId="0" fontId="56" fillId="8" borderId="9" applyNumberFormat="0" applyAlignment="0" applyProtection="0"/>
    <xf numFmtId="0" fontId="57" fillId="0" borderId="20" applyNumberFormat="0" applyFill="0" applyAlignment="0" applyProtection="0"/>
    <xf numFmtId="0" fontId="57" fillId="0" borderId="20" applyNumberFormat="0" applyFill="0" applyAlignment="0" applyProtection="0"/>
    <xf numFmtId="0" fontId="58" fillId="0" borderId="11" applyNumberFormat="0" applyFill="0" applyAlignment="0" applyProtection="0"/>
    <xf numFmtId="0" fontId="59" fillId="0" borderId="11" applyNumberFormat="0" applyFill="0" applyAlignment="0" applyProtection="0"/>
    <xf numFmtId="0" fontId="18" fillId="4" borderId="0" applyNumberFormat="0" applyBorder="0" applyAlignment="0" applyProtection="0"/>
    <xf numFmtId="0" fontId="60" fillId="7" borderId="0" applyNumberFormat="0" applyBorder="0" applyAlignment="0" applyProtection="0"/>
    <xf numFmtId="0" fontId="61" fillId="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26"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10" fillId="0" borderId="0"/>
    <xf numFmtId="0" fontId="10" fillId="0" borderId="0"/>
    <xf numFmtId="0" fontId="10" fillId="0" borderId="0"/>
    <xf numFmtId="0" fontId="10" fillId="0" borderId="0"/>
    <xf numFmtId="0" fontId="10" fillId="0" borderId="0"/>
    <xf numFmtId="0" fontId="62" fillId="0" borderId="0"/>
    <xf numFmtId="0" fontId="8" fillId="0" borderId="0"/>
    <xf numFmtId="0" fontId="8" fillId="0" borderId="0"/>
    <xf numFmtId="0" fontId="8" fillId="0" borderId="0"/>
    <xf numFmtId="0" fontId="8" fillId="0" borderId="0"/>
    <xf numFmtId="0" fontId="2" fillId="0" borderId="0"/>
    <xf numFmtId="0" fontId="4" fillId="0" borderId="0"/>
    <xf numFmtId="0" fontId="8"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62" fillId="56" borderId="5" applyNumberFormat="0" applyFont="0" applyAlignment="0" applyProtection="0"/>
    <xf numFmtId="0" fontId="62" fillId="56" borderId="5" applyNumberFormat="0" applyFont="0" applyAlignment="0" applyProtection="0"/>
    <xf numFmtId="0" fontId="8" fillId="11" borderId="13" applyNumberFormat="0" applyFont="0" applyAlignment="0" applyProtection="0"/>
    <xf numFmtId="0" fontId="26" fillId="11" borderId="13" applyNumberFormat="0" applyFont="0" applyAlignment="0" applyProtection="0"/>
    <xf numFmtId="0" fontId="63" fillId="54" borderId="21" applyNumberFormat="0" applyAlignment="0" applyProtection="0"/>
    <xf numFmtId="0" fontId="63" fillId="54" borderId="21" applyNumberFormat="0" applyAlignment="0" applyProtection="0"/>
    <xf numFmtId="0" fontId="64" fillId="9" borderId="10" applyNumberFormat="0" applyAlignment="0" applyProtection="0"/>
    <xf numFmtId="0" fontId="65" fillId="9" borderId="10" applyNumberFormat="0" applyAlignment="0" applyProtection="0"/>
    <xf numFmtId="9" fontId="10"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3" fillId="0" borderId="0" applyNumberFormat="0" applyFill="0" applyBorder="0" applyAlignment="0" applyProtection="0"/>
    <xf numFmtId="0" fontId="67" fillId="0" borderId="22" applyNumberFormat="0" applyFill="0" applyAlignment="0" applyProtection="0"/>
    <xf numFmtId="0" fontId="67" fillId="0" borderId="22" applyNumberFormat="0" applyFill="0" applyAlignment="0" applyProtection="0"/>
    <xf numFmtId="0" fontId="9" fillId="0" borderId="14" applyNumberFormat="0" applyFill="0" applyAlignment="0" applyProtection="0"/>
    <xf numFmtId="0" fontId="68" fillId="0" borderId="14" applyNumberFormat="0" applyFill="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43" fontId="8" fillId="0" borderId="0" applyFont="0" applyFill="0" applyBorder="0" applyAlignment="0" applyProtection="0"/>
    <xf numFmtId="0" fontId="75" fillId="0" borderId="0" applyNumberFormat="0" applyFill="0" applyBorder="0" applyAlignment="0" applyProtection="0"/>
    <xf numFmtId="0" fontId="10" fillId="0" borderId="0"/>
    <xf numFmtId="3" fontId="10" fillId="0" borderId="0"/>
    <xf numFmtId="3" fontId="10" fillId="0" borderId="0"/>
    <xf numFmtId="0" fontId="10" fillId="58" borderId="0"/>
    <xf numFmtId="0" fontId="10" fillId="58" borderId="0"/>
    <xf numFmtId="42" fontId="10" fillId="0" borderId="0"/>
    <xf numFmtId="42" fontId="10" fillId="0" borderId="0"/>
    <xf numFmtId="0" fontId="10" fillId="58" borderId="0"/>
    <xf numFmtId="0" fontId="10" fillId="58" borderId="0"/>
    <xf numFmtId="2" fontId="10" fillId="58" borderId="0"/>
    <xf numFmtId="2"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0" fontId="10" fillId="58"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0"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alignment vertical="top"/>
      <protection locked="0"/>
    </xf>
    <xf numFmtId="0" fontId="8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10" fillId="0" borderId="0"/>
    <xf numFmtId="0" fontId="10"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2" fillId="0" borderId="0"/>
    <xf numFmtId="0" fontId="62" fillId="0" borderId="0"/>
    <xf numFmtId="0" fontId="62" fillId="0" borderId="0"/>
    <xf numFmtId="0" fontId="62" fillId="0" borderId="0"/>
    <xf numFmtId="0" fontId="84"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4" fillId="0" borderId="0"/>
    <xf numFmtId="0" fontId="84" fillId="0" borderId="0"/>
    <xf numFmtId="0" fontId="8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1" fillId="0" borderId="0" applyFon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xf numFmtId="0" fontId="85" fillId="0" borderId="0" applyNumberFormat="0" applyFill="0" applyBorder="0" applyAlignment="0" applyProtection="0"/>
    <xf numFmtId="0" fontId="75" fillId="0" borderId="0" applyNumberFormat="0" applyFill="0" applyBorder="0" applyAlignment="0" applyProtection="0"/>
  </cellStyleXfs>
  <cellXfs count="405">
    <xf numFmtId="0" fontId="0" fillId="0" borderId="0" xfId="0"/>
    <xf numFmtId="0" fontId="3" fillId="0" borderId="0" xfId="0" applyFont="1"/>
    <xf numFmtId="165" fontId="0" fillId="0" borderId="0" xfId="0" applyNumberFormat="1"/>
    <xf numFmtId="0" fontId="11" fillId="0" borderId="0" xfId="0" applyFont="1" applyAlignment="1">
      <alignment horizontal="center"/>
    </xf>
    <xf numFmtId="166" fontId="0" fillId="0" borderId="0" xfId="0" applyNumberFormat="1"/>
    <xf numFmtId="0" fontId="21" fillId="0" borderId="0" xfId="0" applyFont="1"/>
    <xf numFmtId="166" fontId="21" fillId="0" borderId="0" xfId="0" applyNumberFormat="1" applyFont="1"/>
    <xf numFmtId="0" fontId="11" fillId="0" borderId="0" xfId="0" applyFont="1"/>
    <xf numFmtId="167" fontId="11" fillId="0" borderId="0" xfId="0" applyNumberFormat="1" applyFont="1"/>
    <xf numFmtId="167" fontId="0" fillId="0" borderId="0" xfId="0" applyNumberFormat="1"/>
    <xf numFmtId="0" fontId="0" fillId="0" borderId="0" xfId="0" applyAlignment="1">
      <alignment wrapText="1"/>
    </xf>
    <xf numFmtId="165" fontId="0" fillId="0" borderId="0" xfId="0" applyNumberFormat="1" applyAlignment="1">
      <alignment horizontal="right"/>
    </xf>
    <xf numFmtId="165" fontId="21" fillId="0" borderId="0" xfId="0" applyNumberFormat="1" applyFont="1" applyAlignment="1">
      <alignment horizontal="right"/>
    </xf>
    <xf numFmtId="1" fontId="0" fillId="0" borderId="0" xfId="0" applyNumberFormat="1"/>
    <xf numFmtId="0" fontId="3" fillId="0" borderId="0" xfId="0" applyFont="1" applyAlignment="1">
      <alignment horizontal="center"/>
    </xf>
    <xf numFmtId="169" fontId="0" fillId="0" borderId="0" xfId="122" applyNumberFormat="1" applyFont="1"/>
    <xf numFmtId="169" fontId="0" fillId="0" borderId="0" xfId="0" applyNumberFormat="1"/>
    <xf numFmtId="0" fontId="72" fillId="5" borderId="0" xfId="130" applyFont="1"/>
    <xf numFmtId="0" fontId="73" fillId="0" borderId="0" xfId="0" applyFont="1"/>
    <xf numFmtId="0" fontId="5" fillId="0" borderId="0" xfId="1" applyFont="1" applyBorder="1" applyAlignment="1">
      <alignment vertical="center" wrapText="1"/>
    </xf>
    <xf numFmtId="0" fontId="7" fillId="0" borderId="0" xfId="1" applyFont="1" applyBorder="1" applyAlignment="1">
      <alignment vertical="center" wrapText="1"/>
    </xf>
    <xf numFmtId="0" fontId="9" fillId="0" borderId="0" xfId="2" applyFont="1" applyFill="1" applyBorder="1" applyAlignment="1">
      <alignment horizontal="center" vertical="top"/>
    </xf>
    <xf numFmtId="0" fontId="78" fillId="0" borderId="0" xfId="225" applyNumberFormat="1" applyFont="1" applyFill="1" applyBorder="1" applyAlignment="1">
      <alignment vertical="center" wrapText="1"/>
    </xf>
    <xf numFmtId="0" fontId="78" fillId="0" borderId="0" xfId="225" applyNumberFormat="1" applyFont="1" applyFill="1" applyBorder="1" applyAlignment="1">
      <alignment horizontal="right" vertical="center" wrapText="1"/>
    </xf>
    <xf numFmtId="0" fontId="8" fillId="0" borderId="0" xfId="169"/>
    <xf numFmtId="173" fontId="10" fillId="0" borderId="36" xfId="3" applyNumberFormat="1" applyFont="1" applyFill="1" applyBorder="1" applyAlignment="1"/>
    <xf numFmtId="0" fontId="10" fillId="0" borderId="36" xfId="3" applyNumberFormat="1" applyFont="1" applyFill="1" applyBorder="1" applyAlignment="1">
      <alignment horizontal="right"/>
    </xf>
    <xf numFmtId="3" fontId="10" fillId="0" borderId="36" xfId="3" applyNumberFormat="1" applyFont="1" applyFill="1" applyBorder="1" applyAlignment="1">
      <alignment horizontal="right"/>
    </xf>
    <xf numFmtId="3" fontId="10" fillId="0" borderId="36" xfId="225" applyNumberFormat="1" applyFont="1" applyFill="1" applyBorder="1" applyAlignment="1">
      <alignment horizontal="right"/>
    </xf>
    <xf numFmtId="3" fontId="10" fillId="0" borderId="36" xfId="225" quotePrefix="1" applyNumberFormat="1" applyFont="1" applyFill="1" applyBorder="1" applyAlignment="1">
      <alignment horizontal="right"/>
    </xf>
    <xf numFmtId="0" fontId="8" fillId="0" borderId="0" xfId="169" applyFill="1"/>
    <xf numFmtId="49" fontId="0" fillId="0" borderId="0" xfId="0" applyNumberFormat="1" applyAlignment="1">
      <alignment horizontal="left" vertical="center" wrapText="1"/>
    </xf>
    <xf numFmtId="3" fontId="0" fillId="0" borderId="0" xfId="0" applyNumberFormat="1" applyAlignment="1">
      <alignment horizontal="left" vertical="center" wrapText="1"/>
    </xf>
    <xf numFmtId="49" fontId="0" fillId="0" borderId="0" xfId="0" applyNumberFormat="1" applyAlignment="1">
      <alignment horizontal="right"/>
    </xf>
    <xf numFmtId="3" fontId="0" fillId="0" borderId="0" xfId="0" applyNumberFormat="1" applyAlignment="1">
      <alignment horizontal="right"/>
    </xf>
    <xf numFmtId="1" fontId="8" fillId="0" borderId="0" xfId="169" applyNumberFormat="1"/>
    <xf numFmtId="3" fontId="8" fillId="0" borderId="0" xfId="169" applyNumberFormat="1"/>
    <xf numFmtId="174" fontId="8" fillId="0" borderId="0" xfId="7" applyNumberFormat="1" applyFont="1"/>
    <xf numFmtId="0" fontId="8" fillId="0" borderId="0" xfId="7" applyFont="1"/>
    <xf numFmtId="0" fontId="7" fillId="0" borderId="0" xfId="6" applyFont="1" applyFill="1" applyBorder="1"/>
    <xf numFmtId="0" fontId="7" fillId="0" borderId="0" xfId="7" applyFont="1" applyFill="1"/>
    <xf numFmtId="3" fontId="7" fillId="0" borderId="0" xfId="6" applyNumberFormat="1" applyFont="1" applyFill="1" applyBorder="1"/>
    <xf numFmtId="0" fontId="7" fillId="0" borderId="0" xfId="6" applyFont="1" applyFill="1" applyBorder="1" applyAlignment="1">
      <alignment horizontal="center"/>
    </xf>
    <xf numFmtId="0" fontId="7" fillId="2" borderId="0" xfId="6" applyFont="1" applyFill="1" applyBorder="1" applyAlignment="1">
      <alignment horizontal="center"/>
    </xf>
    <xf numFmtId="0" fontId="7" fillId="0" borderId="0" xfId="7" applyFont="1"/>
    <xf numFmtId="3" fontId="7" fillId="2" borderId="0" xfId="6" applyNumberFormat="1" applyFont="1" applyFill="1" applyBorder="1" applyAlignment="1">
      <alignment horizontal="center"/>
    </xf>
    <xf numFmtId="0" fontId="7" fillId="2" borderId="0" xfId="6" applyFont="1" applyFill="1" applyBorder="1"/>
    <xf numFmtId="3" fontId="7" fillId="0" borderId="0" xfId="6" applyNumberFormat="1" applyFont="1" applyFill="1" applyBorder="1" applyAlignment="1">
      <alignment horizontal="center"/>
    </xf>
    <xf numFmtId="0" fontId="79" fillId="0" borderId="0" xfId="6" applyFont="1" applyFill="1" applyBorder="1"/>
    <xf numFmtId="3" fontId="7" fillId="2" borderId="0" xfId="6" applyNumberFormat="1" applyFont="1" applyFill="1" applyBorder="1" applyAlignment="1"/>
    <xf numFmtId="3" fontId="7" fillId="2" borderId="0" xfId="6" applyNumberFormat="1" applyFont="1" applyFill="1" applyBorder="1"/>
    <xf numFmtId="3" fontId="7" fillId="0" borderId="0" xfId="6" applyNumberFormat="1" applyFont="1" applyFill="1" applyBorder="1" applyAlignment="1"/>
    <xf numFmtId="3" fontId="7" fillId="0" borderId="0" xfId="7" applyNumberFormat="1" applyFont="1"/>
    <xf numFmtId="3" fontId="7" fillId="0" borderId="0" xfId="6" applyNumberFormat="1" applyFont="1" applyFill="1" applyBorder="1" applyAlignment="1">
      <alignment horizontal="right"/>
    </xf>
    <xf numFmtId="3" fontId="7" fillId="2" borderId="0" xfId="6" applyNumberFormat="1" applyFont="1" applyFill="1" applyBorder="1" applyAlignment="1">
      <alignment horizontal="right"/>
    </xf>
    <xf numFmtId="0" fontId="7" fillId="0" borderId="0" xfId="6" applyNumberFormat="1" applyFont="1" applyFill="1" applyBorder="1"/>
    <xf numFmtId="174" fontId="7" fillId="0" borderId="0" xfId="6" applyNumberFormat="1" applyFont="1" applyFill="1" applyBorder="1"/>
    <xf numFmtId="174" fontId="7" fillId="0" borderId="0" xfId="7" applyNumberFormat="1" applyFont="1"/>
    <xf numFmtId="174" fontId="7" fillId="0" borderId="0" xfId="6" applyNumberFormat="1" applyFont="1" applyFill="1" applyBorder="1" applyAlignment="1">
      <alignment horizontal="left"/>
    </xf>
    <xf numFmtId="0" fontId="7" fillId="0" borderId="0" xfId="7" applyFont="1" applyBorder="1"/>
    <xf numFmtId="0" fontId="7" fillId="0" borderId="0" xfId="6" applyFont="1" applyBorder="1"/>
    <xf numFmtId="49" fontId="7" fillId="0" borderId="0" xfId="6" applyNumberFormat="1" applyFont="1" applyFill="1" applyBorder="1"/>
    <xf numFmtId="0" fontId="25" fillId="0" borderId="0" xfId="6" applyFont="1" applyFill="1" applyBorder="1" applyAlignment="1">
      <alignment horizontal="center" vertical="center"/>
    </xf>
    <xf numFmtId="3" fontId="25" fillId="0" borderId="0" xfId="6" applyNumberFormat="1" applyFont="1" applyFill="1" applyBorder="1" applyAlignment="1">
      <alignment horizontal="center" vertical="center"/>
    </xf>
    <xf numFmtId="0" fontId="80" fillId="36" borderId="0" xfId="6" applyFont="1" applyFill="1" applyBorder="1" applyAlignment="1">
      <alignment horizontal="center" vertical="center"/>
    </xf>
    <xf numFmtId="0" fontId="25" fillId="36" borderId="0" xfId="6" applyFont="1" applyFill="1" applyBorder="1" applyAlignment="1">
      <alignment horizontal="center" vertical="center"/>
    </xf>
    <xf numFmtId="0" fontId="80" fillId="60" borderId="0" xfId="6" applyFont="1" applyFill="1" applyBorder="1" applyAlignment="1">
      <alignment horizontal="center" vertical="center"/>
    </xf>
    <xf numFmtId="3" fontId="80" fillId="0" borderId="0" xfId="6" applyNumberFormat="1" applyFont="1" applyFill="1" applyBorder="1" applyAlignment="1">
      <alignment horizontal="center" vertical="center"/>
    </xf>
    <xf numFmtId="0" fontId="7" fillId="0" borderId="0" xfId="6" applyFont="1" applyFill="1" applyBorder="1" applyAlignment="1">
      <alignment horizontal="left"/>
    </xf>
    <xf numFmtId="0" fontId="25" fillId="0" borderId="0" xfId="6" applyFont="1" applyFill="1" applyBorder="1" applyAlignment="1">
      <alignment horizontal="left" vertical="center"/>
    </xf>
    <xf numFmtId="0" fontId="7" fillId="0" borderId="0" xfId="7" applyFont="1" applyAlignment="1">
      <alignment horizontal="left"/>
    </xf>
    <xf numFmtId="0" fontId="7" fillId="0" borderId="0" xfId="7" applyFont="1" applyBorder="1" applyAlignment="1">
      <alignment horizontal="left"/>
    </xf>
    <xf numFmtId="0" fontId="7" fillId="0" borderId="0" xfId="6" applyFont="1" applyBorder="1" applyAlignment="1">
      <alignment horizontal="left"/>
    </xf>
    <xf numFmtId="0" fontId="9" fillId="0" borderId="0" xfId="7" applyFont="1" applyAlignment="1">
      <alignment horizontal="left"/>
    </xf>
    <xf numFmtId="174" fontId="7" fillId="0" borderId="0" xfId="7" applyNumberFormat="1" applyFont="1" applyAlignment="1">
      <alignment horizontal="left"/>
    </xf>
    <xf numFmtId="0" fontId="8" fillId="0" borderId="0" xfId="7" applyFont="1" applyAlignment="1">
      <alignment horizontal="left"/>
    </xf>
    <xf numFmtId="0" fontId="7" fillId="0" borderId="0" xfId="6" applyFont="1" applyFill="1" applyBorder="1" applyAlignment="1">
      <alignment vertical="center"/>
    </xf>
    <xf numFmtId="0" fontId="74" fillId="0" borderId="0" xfId="6" applyFont="1" applyFill="1" applyBorder="1" applyAlignment="1">
      <alignment vertical="center"/>
    </xf>
    <xf numFmtId="0" fontId="74" fillId="0" borderId="0" xfId="6" applyFont="1" applyFill="1" applyBorder="1" applyAlignment="1">
      <alignment horizontal="left" vertical="center"/>
    </xf>
    <xf numFmtId="0" fontId="7" fillId="0" borderId="0" xfId="6" applyFont="1" applyFill="1" applyBorder="1" applyAlignment="1">
      <alignment horizontal="center" vertical="center"/>
    </xf>
    <xf numFmtId="0" fontId="7" fillId="2" borderId="0" xfId="6" applyFont="1" applyFill="1" applyBorder="1" applyAlignment="1">
      <alignment horizontal="center" vertical="center" wrapText="1"/>
    </xf>
    <xf numFmtId="0" fontId="7" fillId="0" borderId="0" xfId="6" applyFont="1" applyFill="1" applyBorder="1" applyAlignment="1">
      <alignment horizontal="center" vertical="center" wrapText="1"/>
    </xf>
    <xf numFmtId="0" fontId="7" fillId="0" borderId="0" xfId="7" applyFont="1" applyAlignment="1">
      <alignment vertical="center"/>
    </xf>
    <xf numFmtId="0" fontId="7" fillId="2" borderId="0" xfId="6" applyFont="1" applyFill="1" applyBorder="1" applyAlignment="1">
      <alignment horizontal="center" vertical="center"/>
    </xf>
    <xf numFmtId="3" fontId="7" fillId="2" borderId="0" xfId="6" applyNumberFormat="1" applyFont="1" applyFill="1" applyBorder="1" applyAlignment="1">
      <alignment horizontal="center" vertical="center"/>
    </xf>
    <xf numFmtId="3" fontId="7" fillId="0" borderId="0" xfId="6" applyNumberFormat="1" applyFont="1" applyFill="1" applyBorder="1" applyAlignment="1">
      <alignment horizontal="center" vertical="center"/>
    </xf>
    <xf numFmtId="3" fontId="7" fillId="2" borderId="0" xfId="6" applyNumberFormat="1" applyFont="1" applyFill="1" applyBorder="1" applyAlignment="1">
      <alignment horizontal="center" vertical="center" wrapText="1"/>
    </xf>
    <xf numFmtId="3" fontId="7" fillId="0" borderId="0" xfId="6" applyNumberFormat="1" applyFont="1" applyFill="1" applyBorder="1" applyAlignment="1">
      <alignment horizontal="center" vertical="center" wrapText="1"/>
    </xf>
    <xf numFmtId="0" fontId="7" fillId="0" borderId="0" xfId="6" applyFont="1" applyFill="1" applyBorder="1" applyAlignment="1">
      <alignment horizontal="right"/>
    </xf>
    <xf numFmtId="2" fontId="0" fillId="0" borderId="0" xfId="0" applyNumberFormat="1"/>
    <xf numFmtId="0" fontId="8" fillId="0" borderId="0" xfId="169" applyAlignment="1">
      <alignment horizontal="right"/>
    </xf>
    <xf numFmtId="3" fontId="8" fillId="0" borderId="0" xfId="169" applyNumberFormat="1" applyAlignment="1">
      <alignment horizontal="left" vertical="center" wrapText="1"/>
    </xf>
    <xf numFmtId="1" fontId="9" fillId="0" borderId="0" xfId="2" applyNumberFormat="1" applyFont="1" applyFill="1" applyBorder="1" applyAlignment="1">
      <alignment horizontal="center" vertical="top"/>
    </xf>
    <xf numFmtId="0" fontId="88" fillId="0" borderId="0" xfId="0" applyFont="1"/>
    <xf numFmtId="43" fontId="0" fillId="0" borderId="0" xfId="466" applyFont="1"/>
    <xf numFmtId="165" fontId="11" fillId="0" borderId="0" xfId="0" applyNumberFormat="1" applyFont="1"/>
    <xf numFmtId="3" fontId="89" fillId="0" borderId="0" xfId="0" applyNumberFormat="1" applyFont="1" applyAlignment="1">
      <alignment horizontal="center" vertical="center"/>
    </xf>
    <xf numFmtId="3" fontId="89" fillId="61" borderId="0" xfId="0" applyNumberFormat="1" applyFont="1" applyFill="1" applyAlignment="1">
      <alignment horizontal="center" vertical="center"/>
    </xf>
    <xf numFmtId="0" fontId="0" fillId="0" borderId="0" xfId="0" applyFont="1"/>
    <xf numFmtId="0" fontId="3" fillId="36" borderId="0" xfId="0" applyFont="1" applyFill="1"/>
    <xf numFmtId="0" fontId="88" fillId="0" borderId="0" xfId="0" applyFont="1" applyAlignment="1">
      <alignment horizontal="center" vertical="center"/>
    </xf>
    <xf numFmtId="0" fontId="90" fillId="36" borderId="0" xfId="6" applyFont="1" applyFill="1" applyBorder="1" applyAlignment="1">
      <alignment horizontal="center" vertical="center"/>
    </xf>
    <xf numFmtId="0" fontId="74" fillId="36" borderId="0" xfId="6" applyFont="1" applyFill="1" applyBorder="1" applyAlignment="1">
      <alignment horizontal="center" vertical="center"/>
    </xf>
    <xf numFmtId="0" fontId="90" fillId="60" borderId="0" xfId="6" applyFont="1" applyFill="1" applyBorder="1" applyAlignment="1">
      <alignment horizontal="center" vertical="center"/>
    </xf>
    <xf numFmtId="0" fontId="10" fillId="0" borderId="0" xfId="6" applyFont="1" applyFill="1" applyBorder="1"/>
    <xf numFmtId="0" fontId="91" fillId="0" borderId="0" xfId="6" applyFont="1" applyFill="1" applyBorder="1"/>
    <xf numFmtId="0" fontId="7" fillId="0" borderId="0" xfId="6" quotePrefix="1" applyFont="1" applyFill="1" applyBorder="1"/>
    <xf numFmtId="0" fontId="12" fillId="0" borderId="0" xfId="0" applyFont="1"/>
    <xf numFmtId="0" fontId="12" fillId="0" borderId="0" xfId="0" applyFont="1" applyFill="1" applyBorder="1" applyAlignment="1">
      <alignment horizontal="left" vertical="top" wrapText="1"/>
    </xf>
    <xf numFmtId="0" fontId="12" fillId="0" borderId="0" xfId="0" applyFont="1" applyAlignment="1">
      <alignment horizontal="center" vertical="center"/>
    </xf>
    <xf numFmtId="0" fontId="12" fillId="0" borderId="0" xfId="0" applyFont="1" applyFill="1" applyAlignment="1">
      <alignment horizontal="center" vertical="center"/>
    </xf>
    <xf numFmtId="0" fontId="94" fillId="0" borderId="0" xfId="0" applyFont="1" applyFill="1" applyBorder="1" applyAlignment="1">
      <alignment horizontal="center" vertical="center" wrapText="1"/>
    </xf>
    <xf numFmtId="0" fontId="95"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64" fontId="92" fillId="0" borderId="0" xfId="0" applyNumberFormat="1" applyFont="1" applyFill="1" applyBorder="1" applyAlignment="1">
      <alignment horizontal="center" vertical="center" wrapText="1"/>
    </xf>
    <xf numFmtId="0" fontId="5" fillId="0" borderId="0" xfId="0" applyFont="1" applyFill="1" applyBorder="1" applyAlignment="1">
      <alignment horizontal="left" vertical="top" wrapText="1" indent="2"/>
    </xf>
    <xf numFmtId="164" fontId="93" fillId="0" borderId="0" xfId="0" applyNumberFormat="1" applyFont="1" applyFill="1" applyBorder="1" applyAlignment="1">
      <alignment horizontal="left" vertical="top" wrapText="1" indent="2"/>
    </xf>
    <xf numFmtId="0" fontId="12" fillId="0" borderId="0" xfId="0" applyFont="1" applyFill="1"/>
    <xf numFmtId="165" fontId="12" fillId="0" borderId="0" xfId="0" applyNumberFormat="1" applyFont="1" applyAlignment="1">
      <alignment horizontal="center" vertical="center"/>
    </xf>
    <xf numFmtId="2" fontId="12" fillId="0" borderId="0" xfId="0" applyNumberFormat="1" applyFont="1"/>
    <xf numFmtId="164" fontId="12" fillId="0" borderId="0" xfId="0" applyNumberFormat="1" applyFont="1"/>
    <xf numFmtId="164" fontId="12" fillId="0" borderId="37" xfId="0" applyNumberFormat="1" applyFont="1" applyBorder="1"/>
    <xf numFmtId="164" fontId="12" fillId="0" borderId="38" xfId="0" applyNumberFormat="1" applyFont="1" applyBorder="1"/>
    <xf numFmtId="0" fontId="97" fillId="62" borderId="0" xfId="0" applyFont="1" applyFill="1" applyAlignment="1">
      <alignment horizontal="center" vertical="center"/>
    </xf>
    <xf numFmtId="0" fontId="89" fillId="62" borderId="0" xfId="0" applyFont="1" applyFill="1"/>
    <xf numFmtId="3" fontId="89" fillId="62" borderId="0" xfId="0" applyNumberFormat="1" applyFont="1" applyFill="1"/>
    <xf numFmtId="169" fontId="89" fillId="62" borderId="0" xfId="0" applyNumberFormat="1" applyFont="1" applyFill="1"/>
    <xf numFmtId="0" fontId="97" fillId="62" borderId="0" xfId="0" applyFont="1" applyFill="1" applyAlignment="1">
      <alignment horizontal="left" vertical="center"/>
    </xf>
    <xf numFmtId="169" fontId="97" fillId="62" borderId="0" xfId="0" applyNumberFormat="1" applyFont="1" applyFill="1" applyAlignment="1">
      <alignment horizontal="center" vertical="center"/>
    </xf>
    <xf numFmtId="0" fontId="98" fillId="62" borderId="0" xfId="0" applyFont="1" applyFill="1"/>
    <xf numFmtId="43" fontId="98" fillId="62" borderId="0" xfId="0" applyNumberFormat="1" applyFont="1" applyFill="1"/>
    <xf numFmtId="0" fontId="99" fillId="62" borderId="0" xfId="0" applyFont="1" applyFill="1"/>
    <xf numFmtId="0" fontId="97" fillId="63" borderId="0" xfId="0" applyFont="1" applyFill="1" applyAlignment="1">
      <alignment horizontal="center" vertical="center"/>
    </xf>
    <xf numFmtId="0" fontId="89" fillId="63" borderId="0" xfId="0" applyFont="1" applyFill="1"/>
    <xf numFmtId="0" fontId="0" fillId="64" borderId="0" xfId="0" applyFill="1"/>
    <xf numFmtId="3" fontId="89" fillId="63" borderId="0" xfId="0" applyNumberFormat="1" applyFont="1" applyFill="1"/>
    <xf numFmtId="169" fontId="97" fillId="63" borderId="0" xfId="0" applyNumberFormat="1" applyFont="1" applyFill="1" applyAlignment="1">
      <alignment horizontal="center" vertical="center"/>
    </xf>
    <xf numFmtId="43" fontId="98" fillId="63" borderId="0" xfId="0" applyNumberFormat="1" applyFont="1" applyFill="1"/>
    <xf numFmtId="0" fontId="99" fillId="63" borderId="0" xfId="0" applyFont="1" applyFill="1"/>
    <xf numFmtId="3" fontId="89" fillId="0" borderId="0" xfId="0" applyNumberFormat="1" applyFont="1" applyAlignment="1">
      <alignment horizontal="right" vertical="center"/>
    </xf>
    <xf numFmtId="0" fontId="0" fillId="57" borderId="0" xfId="0" applyFill="1"/>
    <xf numFmtId="0" fontId="0" fillId="65" borderId="0" xfId="0" applyFill="1"/>
    <xf numFmtId="169" fontId="0" fillId="64" borderId="0" xfId="0" applyNumberFormat="1" applyFill="1"/>
    <xf numFmtId="0" fontId="0" fillId="0" borderId="0" xfId="0" applyAlignment="1">
      <alignment horizontal="right"/>
    </xf>
    <xf numFmtId="0" fontId="88" fillId="65" borderId="0" xfId="0" applyFont="1" applyFill="1"/>
    <xf numFmtId="167" fontId="88" fillId="65" borderId="0" xfId="0" applyNumberFormat="1" applyFont="1" applyFill="1"/>
    <xf numFmtId="0" fontId="0" fillId="36" borderId="0" xfId="0" applyFont="1" applyFill="1"/>
    <xf numFmtId="0" fontId="3" fillId="36" borderId="0" xfId="0" applyFont="1" applyFill="1" applyAlignment="1">
      <alignment horizontal="center"/>
    </xf>
    <xf numFmtId="167" fontId="0" fillId="36" borderId="0" xfId="0" applyNumberFormat="1" applyFont="1" applyFill="1"/>
    <xf numFmtId="0" fontId="0" fillId="0" borderId="0" xfId="0" applyFont="1" applyFill="1"/>
    <xf numFmtId="167" fontId="0" fillId="0" borderId="0" xfId="0" applyNumberFormat="1" applyFont="1" applyFill="1"/>
    <xf numFmtId="2" fontId="0" fillId="36" borderId="0" xfId="0" applyNumberFormat="1" applyFont="1" applyFill="1"/>
    <xf numFmtId="164" fontId="93" fillId="0" borderId="0" xfId="0" applyNumberFormat="1" applyFont="1" applyFill="1" applyBorder="1" applyAlignment="1">
      <alignment horizontal="center" vertical="center" wrapText="1"/>
    </xf>
    <xf numFmtId="0" fontId="0" fillId="0" borderId="0" xfId="0" applyBorder="1"/>
    <xf numFmtId="0" fontId="9" fillId="0" borderId="0" xfId="0" applyFont="1" applyBorder="1" applyAlignment="1">
      <alignment horizontal="center" vertical="top"/>
    </xf>
    <xf numFmtId="0" fontId="0" fillId="0" borderId="0" xfId="0" applyFill="1" applyBorder="1"/>
    <xf numFmtId="165" fontId="0" fillId="0" borderId="0" xfId="0" applyNumberFormat="1" applyBorder="1"/>
    <xf numFmtId="0" fontId="73" fillId="0" borderId="0" xfId="0" applyFont="1" applyFill="1" applyBorder="1" applyAlignment="1">
      <alignment horizontal="center" vertical="center"/>
    </xf>
    <xf numFmtId="165" fontId="0" fillId="0" borderId="0" xfId="0" applyNumberFormat="1" applyFill="1" applyBorder="1"/>
    <xf numFmtId="165" fontId="96" fillId="0" borderId="0" xfId="0" applyNumberFormat="1" applyFont="1" applyFill="1" applyBorder="1"/>
    <xf numFmtId="0" fontId="24" fillId="0" borderId="0" xfId="0" applyFont="1" applyFill="1" applyBorder="1" applyAlignment="1">
      <alignment horizontal="left" vertical="top" wrapText="1"/>
    </xf>
    <xf numFmtId="3" fontId="92" fillId="0" borderId="0" xfId="0" applyNumberFormat="1" applyFont="1" applyFill="1" applyBorder="1" applyAlignment="1">
      <alignment horizontal="center" vertical="center" wrapText="1"/>
    </xf>
    <xf numFmtId="3" fontId="24" fillId="0" borderId="0" xfId="0" applyNumberFormat="1" applyFont="1" applyFill="1" applyBorder="1" applyAlignment="1">
      <alignment horizontal="center" vertical="center" wrapText="1"/>
    </xf>
    <xf numFmtId="3" fontId="12" fillId="0" borderId="0" xfId="0" applyNumberFormat="1" applyFont="1" applyFill="1" applyBorder="1" applyAlignment="1">
      <alignment horizontal="center" vertical="center" wrapText="1"/>
    </xf>
    <xf numFmtId="0" fontId="12" fillId="0" borderId="0" xfId="0" applyFont="1" applyFill="1" applyBorder="1" applyAlignment="1">
      <alignment horizontal="left" vertical="top"/>
    </xf>
    <xf numFmtId="0" fontId="12" fillId="0" borderId="0" xfId="0" applyFont="1" applyFill="1" applyBorder="1" applyAlignment="1">
      <alignment horizontal="center" vertical="center"/>
    </xf>
    <xf numFmtId="0" fontId="101" fillId="0" borderId="0" xfId="0" applyFont="1" applyFill="1" applyBorder="1" applyAlignment="1">
      <alignment horizontal="left" vertical="top" wrapText="1"/>
    </xf>
    <xf numFmtId="1" fontId="102" fillId="0" borderId="0" xfId="0" applyNumberFormat="1" applyFont="1" applyFill="1" applyBorder="1" applyAlignment="1">
      <alignment horizontal="center" vertical="center" wrapText="1"/>
    </xf>
    <xf numFmtId="1" fontId="103" fillId="0" borderId="0" xfId="0" applyNumberFormat="1" applyFont="1" applyAlignment="1">
      <alignment horizontal="center" vertical="center"/>
    </xf>
    <xf numFmtId="1" fontId="104" fillId="0" borderId="0" xfId="0" applyNumberFormat="1" applyFont="1" applyFill="1" applyBorder="1" applyAlignment="1">
      <alignment horizontal="center" vertical="center" wrapText="1"/>
    </xf>
    <xf numFmtId="3" fontId="104" fillId="0" borderId="0" xfId="0" applyNumberFormat="1" applyFont="1" applyFill="1" applyBorder="1" applyAlignment="1">
      <alignment horizontal="center" vertical="center" wrapText="1"/>
    </xf>
    <xf numFmtId="0" fontId="103" fillId="0" borderId="0" xfId="0" applyFont="1"/>
    <xf numFmtId="0" fontId="103" fillId="0" borderId="0" xfId="0" applyFont="1" applyAlignment="1">
      <alignment horizontal="center" vertical="center"/>
    </xf>
    <xf numFmtId="0" fontId="9" fillId="57" borderId="0" xfId="0" applyFont="1" applyFill="1" applyBorder="1" applyAlignment="1">
      <alignment horizontal="center" vertical="top"/>
    </xf>
    <xf numFmtId="0" fontId="9" fillId="66" borderId="0" xfId="0" applyFont="1" applyFill="1" applyBorder="1" applyAlignment="1">
      <alignment horizontal="center" vertical="top"/>
    </xf>
    <xf numFmtId="0" fontId="9" fillId="0" borderId="4" xfId="0" applyFont="1" applyBorder="1" applyAlignment="1">
      <alignment horizontal="center" vertical="top"/>
    </xf>
    <xf numFmtId="0" fontId="74" fillId="0" borderId="0" xfId="10" applyFont="1" applyAlignment="1" applyProtection="1"/>
    <xf numFmtId="0" fontId="7" fillId="0" borderId="0" xfId="10" applyFont="1"/>
    <xf numFmtId="0" fontId="7" fillId="0" borderId="0" xfId="10" applyFont="1" applyFill="1"/>
    <xf numFmtId="0" fontId="7" fillId="0" borderId="0" xfId="10" applyFont="1" applyFill="1" applyBorder="1"/>
    <xf numFmtId="0" fontId="7" fillId="0" borderId="0" xfId="10" applyFont="1" applyBorder="1" applyAlignment="1" applyProtection="1"/>
    <xf numFmtId="0" fontId="91" fillId="0" borderId="0" xfId="10" applyFont="1" applyBorder="1" applyAlignment="1" applyProtection="1">
      <alignment horizontal="right"/>
    </xf>
    <xf numFmtId="165" fontId="7" fillId="0" borderId="0" xfId="10" applyNumberFormat="1" applyFont="1" applyBorder="1" applyAlignment="1" applyProtection="1"/>
    <xf numFmtId="165" fontId="7" fillId="0" borderId="0" xfId="10" applyNumberFormat="1" applyFont="1" applyFill="1" applyBorder="1" applyAlignment="1" applyProtection="1"/>
    <xf numFmtId="0" fontId="7" fillId="0" borderId="0" xfId="10" applyFont="1" applyBorder="1"/>
    <xf numFmtId="0" fontId="7" fillId="0" borderId="24" xfId="10" applyFont="1" applyBorder="1" applyAlignment="1" applyProtection="1">
      <alignment horizontal="center" vertical="center"/>
    </xf>
    <xf numFmtId="0" fontId="7" fillId="0" borderId="25" xfId="10" applyFont="1" applyBorder="1" applyAlignment="1" applyProtection="1">
      <alignment horizontal="center" vertical="center"/>
    </xf>
    <xf numFmtId="0" fontId="7" fillId="57" borderId="25" xfId="10" applyFont="1" applyFill="1" applyBorder="1" applyAlignment="1" applyProtection="1">
      <alignment horizontal="center" vertical="center"/>
    </xf>
    <xf numFmtId="0" fontId="7" fillId="57" borderId="24" xfId="10" applyFont="1" applyFill="1" applyBorder="1" applyAlignment="1" applyProtection="1">
      <alignment horizontal="center" vertical="center"/>
    </xf>
    <xf numFmtId="0" fontId="7" fillId="0" borderId="0" xfId="10" applyFont="1" applyFill="1" applyBorder="1" applyAlignment="1" applyProtection="1">
      <alignment horizontal="center" vertical="center"/>
    </xf>
    <xf numFmtId="0" fontId="7" fillId="66" borderId="23" xfId="10" applyFont="1" applyFill="1" applyBorder="1" applyAlignment="1" applyProtection="1">
      <alignment horizontal="center" vertical="center"/>
    </xf>
    <xf numFmtId="0" fontId="74" fillId="0" borderId="26" xfId="10" applyFont="1" applyBorder="1" applyAlignment="1" applyProtection="1"/>
    <xf numFmtId="0" fontId="74" fillId="0" borderId="0" xfId="10" applyFont="1" applyFill="1" applyBorder="1" applyAlignment="1" applyProtection="1"/>
    <xf numFmtId="0" fontId="74" fillId="0" borderId="0" xfId="10" applyFont="1" applyBorder="1" applyAlignment="1" applyProtection="1"/>
    <xf numFmtId="0" fontId="7" fillId="0" borderId="0" xfId="10" applyFont="1" applyAlignment="1" applyProtection="1">
      <alignment horizontal="left"/>
    </xf>
    <xf numFmtId="170" fontId="7" fillId="0" borderId="1" xfId="10" applyNumberFormat="1" applyFont="1" applyBorder="1" applyAlignment="1" applyProtection="1">
      <alignment horizontal="right"/>
    </xf>
    <xf numFmtId="170" fontId="7" fillId="0" borderId="2" xfId="10" applyNumberFormat="1" applyFont="1" applyBorder="1" applyAlignment="1" applyProtection="1">
      <alignment horizontal="right"/>
    </xf>
    <xf numFmtId="170" fontId="7" fillId="0" borderId="3" xfId="10" applyNumberFormat="1" applyFont="1" applyBorder="1" applyAlignment="1" applyProtection="1">
      <alignment horizontal="right"/>
    </xf>
    <xf numFmtId="170" fontId="7" fillId="0" borderId="0" xfId="10" applyNumberFormat="1" applyFont="1" applyBorder="1" applyAlignment="1" applyProtection="1">
      <alignment horizontal="right"/>
    </xf>
    <xf numFmtId="170" fontId="7" fillId="0" borderId="27" xfId="10" applyNumberFormat="1" applyFont="1" applyBorder="1" applyAlignment="1" applyProtection="1">
      <alignment horizontal="right"/>
    </xf>
    <xf numFmtId="170" fontId="7" fillId="0" borderId="28" xfId="10" applyNumberFormat="1" applyFont="1" applyBorder="1" applyAlignment="1" applyProtection="1">
      <alignment horizontal="right"/>
    </xf>
    <xf numFmtId="0" fontId="7" fillId="0" borderId="0" xfId="10" applyFont="1" applyAlignment="1"/>
    <xf numFmtId="170" fontId="7" fillId="0" borderId="0" xfId="10" applyNumberFormat="1" applyFont="1" applyFill="1" applyBorder="1" applyAlignment="1" applyProtection="1">
      <alignment horizontal="right"/>
    </xf>
    <xf numFmtId="0" fontId="7" fillId="0" borderId="0" xfId="10" applyFont="1" applyFill="1" applyAlignment="1" applyProtection="1">
      <alignment horizontal="left"/>
    </xf>
    <xf numFmtId="170" fontId="7" fillId="0" borderId="1" xfId="10" applyNumberFormat="1" applyFont="1" applyFill="1" applyBorder="1" applyAlignment="1" applyProtection="1">
      <alignment horizontal="right"/>
    </xf>
    <xf numFmtId="170" fontId="7" fillId="0" borderId="2" xfId="10" applyNumberFormat="1" applyFont="1" applyFill="1" applyBorder="1" applyAlignment="1" applyProtection="1">
      <alignment horizontal="right"/>
    </xf>
    <xf numFmtId="170" fontId="7" fillId="0" borderId="3" xfId="10" applyNumberFormat="1" applyFont="1" applyFill="1" applyBorder="1" applyAlignment="1" applyProtection="1">
      <alignment horizontal="right"/>
    </xf>
    <xf numFmtId="170" fontId="7" fillId="0" borderId="27" xfId="10" applyNumberFormat="1" applyFont="1" applyFill="1" applyBorder="1" applyAlignment="1" applyProtection="1">
      <alignment horizontal="right"/>
    </xf>
    <xf numFmtId="170" fontId="7" fillId="0" borderId="28" xfId="10" applyNumberFormat="1" applyFont="1" applyFill="1" applyBorder="1" applyAlignment="1" applyProtection="1">
      <alignment horizontal="right"/>
    </xf>
    <xf numFmtId="0" fontId="7" fillId="0" borderId="0" xfId="10" applyFont="1" applyFill="1" applyAlignment="1"/>
    <xf numFmtId="170" fontId="7" fillId="0" borderId="29" xfId="10" applyNumberFormat="1" applyFont="1" applyBorder="1" applyAlignment="1" applyProtection="1">
      <alignment horizontal="right"/>
    </xf>
    <xf numFmtId="0" fontId="74" fillId="0" borderId="0" xfId="10" applyFont="1" applyAlignment="1"/>
    <xf numFmtId="0" fontId="7" fillId="0" borderId="30" xfId="10" applyFont="1" applyBorder="1" applyAlignment="1"/>
    <xf numFmtId="170" fontId="7" fillId="0" borderId="39" xfId="10" applyNumberFormat="1" applyFont="1" applyBorder="1" applyAlignment="1" applyProtection="1">
      <alignment horizontal="right"/>
    </xf>
    <xf numFmtId="0" fontId="74" fillId="0" borderId="35" xfId="10" applyFont="1" applyBorder="1" applyAlignment="1" applyProtection="1"/>
    <xf numFmtId="171" fontId="7" fillId="0" borderId="1" xfId="10" applyNumberFormat="1" applyFont="1" applyBorder="1" applyAlignment="1" applyProtection="1">
      <alignment horizontal="right"/>
    </xf>
    <xf numFmtId="175" fontId="7" fillId="0" borderId="2" xfId="10" applyNumberFormat="1" applyFont="1" applyBorder="1" applyAlignment="1" applyProtection="1">
      <alignment horizontal="right"/>
    </xf>
    <xf numFmtId="175" fontId="7" fillId="0" borderId="3" xfId="10" applyNumberFormat="1" applyFont="1" applyBorder="1" applyAlignment="1" applyProtection="1">
      <alignment horizontal="right"/>
    </xf>
    <xf numFmtId="175" fontId="7" fillId="0" borderId="0" xfId="10" applyNumberFormat="1" applyFont="1" applyBorder="1" applyAlignment="1" applyProtection="1">
      <alignment horizontal="right"/>
    </xf>
    <xf numFmtId="175" fontId="7" fillId="0" borderId="27" xfId="10" applyNumberFormat="1" applyFont="1" applyBorder="1" applyAlignment="1" applyProtection="1">
      <alignment horizontal="right"/>
    </xf>
    <xf numFmtId="175" fontId="7" fillId="0" borderId="28" xfId="10" applyNumberFormat="1" applyFont="1" applyBorder="1" applyAlignment="1" applyProtection="1">
      <alignment horizontal="right"/>
    </xf>
    <xf numFmtId="175" fontId="7" fillId="0" borderId="1" xfId="10" applyNumberFormat="1" applyFont="1" applyBorder="1" applyAlignment="1" applyProtection="1">
      <alignment horizontal="right"/>
    </xf>
    <xf numFmtId="175" fontId="7" fillId="0" borderId="0" xfId="10" applyNumberFormat="1" applyFont="1" applyFill="1" applyBorder="1" applyAlignment="1" applyProtection="1">
      <alignment horizontal="right"/>
    </xf>
    <xf numFmtId="171" fontId="7" fillId="0" borderId="27" xfId="10" applyNumberFormat="1" applyFont="1" applyBorder="1" applyAlignment="1" applyProtection="1">
      <alignment horizontal="right"/>
    </xf>
    <xf numFmtId="171" fontId="7" fillId="0" borderId="31" xfId="10" applyNumberFormat="1" applyFont="1" applyBorder="1" applyAlignment="1" applyProtection="1">
      <alignment horizontal="right"/>
    </xf>
    <xf numFmtId="175" fontId="7" fillId="0" borderId="33" xfId="10" applyNumberFormat="1" applyFont="1" applyBorder="1" applyAlignment="1" applyProtection="1">
      <alignment horizontal="right"/>
    </xf>
    <xf numFmtId="175" fontId="7" fillId="0" borderId="32" xfId="10" applyNumberFormat="1" applyFont="1" applyBorder="1" applyAlignment="1" applyProtection="1">
      <alignment horizontal="right"/>
    </xf>
    <xf numFmtId="175" fontId="7" fillId="0" borderId="34" xfId="10" applyNumberFormat="1" applyFont="1" applyBorder="1" applyAlignment="1" applyProtection="1">
      <alignment horizontal="right"/>
    </xf>
    <xf numFmtId="175" fontId="7" fillId="0" borderId="31" xfId="10" applyNumberFormat="1" applyFont="1" applyBorder="1" applyAlignment="1" applyProtection="1">
      <alignment horizontal="right"/>
    </xf>
    <xf numFmtId="0" fontId="7" fillId="0" borderId="0" xfId="10" applyFont="1" applyBorder="1" applyAlignment="1" applyProtection="1">
      <alignment horizontal="left" vertical="center"/>
    </xf>
    <xf numFmtId="0" fontId="74" fillId="0" borderId="0" xfId="10" applyFont="1"/>
    <xf numFmtId="172" fontId="7" fillId="0" borderId="0" xfId="10" applyNumberFormat="1" applyFont="1" applyFill="1" applyBorder="1" applyAlignment="1" applyProtection="1">
      <alignment horizontal="right"/>
    </xf>
    <xf numFmtId="0" fontId="7" fillId="57" borderId="0" xfId="10" applyFont="1" applyFill="1"/>
    <xf numFmtId="165" fontId="7" fillId="57" borderId="0" xfId="10" applyNumberFormat="1" applyFont="1" applyFill="1" applyBorder="1" applyAlignment="1" applyProtection="1"/>
    <xf numFmtId="0" fontId="74" fillId="57" borderId="26" xfId="10" applyFont="1" applyFill="1" applyBorder="1" applyAlignment="1" applyProtection="1"/>
    <xf numFmtId="170" fontId="7" fillId="57" borderId="28" xfId="10" applyNumberFormat="1" applyFont="1" applyFill="1" applyBorder="1" applyAlignment="1" applyProtection="1">
      <alignment horizontal="right"/>
    </xf>
    <xf numFmtId="0" fontId="74" fillId="57" borderId="35" xfId="10" applyFont="1" applyFill="1" applyBorder="1" applyAlignment="1" applyProtection="1"/>
    <xf numFmtId="175" fontId="7" fillId="57" borderId="28" xfId="10" applyNumberFormat="1" applyFont="1" applyFill="1" applyBorder="1" applyAlignment="1" applyProtection="1">
      <alignment horizontal="right"/>
    </xf>
    <xf numFmtId="175" fontId="7" fillId="57" borderId="34" xfId="10" applyNumberFormat="1" applyFont="1" applyFill="1" applyBorder="1" applyAlignment="1" applyProtection="1">
      <alignment horizontal="right"/>
    </xf>
    <xf numFmtId="0" fontId="9" fillId="0" borderId="0" xfId="2" applyFont="1" applyBorder="1" applyAlignment="1">
      <alignment horizontal="center" vertical="top"/>
    </xf>
    <xf numFmtId="0" fontId="8" fillId="0" borderId="0" xfId="2" applyFont="1" applyBorder="1"/>
    <xf numFmtId="1" fontId="8" fillId="0" borderId="0" xfId="2" applyNumberFormat="1" applyFont="1" applyBorder="1"/>
    <xf numFmtId="0" fontId="9" fillId="57" borderId="0" xfId="2" applyFont="1" applyFill="1" applyBorder="1" applyAlignment="1">
      <alignment horizontal="center" vertical="top"/>
    </xf>
    <xf numFmtId="0" fontId="8" fillId="57" borderId="0" xfId="2" applyFont="1" applyFill="1" applyBorder="1"/>
    <xf numFmtId="1" fontId="8" fillId="57" borderId="0" xfId="2" applyNumberFormat="1" applyFont="1" applyFill="1" applyBorder="1"/>
    <xf numFmtId="0" fontId="8" fillId="0" borderId="0" xfId="2" applyFont="1" applyFill="1" applyBorder="1"/>
    <xf numFmtId="0" fontId="87" fillId="0" borderId="0" xfId="1" applyFont="1" applyBorder="1" applyAlignment="1">
      <alignment vertical="center"/>
    </xf>
    <xf numFmtId="0" fontId="100" fillId="0" borderId="0" xfId="2" applyFont="1" applyFill="1" applyBorder="1"/>
    <xf numFmtId="0" fontId="4" fillId="0" borderId="0" xfId="1" applyBorder="1" applyAlignment="1">
      <alignment vertical="center"/>
    </xf>
    <xf numFmtId="1" fontId="8" fillId="0" borderId="0" xfId="2" applyNumberFormat="1" applyFont="1" applyFill="1" applyBorder="1"/>
    <xf numFmtId="169" fontId="8" fillId="0" borderId="0" xfId="466" applyNumberFormat="1" applyFont="1" applyFill="1" applyBorder="1"/>
    <xf numFmtId="0" fontId="24" fillId="0" borderId="0" xfId="1" applyFont="1" applyBorder="1" applyAlignment="1">
      <alignment vertical="center"/>
    </xf>
    <xf numFmtId="1" fontId="86" fillId="0" borderId="0" xfId="1" applyNumberFormat="1" applyFont="1" applyBorder="1" applyAlignment="1" applyProtection="1">
      <alignment horizontal="center" vertical="center"/>
    </xf>
    <xf numFmtId="1" fontId="24" fillId="0" borderId="0" xfId="1" applyNumberFormat="1" applyFont="1" applyBorder="1" applyAlignment="1">
      <alignment horizontal="center" vertical="center"/>
    </xf>
    <xf numFmtId="176" fontId="6" fillId="0" borderId="0" xfId="1" applyNumberFormat="1" applyFont="1" applyBorder="1" applyAlignment="1">
      <alignment vertical="center"/>
    </xf>
    <xf numFmtId="1" fontId="0" fillId="0" borderId="0" xfId="0" applyNumberFormat="1" applyBorder="1"/>
    <xf numFmtId="176" fontId="87" fillId="0" borderId="0" xfId="1" applyNumberFormat="1" applyFont="1" applyBorder="1" applyAlignment="1">
      <alignment vertical="center"/>
    </xf>
    <xf numFmtId="0" fontId="9" fillId="0" borderId="0" xfId="2" applyFont="1" applyFill="1" applyBorder="1" applyAlignment="1">
      <alignment horizontal="right" vertical="center"/>
    </xf>
    <xf numFmtId="1" fontId="8" fillId="0" borderId="0" xfId="2" applyNumberFormat="1" applyFont="1" applyFill="1" applyBorder="1" applyAlignment="1">
      <alignment horizontal="left" vertical="center"/>
    </xf>
    <xf numFmtId="0" fontId="108" fillId="0" borderId="0" xfId="0" applyFont="1" applyBorder="1" applyAlignment="1" applyProtection="1">
      <alignment horizontal="left" vertical="center"/>
    </xf>
    <xf numFmtId="0" fontId="108" fillId="0" borderId="0" xfId="0" applyFont="1" applyBorder="1" applyAlignment="1" applyProtection="1">
      <alignment horizontal="left" vertical="center" wrapText="1"/>
    </xf>
    <xf numFmtId="0" fontId="108" fillId="0" borderId="0" xfId="0" applyFont="1" applyAlignment="1" applyProtection="1">
      <alignment horizontal="left" vertical="center"/>
    </xf>
    <xf numFmtId="0" fontId="108" fillId="0" borderId="0" xfId="0" applyFont="1" applyAlignment="1" applyProtection="1">
      <alignment horizontal="left" vertical="center" wrapText="1"/>
    </xf>
    <xf numFmtId="0" fontId="108" fillId="0" borderId="0" xfId="0" applyFont="1" applyFill="1" applyBorder="1" applyAlignment="1" applyProtection="1">
      <alignment horizontal="left" vertical="center"/>
    </xf>
    <xf numFmtId="0" fontId="108" fillId="0" borderId="0" xfId="0" applyFont="1" applyFill="1" applyBorder="1" applyAlignment="1" applyProtection="1">
      <alignment horizontal="left" vertical="center" wrapText="1"/>
    </xf>
    <xf numFmtId="3" fontId="8" fillId="0" borderId="0" xfId="2" applyNumberFormat="1" applyFont="1" applyFill="1" applyBorder="1" applyAlignment="1">
      <alignment horizontal="center" vertical="center"/>
    </xf>
    <xf numFmtId="0" fontId="8" fillId="0" borderId="0" xfId="2" applyFont="1" applyFill="1" applyBorder="1" applyAlignment="1">
      <alignment horizontal="left" vertical="center"/>
    </xf>
    <xf numFmtId="0" fontId="87" fillId="0" borderId="0" xfId="1" applyFont="1" applyBorder="1" applyAlignment="1">
      <alignment vertical="center" wrapText="1"/>
    </xf>
    <xf numFmtId="164" fontId="0" fillId="0" borderId="0" xfId="0" applyNumberFormat="1"/>
    <xf numFmtId="0" fontId="95" fillId="67" borderId="41" xfId="0" applyFont="1" applyFill="1" applyBorder="1" applyAlignment="1">
      <alignment horizontal="center" vertical="center" wrapText="1"/>
    </xf>
    <xf numFmtId="0" fontId="95" fillId="67" borderId="42" xfId="0" applyFont="1" applyFill="1" applyBorder="1" applyAlignment="1">
      <alignment horizontal="center" vertical="center" wrapText="1"/>
    </xf>
    <xf numFmtId="0" fontId="12" fillId="67" borderId="43" xfId="0" applyFont="1" applyFill="1" applyBorder="1" applyAlignment="1">
      <alignment horizontal="center" vertical="center"/>
    </xf>
    <xf numFmtId="3" fontId="12" fillId="67" borderId="44" xfId="0" applyNumberFormat="1" applyFont="1" applyFill="1" applyBorder="1" applyAlignment="1">
      <alignment horizontal="center" vertical="center"/>
    </xf>
    <xf numFmtId="165" fontId="12" fillId="67" borderId="0" xfId="0" applyNumberFormat="1" applyFont="1" applyFill="1" applyBorder="1" applyAlignment="1">
      <alignment horizontal="center" vertical="center"/>
    </xf>
    <xf numFmtId="0" fontId="12" fillId="67" borderId="45" xfId="0" applyFont="1" applyFill="1" applyBorder="1" applyAlignment="1">
      <alignment horizontal="center" vertical="center"/>
    </xf>
    <xf numFmtId="165" fontId="12" fillId="67" borderId="45" xfId="0" applyNumberFormat="1" applyFont="1" applyFill="1" applyBorder="1" applyAlignment="1">
      <alignment horizontal="center" vertical="center"/>
    </xf>
    <xf numFmtId="3" fontId="93" fillId="67" borderId="46" xfId="0" applyNumberFormat="1" applyFont="1" applyFill="1" applyBorder="1" applyAlignment="1">
      <alignment horizontal="left" vertical="top" wrapText="1" indent="2"/>
    </xf>
    <xf numFmtId="2" fontId="12" fillId="67" borderId="47" xfId="0" applyNumberFormat="1" applyFont="1" applyFill="1" applyBorder="1" applyAlignment="1">
      <alignment horizontal="center" vertical="center"/>
    </xf>
    <xf numFmtId="0" fontId="12" fillId="67" borderId="48" xfId="0" applyFont="1" applyFill="1" applyBorder="1"/>
    <xf numFmtId="0" fontId="7" fillId="0" borderId="23" xfId="10" applyFont="1" applyBorder="1" applyAlignment="1" applyProtection="1">
      <alignment horizontal="center" vertical="center"/>
    </xf>
    <xf numFmtId="0" fontId="74" fillId="0" borderId="0" xfId="1" applyFont="1" applyAlignment="1" applyProtection="1"/>
    <xf numFmtId="0" fontId="7" fillId="0" borderId="0" xfId="1" applyFont="1"/>
    <xf numFmtId="0" fontId="7" fillId="0" borderId="0" xfId="1" applyFont="1" applyBorder="1" applyAlignment="1" applyProtection="1"/>
    <xf numFmtId="0" fontId="74" fillId="0" borderId="23" xfId="300" applyFont="1" applyBorder="1" applyAlignment="1" applyProtection="1">
      <alignment vertical="center"/>
    </xf>
    <xf numFmtId="0" fontId="74" fillId="0" borderId="24" xfId="300" applyFont="1" applyBorder="1" applyAlignment="1" applyProtection="1">
      <alignment horizontal="center" vertical="center"/>
    </xf>
    <xf numFmtId="0" fontId="74" fillId="0" borderId="25" xfId="300" applyFont="1" applyBorder="1" applyAlignment="1" applyProtection="1">
      <alignment horizontal="center" vertical="center"/>
    </xf>
    <xf numFmtId="0" fontId="74" fillId="57" borderId="24" xfId="300" applyFont="1" applyFill="1" applyBorder="1" applyAlignment="1" applyProtection="1">
      <alignment horizontal="center" vertical="center"/>
    </xf>
    <xf numFmtId="0" fontId="74" fillId="57" borderId="25" xfId="300" applyFont="1" applyFill="1" applyBorder="1" applyAlignment="1" applyProtection="1">
      <alignment horizontal="center" vertical="center"/>
    </xf>
    <xf numFmtId="0" fontId="74" fillId="0" borderId="0" xfId="300" applyFont="1" applyFill="1" applyBorder="1" applyAlignment="1" applyProtection="1">
      <alignment horizontal="center" vertical="center"/>
    </xf>
    <xf numFmtId="0" fontId="74" fillId="66" borderId="23" xfId="300" applyFont="1" applyFill="1" applyBorder="1" applyAlignment="1" applyProtection="1">
      <alignment horizontal="center" vertical="center"/>
    </xf>
    <xf numFmtId="0" fontId="74" fillId="0" borderId="0" xfId="300" applyFont="1"/>
    <xf numFmtId="0" fontId="74" fillId="0" borderId="26" xfId="1" applyFont="1" applyFill="1" applyBorder="1" applyAlignment="1" applyProtection="1"/>
    <xf numFmtId="0" fontId="74" fillId="0" borderId="26" xfId="10" applyFont="1" applyFill="1" applyBorder="1" applyAlignment="1" applyProtection="1"/>
    <xf numFmtId="0" fontId="7" fillId="0" borderId="0" xfId="1" applyFont="1" applyFill="1"/>
    <xf numFmtId="0" fontId="7" fillId="0" borderId="0" xfId="0" applyFont="1" applyAlignment="1" applyProtection="1">
      <alignment horizontal="left"/>
    </xf>
    <xf numFmtId="170" fontId="7" fillId="0" borderId="49" xfId="0" applyNumberFormat="1" applyFont="1" applyBorder="1" applyAlignment="1" applyProtection="1">
      <alignment horizontal="right"/>
    </xf>
    <xf numFmtId="170" fontId="7" fillId="0" borderId="50" xfId="0" applyNumberFormat="1" applyFont="1" applyBorder="1" applyAlignment="1" applyProtection="1">
      <alignment horizontal="right"/>
    </xf>
    <xf numFmtId="170" fontId="7" fillId="0" borderId="0" xfId="0" applyNumberFormat="1" applyFont="1" applyAlignment="1"/>
    <xf numFmtId="0" fontId="7" fillId="0" borderId="0" xfId="0" applyFont="1" applyAlignment="1"/>
    <xf numFmtId="170" fontId="7" fillId="0" borderId="51" xfId="0" applyNumberFormat="1" applyFont="1" applyBorder="1" applyAlignment="1" applyProtection="1">
      <alignment horizontal="right"/>
    </xf>
    <xf numFmtId="170" fontId="7" fillId="0" borderId="52" xfId="0" applyNumberFormat="1" applyFont="1" applyBorder="1" applyAlignment="1" applyProtection="1">
      <alignment horizontal="right"/>
    </xf>
    <xf numFmtId="170" fontId="74" fillId="0" borderId="0" xfId="0" applyNumberFormat="1" applyFont="1" applyAlignment="1"/>
    <xf numFmtId="0" fontId="74" fillId="0" borderId="0" xfId="0" applyFont="1" applyAlignment="1"/>
    <xf numFmtId="170" fontId="7" fillId="0" borderId="53" xfId="0" applyNumberFormat="1" applyFont="1" applyBorder="1" applyAlignment="1" applyProtection="1">
      <alignment horizontal="right"/>
    </xf>
    <xf numFmtId="170" fontId="7" fillId="0" borderId="54" xfId="0" applyNumberFormat="1" applyFont="1" applyBorder="1" applyAlignment="1" applyProtection="1">
      <alignment horizontal="right"/>
    </xf>
    <xf numFmtId="0" fontId="74" fillId="0" borderId="55" xfId="1" applyFont="1" applyFill="1" applyBorder="1" applyAlignment="1" applyProtection="1"/>
    <xf numFmtId="0" fontId="74" fillId="0" borderId="35" xfId="10" applyFont="1" applyFill="1" applyBorder="1" applyAlignment="1" applyProtection="1"/>
    <xf numFmtId="0" fontId="74" fillId="0" borderId="35" xfId="263" applyFont="1" applyFill="1" applyBorder="1" applyAlignment="1" applyProtection="1"/>
    <xf numFmtId="0" fontId="74" fillId="0" borderId="55" xfId="1" applyFont="1" applyFill="1" applyBorder="1" applyAlignment="1" applyProtection="1">
      <alignment horizontal="center"/>
    </xf>
    <xf numFmtId="170" fontId="7" fillId="0" borderId="0" xfId="1" applyNumberFormat="1" applyFont="1" applyFill="1"/>
    <xf numFmtId="0" fontId="7" fillId="0" borderId="0" xfId="1" applyFont="1" applyFill="1" applyAlignment="1" applyProtection="1">
      <alignment horizontal="left"/>
    </xf>
    <xf numFmtId="0" fontId="7" fillId="0" borderId="0" xfId="1" applyFont="1" applyFill="1" applyAlignment="1"/>
    <xf numFmtId="0" fontId="74" fillId="0" borderId="0" xfId="1" applyFont="1" applyFill="1" applyAlignment="1"/>
    <xf numFmtId="0" fontId="7" fillId="0" borderId="0" xfId="0" applyFont="1" applyBorder="1" applyAlignment="1"/>
    <xf numFmtId="171" fontId="7" fillId="0" borderId="28" xfId="10" applyNumberFormat="1" applyFont="1" applyFill="1" applyBorder="1" applyAlignment="1" applyProtection="1">
      <alignment horizontal="right"/>
    </xf>
    <xf numFmtId="171" fontId="7" fillId="0" borderId="1" xfId="10" applyNumberFormat="1" applyFont="1" applyFill="1" applyBorder="1" applyAlignment="1" applyProtection="1">
      <alignment horizontal="right"/>
    </xf>
    <xf numFmtId="171" fontId="7" fillId="0" borderId="2" xfId="10" applyNumberFormat="1" applyFont="1" applyFill="1" applyBorder="1" applyAlignment="1" applyProtection="1">
      <alignment horizontal="right"/>
    </xf>
    <xf numFmtId="171" fontId="7" fillId="0" borderId="3" xfId="10" applyNumberFormat="1" applyFont="1" applyFill="1" applyBorder="1" applyAlignment="1" applyProtection="1">
      <alignment horizontal="right"/>
    </xf>
    <xf numFmtId="171" fontId="7" fillId="0" borderId="0" xfId="10" applyNumberFormat="1" applyFont="1" applyFill="1" applyBorder="1" applyAlignment="1" applyProtection="1">
      <alignment horizontal="right"/>
    </xf>
    <xf numFmtId="171" fontId="7" fillId="0" borderId="27" xfId="10" applyNumberFormat="1" applyFont="1" applyFill="1" applyBorder="1" applyAlignment="1" applyProtection="1">
      <alignment horizontal="right"/>
    </xf>
    <xf numFmtId="171" fontId="7" fillId="0" borderId="49" xfId="263" applyNumberFormat="1" applyFont="1" applyFill="1" applyBorder="1" applyAlignment="1" applyProtection="1">
      <alignment horizontal="right"/>
    </xf>
    <xf numFmtId="171" fontId="7" fillId="0" borderId="50" xfId="263" applyNumberFormat="1" applyFont="1" applyFill="1" applyBorder="1" applyAlignment="1" applyProtection="1">
      <alignment horizontal="right"/>
    </xf>
    <xf numFmtId="177" fontId="7" fillId="0" borderId="0" xfId="1" applyNumberFormat="1" applyFont="1" applyFill="1" applyBorder="1" applyAlignment="1" applyProtection="1">
      <alignment horizontal="right"/>
    </xf>
    <xf numFmtId="177" fontId="7" fillId="0" borderId="27" xfId="1" applyNumberFormat="1" applyFont="1" applyFill="1" applyBorder="1" applyAlignment="1" applyProtection="1">
      <alignment horizontal="right"/>
    </xf>
    <xf numFmtId="177" fontId="7" fillId="0" borderId="28" xfId="1" applyNumberFormat="1" applyFont="1" applyFill="1" applyBorder="1" applyAlignment="1" applyProtection="1">
      <alignment horizontal="right"/>
    </xf>
    <xf numFmtId="171" fontId="7" fillId="0" borderId="1" xfId="1" applyNumberFormat="1" applyFont="1" applyFill="1" applyBorder="1" applyAlignment="1" applyProtection="1">
      <alignment horizontal="right"/>
    </xf>
    <xf numFmtId="171" fontId="7" fillId="0" borderId="2" xfId="1" applyNumberFormat="1" applyFont="1" applyFill="1" applyBorder="1" applyAlignment="1" applyProtection="1">
      <alignment horizontal="right"/>
    </xf>
    <xf numFmtId="171" fontId="7" fillId="0" borderId="3" xfId="1" applyNumberFormat="1" applyFont="1" applyFill="1" applyBorder="1" applyAlignment="1" applyProtection="1">
      <alignment horizontal="right"/>
    </xf>
    <xf numFmtId="171" fontId="7" fillId="0" borderId="0" xfId="1" applyNumberFormat="1" applyFont="1" applyFill="1" applyBorder="1" applyAlignment="1" applyProtection="1">
      <alignment horizontal="right"/>
    </xf>
    <xf numFmtId="171" fontId="7" fillId="0" borderId="27" xfId="1" applyNumberFormat="1" applyFont="1" applyFill="1" applyBorder="1" applyAlignment="1" applyProtection="1">
      <alignment horizontal="right"/>
    </xf>
    <xf numFmtId="171" fontId="7" fillId="0" borderId="28" xfId="1" applyNumberFormat="1" applyFont="1" applyFill="1" applyBorder="1" applyAlignment="1" applyProtection="1">
      <alignment horizontal="right"/>
    </xf>
    <xf numFmtId="171" fontId="7" fillId="0" borderId="51" xfId="263" applyNumberFormat="1" applyFont="1" applyFill="1" applyBorder="1" applyAlignment="1" applyProtection="1">
      <alignment horizontal="right"/>
    </xf>
    <xf numFmtId="171" fontId="7" fillId="0" borderId="52" xfId="263" applyNumberFormat="1" applyFont="1" applyFill="1" applyBorder="1" applyAlignment="1" applyProtection="1">
      <alignment horizontal="right"/>
    </xf>
    <xf numFmtId="171" fontId="7" fillId="0" borderId="1" xfId="1" applyNumberFormat="1" applyFont="1" applyFill="1" applyBorder="1" applyAlignment="1" applyProtection="1"/>
    <xf numFmtId="171" fontId="7" fillId="0" borderId="2" xfId="1" applyNumberFormat="1" applyFont="1" applyFill="1" applyBorder="1" applyAlignment="1" applyProtection="1"/>
    <xf numFmtId="171" fontId="7" fillId="0" borderId="3" xfId="1" applyNumberFormat="1" applyFont="1" applyFill="1" applyBorder="1" applyAlignment="1" applyProtection="1"/>
    <xf numFmtId="171" fontId="7" fillId="0" borderId="0" xfId="1" applyNumberFormat="1" applyFont="1" applyFill="1" applyBorder="1" applyAlignment="1" applyProtection="1"/>
    <xf numFmtId="171" fontId="7" fillId="0" borderId="27" xfId="1" applyNumberFormat="1" applyFont="1" applyFill="1" applyBorder="1" applyAlignment="1" applyProtection="1"/>
    <xf numFmtId="171" fontId="7" fillId="0" borderId="28" xfId="1" applyNumberFormat="1" applyFont="1" applyFill="1" applyBorder="1" applyAlignment="1" applyProtection="1"/>
    <xf numFmtId="0" fontId="7" fillId="0" borderId="30" xfId="1" applyFont="1" applyFill="1" applyBorder="1" applyAlignment="1"/>
    <xf numFmtId="171" fontId="7" fillId="0" borderId="34" xfId="10" applyNumberFormat="1" applyFont="1" applyFill="1" applyBorder="1" applyAlignment="1" applyProtection="1">
      <alignment horizontal="right"/>
    </xf>
    <xf numFmtId="171" fontId="7" fillId="0" borderId="31" xfId="10" applyNumberFormat="1" applyFont="1" applyFill="1" applyBorder="1" applyAlignment="1" applyProtection="1">
      <alignment horizontal="right"/>
    </xf>
    <xf numFmtId="171" fontId="7" fillId="0" borderId="32" xfId="10" applyNumberFormat="1" applyFont="1" applyFill="1" applyBorder="1" applyAlignment="1" applyProtection="1">
      <alignment horizontal="right"/>
    </xf>
    <xf numFmtId="171" fontId="7" fillId="0" borderId="33" xfId="10" applyNumberFormat="1" applyFont="1" applyFill="1" applyBorder="1" applyAlignment="1" applyProtection="1">
      <alignment horizontal="right"/>
    </xf>
    <xf numFmtId="171" fontId="7" fillId="0" borderId="56" xfId="263" applyNumberFormat="1" applyFont="1" applyFill="1" applyBorder="1" applyAlignment="1" applyProtection="1">
      <alignment horizontal="right"/>
    </xf>
    <xf numFmtId="171" fontId="7" fillId="0" borderId="57" xfId="263" applyNumberFormat="1" applyFont="1" applyFill="1" applyBorder="1" applyAlignment="1" applyProtection="1">
      <alignment horizontal="right"/>
    </xf>
    <xf numFmtId="177" fontId="7" fillId="0" borderId="32" xfId="1" applyNumberFormat="1" applyFont="1" applyFill="1" applyBorder="1" applyAlignment="1" applyProtection="1">
      <alignment horizontal="right"/>
    </xf>
    <xf numFmtId="177" fontId="7" fillId="0" borderId="33" xfId="1" applyNumberFormat="1" applyFont="1" applyFill="1" applyBorder="1" applyAlignment="1" applyProtection="1">
      <alignment horizontal="right"/>
    </xf>
    <xf numFmtId="177" fontId="7" fillId="0" borderId="34" xfId="1" applyNumberFormat="1" applyFont="1" applyFill="1" applyBorder="1" applyAlignment="1" applyProtection="1">
      <alignment horizontal="right"/>
    </xf>
    <xf numFmtId="171" fontId="7" fillId="0" borderId="31" xfId="1" applyNumberFormat="1" applyFont="1" applyFill="1" applyBorder="1" applyAlignment="1" applyProtection="1">
      <alignment horizontal="right"/>
    </xf>
    <xf numFmtId="171" fontId="7" fillId="0" borderId="32" xfId="1" applyNumberFormat="1" applyFont="1" applyFill="1" applyBorder="1" applyAlignment="1" applyProtection="1">
      <alignment horizontal="right"/>
    </xf>
    <xf numFmtId="171" fontId="7" fillId="0" borderId="33" xfId="1" applyNumberFormat="1" applyFont="1" applyFill="1" applyBorder="1" applyAlignment="1" applyProtection="1">
      <alignment horizontal="right"/>
    </xf>
    <xf numFmtId="171" fontId="7" fillId="0" borderId="34" xfId="1" applyNumberFormat="1" applyFont="1" applyFill="1" applyBorder="1" applyAlignment="1" applyProtection="1">
      <alignment horizontal="right"/>
    </xf>
    <xf numFmtId="0" fontId="7" fillId="0" borderId="0" xfId="1" applyFont="1" applyBorder="1" applyAlignment="1" applyProtection="1">
      <alignment horizontal="left" vertical="center"/>
    </xf>
    <xf numFmtId="170" fontId="7" fillId="67" borderId="58" xfId="10" applyNumberFormat="1" applyFont="1" applyFill="1" applyBorder="1" applyAlignment="1" applyProtection="1">
      <alignment horizontal="right"/>
    </xf>
    <xf numFmtId="170" fontId="7" fillId="67" borderId="59" xfId="10" applyNumberFormat="1" applyFont="1" applyFill="1" applyBorder="1" applyAlignment="1" applyProtection="1">
      <alignment horizontal="right"/>
    </xf>
    <xf numFmtId="0" fontId="3" fillId="0" borderId="0" xfId="0" applyFont="1" applyFill="1"/>
    <xf numFmtId="0" fontId="3" fillId="0" borderId="0" xfId="0" applyFont="1" applyFill="1" applyAlignment="1">
      <alignment horizontal="center"/>
    </xf>
    <xf numFmtId="0" fontId="0" fillId="0" borderId="0" xfId="0" applyFill="1"/>
    <xf numFmtId="1" fontId="0" fillId="0" borderId="0" xfId="0" applyNumberFormat="1" applyFont="1" applyFill="1"/>
    <xf numFmtId="3" fontId="0" fillId="0" borderId="0" xfId="0" applyNumberFormat="1" applyFont="1" applyFill="1"/>
    <xf numFmtId="2" fontId="0" fillId="0" borderId="0" xfId="0" applyNumberFormat="1" applyFont="1" applyFill="1"/>
    <xf numFmtId="165" fontId="0" fillId="67" borderId="40" xfId="0" applyNumberFormat="1" applyFill="1" applyBorder="1"/>
    <xf numFmtId="0" fontId="0" fillId="0" borderId="0" xfId="0" applyAlignment="1">
      <alignment horizontal="center" vertical="center"/>
    </xf>
    <xf numFmtId="0" fontId="87" fillId="0" borderId="0" xfId="1" applyFont="1" applyFill="1" applyBorder="1" applyAlignment="1">
      <alignment vertical="center"/>
    </xf>
    <xf numFmtId="0" fontId="4" fillId="0" borderId="0" xfId="1" applyFill="1" applyBorder="1" applyAlignment="1">
      <alignment vertical="center"/>
    </xf>
    <xf numFmtId="0" fontId="74" fillId="0" borderId="30" xfId="0" applyFont="1" applyBorder="1" applyAlignment="1"/>
    <xf numFmtId="170" fontId="74" fillId="0" borderId="49" xfId="0" applyNumberFormat="1" applyFont="1" applyBorder="1" applyAlignment="1" applyProtection="1">
      <alignment horizontal="right"/>
    </xf>
    <xf numFmtId="170" fontId="74" fillId="0" borderId="50" xfId="0" applyNumberFormat="1" applyFont="1" applyBorder="1" applyAlignment="1" applyProtection="1">
      <alignment horizontal="right"/>
    </xf>
    <xf numFmtId="170" fontId="74" fillId="0" borderId="28" xfId="10" applyNumberFormat="1" applyFont="1" applyFill="1" applyBorder="1" applyAlignment="1" applyProtection="1">
      <alignment horizontal="right"/>
    </xf>
    <xf numFmtId="170" fontId="74" fillId="67" borderId="28" xfId="10" applyNumberFormat="1" applyFont="1" applyFill="1" applyBorder="1" applyAlignment="1" applyProtection="1">
      <alignment horizontal="right"/>
    </xf>
    <xf numFmtId="0" fontId="74" fillId="0" borderId="0" xfId="0" applyFont="1" applyBorder="1" applyAlignment="1"/>
    <xf numFmtId="0" fontId="74" fillId="0" borderId="30" xfId="10" applyFont="1" applyBorder="1" applyAlignment="1"/>
    <xf numFmtId="170" fontId="74" fillId="0" borderId="31" xfId="10" applyNumberFormat="1" applyFont="1" applyBorder="1" applyAlignment="1" applyProtection="1">
      <alignment horizontal="right"/>
    </xf>
    <xf numFmtId="170" fontId="74" fillId="0" borderId="32" xfId="10" applyNumberFormat="1" applyFont="1" applyBorder="1" applyAlignment="1" applyProtection="1">
      <alignment horizontal="right"/>
    </xf>
    <xf numFmtId="170" fontId="74" fillId="0" borderId="33" xfId="10" applyNumberFormat="1" applyFont="1" applyBorder="1" applyAlignment="1" applyProtection="1">
      <alignment horizontal="right"/>
    </xf>
    <xf numFmtId="170" fontId="74" fillId="0" borderId="34" xfId="10" applyNumberFormat="1" applyFont="1" applyBorder="1" applyAlignment="1" applyProtection="1">
      <alignment horizontal="right"/>
    </xf>
    <xf numFmtId="170" fontId="74" fillId="57" borderId="34" xfId="10" applyNumberFormat="1" applyFont="1" applyFill="1" applyBorder="1" applyAlignment="1" applyProtection="1">
      <alignment horizontal="right"/>
    </xf>
    <xf numFmtId="170" fontId="74" fillId="0" borderId="39" xfId="10" applyNumberFormat="1" applyFont="1" applyBorder="1" applyAlignment="1" applyProtection="1">
      <alignment horizontal="right"/>
    </xf>
    <xf numFmtId="170" fontId="74" fillId="0" borderId="1" xfId="10" applyNumberFormat="1" applyFont="1" applyBorder="1" applyAlignment="1" applyProtection="1">
      <alignment horizontal="right"/>
    </xf>
    <xf numFmtId="170" fontId="74" fillId="0" borderId="0" xfId="10" applyNumberFormat="1" applyFont="1" applyFill="1" applyBorder="1" applyAlignment="1" applyProtection="1">
      <alignment horizontal="right"/>
    </xf>
    <xf numFmtId="170" fontId="7" fillId="0" borderId="51" xfId="0" applyNumberFormat="1" applyFont="1" applyBorder="1" applyAlignment="1" applyProtection="1">
      <alignment horizontal="center"/>
    </xf>
    <xf numFmtId="2" fontId="24" fillId="67" borderId="55" xfId="1" applyNumberFormat="1" applyFont="1" applyFill="1" applyBorder="1" applyAlignment="1" applyProtection="1">
      <alignment horizontal="center"/>
    </xf>
    <xf numFmtId="0" fontId="8" fillId="67" borderId="46" xfId="2" applyFont="1" applyFill="1" applyBorder="1"/>
    <xf numFmtId="0" fontId="8" fillId="67" borderId="48" xfId="2" applyFont="1" applyFill="1" applyBorder="1"/>
    <xf numFmtId="0" fontId="8" fillId="67" borderId="58" xfId="2" applyFont="1" applyFill="1" applyBorder="1"/>
    <xf numFmtId="0" fontId="8" fillId="67" borderId="61" xfId="2" applyFont="1" applyFill="1" applyBorder="1"/>
    <xf numFmtId="1" fontId="0" fillId="67" borderId="60" xfId="0" applyNumberFormat="1" applyFill="1" applyBorder="1"/>
    <xf numFmtId="2" fontId="0" fillId="68" borderId="0" xfId="0" applyNumberFormat="1" applyFont="1" applyFill="1"/>
    <xf numFmtId="2" fontId="0" fillId="0" borderId="60" xfId="0" applyNumberFormat="1" applyBorder="1"/>
    <xf numFmtId="167" fontId="0" fillId="0" borderId="60" xfId="0" applyNumberFormat="1" applyBorder="1"/>
    <xf numFmtId="164" fontId="0" fillId="0" borderId="0" xfId="0" applyNumberFormat="1" applyBorder="1"/>
    <xf numFmtId="2" fontId="0" fillId="0" borderId="61" xfId="0" applyNumberFormat="1" applyBorder="1"/>
    <xf numFmtId="3" fontId="8" fillId="0" borderId="60" xfId="2" applyNumberFormat="1" applyFont="1" applyFill="1" applyBorder="1" applyAlignment="1">
      <alignment horizontal="center" vertical="center"/>
    </xf>
    <xf numFmtId="3" fontId="8" fillId="69" borderId="60" xfId="2" applyNumberFormat="1" applyFont="1" applyFill="1" applyBorder="1" applyAlignment="1">
      <alignment horizontal="center" vertical="center"/>
    </xf>
    <xf numFmtId="170" fontId="7" fillId="0" borderId="0" xfId="1" applyNumberFormat="1" applyFont="1"/>
    <xf numFmtId="1" fontId="7" fillId="0" borderId="0" xfId="1" applyNumberFormat="1" applyFont="1"/>
    <xf numFmtId="170" fontId="7" fillId="0" borderId="60" xfId="1" applyNumberFormat="1" applyFont="1" applyBorder="1"/>
    <xf numFmtId="2" fontId="7" fillId="0" borderId="60" xfId="1" applyNumberFormat="1" applyFont="1" applyBorder="1"/>
    <xf numFmtId="170" fontId="7" fillId="0" borderId="62" xfId="0" applyNumberFormat="1" applyFont="1" applyBorder="1" applyAlignment="1" applyProtection="1">
      <alignment horizontal="right"/>
    </xf>
    <xf numFmtId="170" fontId="7" fillId="0" borderId="60" xfId="0" applyNumberFormat="1" applyFont="1" applyBorder="1" applyAlignment="1" applyProtection="1">
      <alignment horizontal="right"/>
    </xf>
    <xf numFmtId="170" fontId="7" fillId="0" borderId="60" xfId="0" applyNumberFormat="1" applyFont="1" applyBorder="1" applyAlignment="1"/>
    <xf numFmtId="170" fontId="74" fillId="0" borderId="0" xfId="10" applyNumberFormat="1" applyFont="1" applyFill="1" applyBorder="1" applyAlignment="1" applyProtection="1"/>
    <xf numFmtId="0" fontId="9" fillId="0" borderId="0" xfId="2" applyFont="1" applyBorder="1" applyAlignment="1">
      <alignment horizontal="center" vertical="top"/>
    </xf>
    <xf numFmtId="49" fontId="36" fillId="59" borderId="0" xfId="0" applyNumberFormat="1" applyFont="1" applyFill="1" applyAlignment="1">
      <alignment horizontal="center" vertical="center" wrapText="1"/>
    </xf>
  </cellXfs>
  <cellStyles count="481">
    <cellStyle name="20% - Accent1 2" xfId="11" xr:uid="{00000000-0005-0000-0000-000000000000}"/>
    <cellStyle name="20% - Accent1 3" xfId="12" xr:uid="{00000000-0005-0000-0000-000001000000}"/>
    <cellStyle name="20% - Accent1 4" xfId="13" xr:uid="{00000000-0005-0000-0000-000002000000}"/>
    <cellStyle name="20% - Accent1 5" xfId="14" xr:uid="{00000000-0005-0000-0000-000003000000}"/>
    <cellStyle name="20% - Accent2 2" xfId="15" xr:uid="{00000000-0005-0000-0000-000004000000}"/>
    <cellStyle name="20% - Accent2 3" xfId="16" xr:uid="{00000000-0005-0000-0000-000005000000}"/>
    <cellStyle name="20% - Accent2 4" xfId="17" xr:uid="{00000000-0005-0000-0000-000006000000}"/>
    <cellStyle name="20% - Accent2 5" xfId="18" xr:uid="{00000000-0005-0000-0000-000007000000}"/>
    <cellStyle name="20% - Accent3 2" xfId="19" xr:uid="{00000000-0005-0000-0000-000008000000}"/>
    <cellStyle name="20% - Accent3 3" xfId="20" xr:uid="{00000000-0005-0000-0000-000009000000}"/>
    <cellStyle name="20% - Accent3 4" xfId="21" xr:uid="{00000000-0005-0000-0000-00000A000000}"/>
    <cellStyle name="20% - Accent3 5" xfId="22" xr:uid="{00000000-0005-0000-0000-00000B000000}"/>
    <cellStyle name="20% - Accent4 2" xfId="23" xr:uid="{00000000-0005-0000-0000-00000C000000}"/>
    <cellStyle name="20% - Accent4 3" xfId="24" xr:uid="{00000000-0005-0000-0000-00000D000000}"/>
    <cellStyle name="20% - Accent4 4" xfId="25" xr:uid="{00000000-0005-0000-0000-00000E000000}"/>
    <cellStyle name="20% - Accent4 5" xfId="26" xr:uid="{00000000-0005-0000-0000-00000F000000}"/>
    <cellStyle name="20% - Accent5 2" xfId="27" xr:uid="{00000000-0005-0000-0000-000010000000}"/>
    <cellStyle name="20% - Accent5 3" xfId="28" xr:uid="{00000000-0005-0000-0000-000011000000}"/>
    <cellStyle name="20% - Accent5 4" xfId="29" xr:uid="{00000000-0005-0000-0000-000012000000}"/>
    <cellStyle name="20% - Accent5 5" xfId="30" xr:uid="{00000000-0005-0000-0000-000013000000}"/>
    <cellStyle name="20% - Accent6 2" xfId="31" xr:uid="{00000000-0005-0000-0000-000014000000}"/>
    <cellStyle name="20% - Accent6 3" xfId="32" xr:uid="{00000000-0005-0000-0000-000015000000}"/>
    <cellStyle name="20% - Accent6 4" xfId="33" xr:uid="{00000000-0005-0000-0000-000016000000}"/>
    <cellStyle name="20% - Accent6 5" xfId="34" xr:uid="{00000000-0005-0000-0000-000017000000}"/>
    <cellStyle name="40% - Accent1 2" xfId="35" xr:uid="{00000000-0005-0000-0000-000018000000}"/>
    <cellStyle name="40% - Accent1 3" xfId="36" xr:uid="{00000000-0005-0000-0000-000019000000}"/>
    <cellStyle name="40% - Accent1 4" xfId="37" xr:uid="{00000000-0005-0000-0000-00001A000000}"/>
    <cellStyle name="40% - Accent1 5" xfId="38" xr:uid="{00000000-0005-0000-0000-00001B000000}"/>
    <cellStyle name="40% - Accent2 2" xfId="39" xr:uid="{00000000-0005-0000-0000-00001C000000}"/>
    <cellStyle name="40% - Accent2 3" xfId="40" xr:uid="{00000000-0005-0000-0000-00001D000000}"/>
    <cellStyle name="40% - Accent2 4" xfId="41" xr:uid="{00000000-0005-0000-0000-00001E000000}"/>
    <cellStyle name="40% - Accent2 5" xfId="42" xr:uid="{00000000-0005-0000-0000-00001F000000}"/>
    <cellStyle name="40% - Accent3 2" xfId="43" xr:uid="{00000000-0005-0000-0000-000020000000}"/>
    <cellStyle name="40% - Accent3 3" xfId="44" xr:uid="{00000000-0005-0000-0000-000021000000}"/>
    <cellStyle name="40% - Accent3 4" xfId="45" xr:uid="{00000000-0005-0000-0000-000022000000}"/>
    <cellStyle name="40% - Accent3 5" xfId="46" xr:uid="{00000000-0005-0000-0000-000023000000}"/>
    <cellStyle name="40% - Accent4 2" xfId="47" xr:uid="{00000000-0005-0000-0000-000024000000}"/>
    <cellStyle name="40% - Accent4 3" xfId="48" xr:uid="{00000000-0005-0000-0000-000025000000}"/>
    <cellStyle name="40% - Accent4 4" xfId="49" xr:uid="{00000000-0005-0000-0000-000026000000}"/>
    <cellStyle name="40% - Accent4 5" xfId="50" xr:uid="{00000000-0005-0000-0000-000027000000}"/>
    <cellStyle name="40% - Accent5 2" xfId="51" xr:uid="{00000000-0005-0000-0000-000028000000}"/>
    <cellStyle name="40% - Accent5 3" xfId="52" xr:uid="{00000000-0005-0000-0000-000029000000}"/>
    <cellStyle name="40% - Accent5 4" xfId="53" xr:uid="{00000000-0005-0000-0000-00002A000000}"/>
    <cellStyle name="40% - Accent5 5" xfId="54" xr:uid="{00000000-0005-0000-0000-00002B000000}"/>
    <cellStyle name="40% - Accent6 2" xfId="55" xr:uid="{00000000-0005-0000-0000-00002C000000}"/>
    <cellStyle name="40% - Accent6 3" xfId="56" xr:uid="{00000000-0005-0000-0000-00002D000000}"/>
    <cellStyle name="40% - Accent6 4" xfId="57" xr:uid="{00000000-0005-0000-0000-00002E000000}"/>
    <cellStyle name="40% - Accent6 5" xfId="58" xr:uid="{00000000-0005-0000-0000-00002F000000}"/>
    <cellStyle name="60% - Accent1 2" xfId="59" xr:uid="{00000000-0005-0000-0000-000030000000}"/>
    <cellStyle name="60% - Accent1 3" xfId="60" xr:uid="{00000000-0005-0000-0000-000031000000}"/>
    <cellStyle name="60% - Accent1 4" xfId="61" xr:uid="{00000000-0005-0000-0000-000032000000}"/>
    <cellStyle name="60% - Accent1 5" xfId="62" xr:uid="{00000000-0005-0000-0000-000033000000}"/>
    <cellStyle name="60% - Accent2 2" xfId="63" xr:uid="{00000000-0005-0000-0000-000034000000}"/>
    <cellStyle name="60% - Accent2 3" xfId="64" xr:uid="{00000000-0005-0000-0000-000035000000}"/>
    <cellStyle name="60% - Accent2 4" xfId="65" xr:uid="{00000000-0005-0000-0000-000036000000}"/>
    <cellStyle name="60% - Accent2 5" xfId="66" xr:uid="{00000000-0005-0000-0000-000037000000}"/>
    <cellStyle name="60% - Accent3 2" xfId="67" xr:uid="{00000000-0005-0000-0000-000038000000}"/>
    <cellStyle name="60% - Accent3 3" xfId="68" xr:uid="{00000000-0005-0000-0000-000039000000}"/>
    <cellStyle name="60% - Accent3 4" xfId="69" xr:uid="{00000000-0005-0000-0000-00003A000000}"/>
    <cellStyle name="60% - Accent3 5" xfId="70" xr:uid="{00000000-0005-0000-0000-00003B000000}"/>
    <cellStyle name="60% - Accent4 2" xfId="71" xr:uid="{00000000-0005-0000-0000-00003C000000}"/>
    <cellStyle name="60% - Accent4 3" xfId="72" xr:uid="{00000000-0005-0000-0000-00003D000000}"/>
    <cellStyle name="60% - Accent4 4" xfId="73" xr:uid="{00000000-0005-0000-0000-00003E000000}"/>
    <cellStyle name="60% - Accent4 5" xfId="74" xr:uid="{00000000-0005-0000-0000-00003F000000}"/>
    <cellStyle name="60% - Accent5 2" xfId="75" xr:uid="{00000000-0005-0000-0000-000040000000}"/>
    <cellStyle name="60% - Accent5 3" xfId="76" xr:uid="{00000000-0005-0000-0000-000041000000}"/>
    <cellStyle name="60% - Accent5 4" xfId="77" xr:uid="{00000000-0005-0000-0000-000042000000}"/>
    <cellStyle name="60% - Accent5 5" xfId="78" xr:uid="{00000000-0005-0000-0000-000043000000}"/>
    <cellStyle name="60% - Accent6 2" xfId="79" xr:uid="{00000000-0005-0000-0000-000044000000}"/>
    <cellStyle name="60% - Accent6 3" xfId="80" xr:uid="{00000000-0005-0000-0000-000045000000}"/>
    <cellStyle name="60% - Accent6 4" xfId="81" xr:uid="{00000000-0005-0000-0000-000046000000}"/>
    <cellStyle name="60% - Accent6 5" xfId="82" xr:uid="{00000000-0005-0000-0000-000047000000}"/>
    <cellStyle name="Accent1 2" xfId="83" xr:uid="{00000000-0005-0000-0000-000048000000}"/>
    <cellStyle name="Accent1 3" xfId="84" xr:uid="{00000000-0005-0000-0000-000049000000}"/>
    <cellStyle name="Accent1 4" xfId="85" xr:uid="{00000000-0005-0000-0000-00004A000000}"/>
    <cellStyle name="Accent1 5" xfId="86" xr:uid="{00000000-0005-0000-0000-00004B000000}"/>
    <cellStyle name="Accent2 2" xfId="87" xr:uid="{00000000-0005-0000-0000-00004C000000}"/>
    <cellStyle name="Accent2 3" xfId="88" xr:uid="{00000000-0005-0000-0000-00004D000000}"/>
    <cellStyle name="Accent2 4" xfId="89" xr:uid="{00000000-0005-0000-0000-00004E000000}"/>
    <cellStyle name="Accent2 5" xfId="90" xr:uid="{00000000-0005-0000-0000-00004F000000}"/>
    <cellStyle name="Accent3 2" xfId="91" xr:uid="{00000000-0005-0000-0000-000050000000}"/>
    <cellStyle name="Accent3 3" xfId="92" xr:uid="{00000000-0005-0000-0000-000051000000}"/>
    <cellStyle name="Accent3 4" xfId="93" xr:uid="{00000000-0005-0000-0000-000052000000}"/>
    <cellStyle name="Accent3 5" xfId="94" xr:uid="{00000000-0005-0000-0000-000053000000}"/>
    <cellStyle name="Accent4 2" xfId="95" xr:uid="{00000000-0005-0000-0000-000054000000}"/>
    <cellStyle name="Accent4 3" xfId="96" xr:uid="{00000000-0005-0000-0000-000055000000}"/>
    <cellStyle name="Accent4 4" xfId="97" xr:uid="{00000000-0005-0000-0000-000056000000}"/>
    <cellStyle name="Accent4 5" xfId="98" xr:uid="{00000000-0005-0000-0000-000057000000}"/>
    <cellStyle name="Accent5 2" xfId="99" xr:uid="{00000000-0005-0000-0000-000058000000}"/>
    <cellStyle name="Accent5 3" xfId="100" xr:uid="{00000000-0005-0000-0000-000059000000}"/>
    <cellStyle name="Accent5 4" xfId="101" xr:uid="{00000000-0005-0000-0000-00005A000000}"/>
    <cellStyle name="Accent5 5" xfId="102" xr:uid="{00000000-0005-0000-0000-00005B000000}"/>
    <cellStyle name="Accent6 2" xfId="103" xr:uid="{00000000-0005-0000-0000-00005C000000}"/>
    <cellStyle name="Accent6 3" xfId="104" xr:uid="{00000000-0005-0000-0000-00005D000000}"/>
    <cellStyle name="Accent6 4" xfId="105" xr:uid="{00000000-0005-0000-0000-00005E000000}"/>
    <cellStyle name="Accent6 5" xfId="106" xr:uid="{00000000-0005-0000-0000-00005F000000}"/>
    <cellStyle name="Bad 2" xfId="8" xr:uid="{00000000-0005-0000-0000-000060000000}"/>
    <cellStyle name="Bad 3" xfId="107" xr:uid="{00000000-0005-0000-0000-000061000000}"/>
    <cellStyle name="Bad 4" xfId="108" xr:uid="{00000000-0005-0000-0000-000062000000}"/>
    <cellStyle name="Bad 5" xfId="109" xr:uid="{00000000-0005-0000-0000-000063000000}"/>
    <cellStyle name="Calculation 2" xfId="110" xr:uid="{00000000-0005-0000-0000-000064000000}"/>
    <cellStyle name="Calculation 3" xfId="111" xr:uid="{00000000-0005-0000-0000-000065000000}"/>
    <cellStyle name="Calculation 4" xfId="112" xr:uid="{00000000-0005-0000-0000-000066000000}"/>
    <cellStyle name="Calculation 5" xfId="113" xr:uid="{00000000-0005-0000-0000-000067000000}"/>
    <cellStyle name="Check Cell 2" xfId="114" xr:uid="{00000000-0005-0000-0000-000068000000}"/>
    <cellStyle name="Check Cell 3" xfId="115" xr:uid="{00000000-0005-0000-0000-000069000000}"/>
    <cellStyle name="Check Cell 4" xfId="116" xr:uid="{00000000-0005-0000-0000-00006A000000}"/>
    <cellStyle name="Check Cell 5" xfId="117" xr:uid="{00000000-0005-0000-0000-00006B000000}"/>
    <cellStyle name="Comma" xfId="466" builtinId="3"/>
    <cellStyle name="Comma 2" xfId="4" xr:uid="{00000000-0005-0000-0000-00006D000000}"/>
    <cellStyle name="Comma 2 2" xfId="118" xr:uid="{00000000-0005-0000-0000-00006E000000}"/>
    <cellStyle name="Comma 2 3" xfId="223" xr:uid="{00000000-0005-0000-0000-00006F000000}"/>
    <cellStyle name="Comma 2 4" xfId="244" xr:uid="{00000000-0005-0000-0000-000070000000}"/>
    <cellStyle name="Comma 2 5" xfId="245" xr:uid="{00000000-0005-0000-0000-000071000000}"/>
    <cellStyle name="Comma 2 6" xfId="246" xr:uid="{00000000-0005-0000-0000-000072000000}"/>
    <cellStyle name="Comma 3" xfId="119" xr:uid="{00000000-0005-0000-0000-000073000000}"/>
    <cellStyle name="Comma 3 2" xfId="120" xr:uid="{00000000-0005-0000-0000-000074000000}"/>
    <cellStyle name="Comma 4" xfId="121" xr:uid="{00000000-0005-0000-0000-000075000000}"/>
    <cellStyle name="Comma 5" xfId="122" xr:uid="{00000000-0005-0000-0000-000076000000}"/>
    <cellStyle name="Comma 6" xfId="123" xr:uid="{00000000-0005-0000-0000-000077000000}"/>
    <cellStyle name="Comma 7" xfId="124" xr:uid="{00000000-0005-0000-0000-000078000000}"/>
    <cellStyle name="Comma 9" xfId="247" xr:uid="{00000000-0005-0000-0000-000079000000}"/>
    <cellStyle name="Comma0" xfId="226" xr:uid="{00000000-0005-0000-0000-00007A000000}"/>
    <cellStyle name="Comma0 2" xfId="227" xr:uid="{00000000-0005-0000-0000-00007B000000}"/>
    <cellStyle name="Comma1" xfId="228" xr:uid="{00000000-0005-0000-0000-00007C000000}"/>
    <cellStyle name="Comma1 2" xfId="229" xr:uid="{00000000-0005-0000-0000-00007D000000}"/>
    <cellStyle name="Currency 2" xfId="248" xr:uid="{00000000-0005-0000-0000-00007F000000}"/>
    <cellStyle name="Currency 3" xfId="249" xr:uid="{00000000-0005-0000-0000-000080000000}"/>
    <cellStyle name="Currency0" xfId="230" xr:uid="{00000000-0005-0000-0000-000081000000}"/>
    <cellStyle name="Currency0 2" xfId="231" xr:uid="{00000000-0005-0000-0000-000082000000}"/>
    <cellStyle name="Date" xfId="232" xr:uid="{00000000-0005-0000-0000-000083000000}"/>
    <cellStyle name="Date 2" xfId="233" xr:uid="{00000000-0005-0000-0000-000084000000}"/>
    <cellStyle name="Euro" xfId="125" xr:uid="{00000000-0005-0000-0000-000085000000}"/>
    <cellStyle name="Explanatory Text 2" xfId="126" xr:uid="{00000000-0005-0000-0000-000086000000}"/>
    <cellStyle name="Explanatory Text 3" xfId="127" xr:uid="{00000000-0005-0000-0000-000087000000}"/>
    <cellStyle name="Explanatory Text 4" xfId="128" xr:uid="{00000000-0005-0000-0000-000088000000}"/>
    <cellStyle name="Explanatory Text 5" xfId="129" xr:uid="{00000000-0005-0000-0000-000089000000}"/>
    <cellStyle name="Fixed" xfId="234" xr:uid="{00000000-0005-0000-0000-00008A000000}"/>
    <cellStyle name="Fixed 2" xfId="235" xr:uid="{00000000-0005-0000-0000-00008B000000}"/>
    <cellStyle name="Followed Hyperlink" xfId="224"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Good 2" xfId="130" xr:uid="{00000000-0005-0000-0000-000094000000}"/>
    <cellStyle name="Good 3" xfId="131" xr:uid="{00000000-0005-0000-0000-000095000000}"/>
    <cellStyle name="Good 4" xfId="132" xr:uid="{00000000-0005-0000-0000-000096000000}"/>
    <cellStyle name="Good 5" xfId="133" xr:uid="{00000000-0005-0000-0000-000097000000}"/>
    <cellStyle name="Heading 1 2" xfId="134" xr:uid="{00000000-0005-0000-0000-000098000000}"/>
    <cellStyle name="Heading 1 3" xfId="135" xr:uid="{00000000-0005-0000-0000-000099000000}"/>
    <cellStyle name="Heading 1 4" xfId="136" xr:uid="{00000000-0005-0000-0000-00009A000000}"/>
    <cellStyle name="Heading 1 5" xfId="137" xr:uid="{00000000-0005-0000-0000-00009B000000}"/>
    <cellStyle name="Heading 2 2" xfId="138" xr:uid="{00000000-0005-0000-0000-00009C000000}"/>
    <cellStyle name="Heading 2 3" xfId="139" xr:uid="{00000000-0005-0000-0000-00009D000000}"/>
    <cellStyle name="Heading 2 4" xfId="140" xr:uid="{00000000-0005-0000-0000-00009E000000}"/>
    <cellStyle name="Heading 2 5" xfId="141" xr:uid="{00000000-0005-0000-0000-00009F000000}"/>
    <cellStyle name="Heading 3 2" xfId="142" xr:uid="{00000000-0005-0000-0000-0000A0000000}"/>
    <cellStyle name="Heading 3 3" xfId="143" xr:uid="{00000000-0005-0000-0000-0000A1000000}"/>
    <cellStyle name="Heading 3 4" xfId="144" xr:uid="{00000000-0005-0000-0000-0000A2000000}"/>
    <cellStyle name="Heading 3 5" xfId="145" xr:uid="{00000000-0005-0000-0000-0000A3000000}"/>
    <cellStyle name="Heading 4 2" xfId="146" xr:uid="{00000000-0005-0000-0000-0000A4000000}"/>
    <cellStyle name="Heading 4 3" xfId="147" xr:uid="{00000000-0005-0000-0000-0000A5000000}"/>
    <cellStyle name="Heading 4 4" xfId="148" xr:uid="{00000000-0005-0000-0000-0000A6000000}"/>
    <cellStyle name="Heading 4 5" xfId="149" xr:uid="{00000000-0005-0000-0000-0000A7000000}"/>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2" xfId="150" xr:uid="{00000000-0005-0000-0000-0000AF000000}"/>
    <cellStyle name="Hyperlink 3" xfId="250" xr:uid="{00000000-0005-0000-0000-0000B0000000}"/>
    <cellStyle name="Hyperlink 4" xfId="251" xr:uid="{00000000-0005-0000-0000-0000B1000000}"/>
    <cellStyle name="Hyperlink 5" xfId="252" xr:uid="{00000000-0005-0000-0000-0000B2000000}"/>
    <cellStyle name="Input 2" xfId="151" xr:uid="{00000000-0005-0000-0000-0000B3000000}"/>
    <cellStyle name="Input 3" xfId="152" xr:uid="{00000000-0005-0000-0000-0000B4000000}"/>
    <cellStyle name="Input 4" xfId="153" xr:uid="{00000000-0005-0000-0000-0000B5000000}"/>
    <cellStyle name="Input 5" xfId="154" xr:uid="{00000000-0005-0000-0000-0000B6000000}"/>
    <cellStyle name="Linked Cell 2" xfId="155" xr:uid="{00000000-0005-0000-0000-0000B7000000}"/>
    <cellStyle name="Linked Cell 3" xfId="156" xr:uid="{00000000-0005-0000-0000-0000B8000000}"/>
    <cellStyle name="Linked Cell 4" xfId="157" xr:uid="{00000000-0005-0000-0000-0000B9000000}"/>
    <cellStyle name="Linked Cell 5" xfId="158" xr:uid="{00000000-0005-0000-0000-0000BA000000}"/>
    <cellStyle name="Neutral 2" xfId="9" xr:uid="{00000000-0005-0000-0000-0000BB000000}"/>
    <cellStyle name="Neutral 3" xfId="159" xr:uid="{00000000-0005-0000-0000-0000BC000000}"/>
    <cellStyle name="Neutral 4" xfId="160" xr:uid="{00000000-0005-0000-0000-0000BD000000}"/>
    <cellStyle name="Neutral 5" xfId="161" xr:uid="{00000000-0005-0000-0000-0000BE000000}"/>
    <cellStyle name="Normal" xfId="0" builtinId="0"/>
    <cellStyle name="Normal 10" xfId="162" xr:uid="{00000000-0005-0000-0000-0000C0000000}"/>
    <cellStyle name="Normal 11" xfId="163" xr:uid="{00000000-0005-0000-0000-0000C1000000}"/>
    <cellStyle name="Normal 11 2" xfId="253" xr:uid="{00000000-0005-0000-0000-0000C2000000}"/>
    <cellStyle name="Normal 11 3" xfId="254" xr:uid="{00000000-0005-0000-0000-0000C3000000}"/>
    <cellStyle name="Normal 11 4" xfId="255" xr:uid="{00000000-0005-0000-0000-0000C4000000}"/>
    <cellStyle name="Normal 12" xfId="164" xr:uid="{00000000-0005-0000-0000-0000C5000000}"/>
    <cellStyle name="Normal 12 2" xfId="256" xr:uid="{00000000-0005-0000-0000-0000C6000000}"/>
    <cellStyle name="Normal 12 3" xfId="257" xr:uid="{00000000-0005-0000-0000-0000C7000000}"/>
    <cellStyle name="Normal 12 4" xfId="258" xr:uid="{00000000-0005-0000-0000-0000C8000000}"/>
    <cellStyle name="Normal 13" xfId="165" xr:uid="{00000000-0005-0000-0000-0000C9000000}"/>
    <cellStyle name="Normal 13 2" xfId="259" xr:uid="{00000000-0005-0000-0000-0000CA000000}"/>
    <cellStyle name="Normal 13 3" xfId="260" xr:uid="{00000000-0005-0000-0000-0000CB000000}"/>
    <cellStyle name="Normal 13 4" xfId="261" xr:uid="{00000000-0005-0000-0000-0000CC000000}"/>
    <cellStyle name="Normal 14" xfId="166" xr:uid="{00000000-0005-0000-0000-0000CD000000}"/>
    <cellStyle name="Normal 14 2" xfId="262" xr:uid="{00000000-0005-0000-0000-0000CE000000}"/>
    <cellStyle name="Normal 15" xfId="167" xr:uid="{00000000-0005-0000-0000-0000CF000000}"/>
    <cellStyle name="Normal 16" xfId="168" xr:uid="{00000000-0005-0000-0000-0000D0000000}"/>
    <cellStyle name="Normal 17" xfId="169" xr:uid="{00000000-0005-0000-0000-0000D1000000}"/>
    <cellStyle name="Normal 18" xfId="170" xr:uid="{00000000-0005-0000-0000-0000D2000000}"/>
    <cellStyle name="Normal 19" xfId="171" xr:uid="{00000000-0005-0000-0000-0000D3000000}"/>
    <cellStyle name="Normal 2" xfId="1" xr:uid="{00000000-0005-0000-0000-0000D4000000}"/>
    <cellStyle name="Normal 2 10" xfId="263" xr:uid="{00000000-0005-0000-0000-0000D5000000}"/>
    <cellStyle name="Normal 2 11" xfId="264" xr:uid="{00000000-0005-0000-0000-0000D6000000}"/>
    <cellStyle name="Normal 2 12" xfId="265" xr:uid="{00000000-0005-0000-0000-0000D7000000}"/>
    <cellStyle name="Normal 2 13" xfId="266" xr:uid="{00000000-0005-0000-0000-0000D8000000}"/>
    <cellStyle name="Normal 2 14" xfId="267" xr:uid="{00000000-0005-0000-0000-0000D9000000}"/>
    <cellStyle name="Normal 2 15" xfId="268" xr:uid="{00000000-0005-0000-0000-0000DA000000}"/>
    <cellStyle name="Normal 2 16" xfId="269" xr:uid="{00000000-0005-0000-0000-0000DB000000}"/>
    <cellStyle name="Normal 2 17" xfId="270" xr:uid="{00000000-0005-0000-0000-0000DC000000}"/>
    <cellStyle name="Normal 2 18" xfId="271" xr:uid="{00000000-0005-0000-0000-0000DD000000}"/>
    <cellStyle name="Normal 2 19" xfId="272" xr:uid="{00000000-0005-0000-0000-0000DE000000}"/>
    <cellStyle name="Normal 2 2" xfId="172" xr:uid="{00000000-0005-0000-0000-0000DF000000}"/>
    <cellStyle name="Normal 2 2 2" xfId="173" xr:uid="{00000000-0005-0000-0000-0000E0000000}"/>
    <cellStyle name="Normal 2 2 2 2" xfId="273" xr:uid="{00000000-0005-0000-0000-0000E1000000}"/>
    <cellStyle name="Normal 2 2 2 3" xfId="274" xr:uid="{00000000-0005-0000-0000-0000E2000000}"/>
    <cellStyle name="Normal 2 2 3" xfId="174" xr:uid="{00000000-0005-0000-0000-0000E3000000}"/>
    <cellStyle name="Normal 2 2 3 2" xfId="275" xr:uid="{00000000-0005-0000-0000-0000E4000000}"/>
    <cellStyle name="Normal 2 2 4" xfId="175" xr:uid="{00000000-0005-0000-0000-0000E5000000}"/>
    <cellStyle name="Normal 2 2 4 2" xfId="276" xr:uid="{00000000-0005-0000-0000-0000E6000000}"/>
    <cellStyle name="Normal 2 2 5" xfId="176" xr:uid="{00000000-0005-0000-0000-0000E7000000}"/>
    <cellStyle name="Normal 2 2 5 2" xfId="277" xr:uid="{00000000-0005-0000-0000-0000E8000000}"/>
    <cellStyle name="Normal 2 2 6" xfId="177" xr:uid="{00000000-0005-0000-0000-0000E9000000}"/>
    <cellStyle name="Normal 2 2 7" xfId="278" xr:uid="{00000000-0005-0000-0000-0000EA000000}"/>
    <cellStyle name="Normal 2 2 8" xfId="279" xr:uid="{00000000-0005-0000-0000-0000EB000000}"/>
    <cellStyle name="Normal 2 2_SIDR" xfId="178" xr:uid="{00000000-0005-0000-0000-0000EC000000}"/>
    <cellStyle name="Normal 2 20" xfId="280" xr:uid="{00000000-0005-0000-0000-0000ED000000}"/>
    <cellStyle name="Normal 2 21" xfId="281" xr:uid="{00000000-0005-0000-0000-0000EE000000}"/>
    <cellStyle name="Normal 2 22" xfId="282" xr:uid="{00000000-0005-0000-0000-0000EF000000}"/>
    <cellStyle name="Normal 2 23" xfId="283" xr:uid="{00000000-0005-0000-0000-0000F0000000}"/>
    <cellStyle name="Normal 2 3" xfId="179" xr:uid="{00000000-0005-0000-0000-0000F1000000}"/>
    <cellStyle name="Normal 2 3 2" xfId="284" xr:uid="{00000000-0005-0000-0000-0000F2000000}"/>
    <cellStyle name="Normal 2 3 2 2" xfId="285" xr:uid="{00000000-0005-0000-0000-0000F3000000}"/>
    <cellStyle name="Normal 2 3 2 3" xfId="286" xr:uid="{00000000-0005-0000-0000-0000F4000000}"/>
    <cellStyle name="Normal 2 3 3" xfId="287" xr:uid="{00000000-0005-0000-0000-0000F5000000}"/>
    <cellStyle name="Normal 2 3 4" xfId="288" xr:uid="{00000000-0005-0000-0000-0000F6000000}"/>
    <cellStyle name="Normal 2 3 5" xfId="289" xr:uid="{00000000-0005-0000-0000-0000F7000000}"/>
    <cellStyle name="Normal 2 4" xfId="180" xr:uid="{00000000-0005-0000-0000-0000F8000000}"/>
    <cellStyle name="Normal 2 4 2" xfId="290" xr:uid="{00000000-0005-0000-0000-0000F9000000}"/>
    <cellStyle name="Normal 2 5" xfId="181" xr:uid="{00000000-0005-0000-0000-0000FA000000}"/>
    <cellStyle name="Normal 2 5 2" xfId="291" xr:uid="{00000000-0005-0000-0000-0000FB000000}"/>
    <cellStyle name="Normal 2 6" xfId="182" xr:uid="{00000000-0005-0000-0000-0000FC000000}"/>
    <cellStyle name="Normal 2 6 2" xfId="292" xr:uid="{00000000-0005-0000-0000-0000FD000000}"/>
    <cellStyle name="Normal 2 7" xfId="183" xr:uid="{00000000-0005-0000-0000-0000FE000000}"/>
    <cellStyle name="Normal 2 7 2" xfId="293" xr:uid="{00000000-0005-0000-0000-0000FF000000}"/>
    <cellStyle name="Normal 2 8" xfId="184" xr:uid="{00000000-0005-0000-0000-000000010000}"/>
    <cellStyle name="Normal 2 8 2" xfId="294" xr:uid="{00000000-0005-0000-0000-000001010000}"/>
    <cellStyle name="Normal 2 9" xfId="295" xr:uid="{00000000-0005-0000-0000-000002010000}"/>
    <cellStyle name="Normal 2_Copy of M2 Data Dictionary(MAR 2009)" xfId="185" xr:uid="{00000000-0005-0000-0000-000003010000}"/>
    <cellStyle name="Normal 20" xfId="186" xr:uid="{00000000-0005-0000-0000-000004010000}"/>
    <cellStyle name="Normal 21" xfId="187" xr:uid="{00000000-0005-0000-0000-000005010000}"/>
    <cellStyle name="Normal 22" xfId="188" xr:uid="{00000000-0005-0000-0000-000006010000}"/>
    <cellStyle name="Normal 23" xfId="189" xr:uid="{00000000-0005-0000-0000-000007010000}"/>
    <cellStyle name="Normal 24" xfId="190" xr:uid="{00000000-0005-0000-0000-000008010000}"/>
    <cellStyle name="Normal 24 2" xfId="191" xr:uid="{00000000-0005-0000-0000-000009010000}"/>
    <cellStyle name="Normal 3" xfId="2" xr:uid="{00000000-0005-0000-0000-00000A010000}"/>
    <cellStyle name="Normal 3 10" xfId="296" xr:uid="{00000000-0005-0000-0000-00000B010000}"/>
    <cellStyle name="Normal 3 11" xfId="297" xr:uid="{00000000-0005-0000-0000-00000C010000}"/>
    <cellStyle name="Normal 3 12" xfId="298" xr:uid="{00000000-0005-0000-0000-00000D010000}"/>
    <cellStyle name="Normal 3 13" xfId="299" xr:uid="{00000000-0005-0000-0000-00000E010000}"/>
    <cellStyle name="Normal 3 2" xfId="10" xr:uid="{00000000-0005-0000-0000-00000F010000}"/>
    <cellStyle name="Normal 3 2 2" xfId="300" xr:uid="{00000000-0005-0000-0000-000010010000}"/>
    <cellStyle name="Normal 3 2 2 2" xfId="301" xr:uid="{00000000-0005-0000-0000-000011010000}"/>
    <cellStyle name="Normal 3 2 3" xfId="302" xr:uid="{00000000-0005-0000-0000-000012010000}"/>
    <cellStyle name="Normal 3 2 4" xfId="303" xr:uid="{00000000-0005-0000-0000-000013010000}"/>
    <cellStyle name="Normal 3 3" xfId="192" xr:uid="{00000000-0005-0000-0000-000014010000}"/>
    <cellStyle name="Normal 3 3 2" xfId="304" xr:uid="{00000000-0005-0000-0000-000015010000}"/>
    <cellStyle name="Normal 3 3 3" xfId="305" xr:uid="{00000000-0005-0000-0000-000016010000}"/>
    <cellStyle name="Normal 3 4" xfId="225" xr:uid="{00000000-0005-0000-0000-000017010000}"/>
    <cellStyle name="Normal 3 4 2" xfId="306" xr:uid="{00000000-0005-0000-0000-000018010000}"/>
    <cellStyle name="Normal 3 5" xfId="307" xr:uid="{00000000-0005-0000-0000-000019010000}"/>
    <cellStyle name="Normal 3 5 2" xfId="308" xr:uid="{00000000-0005-0000-0000-00001A010000}"/>
    <cellStyle name="Normal 3 6" xfId="309" xr:uid="{00000000-0005-0000-0000-00001B010000}"/>
    <cellStyle name="Normal 3 6 2" xfId="310" xr:uid="{00000000-0005-0000-0000-00001C010000}"/>
    <cellStyle name="Normal 3 7" xfId="311" xr:uid="{00000000-0005-0000-0000-00001D010000}"/>
    <cellStyle name="Normal 3 8" xfId="312" xr:uid="{00000000-0005-0000-0000-00001E010000}"/>
    <cellStyle name="Normal 3 9" xfId="313" xr:uid="{00000000-0005-0000-0000-00001F010000}"/>
    <cellStyle name="Normal 4" xfId="3" xr:uid="{00000000-0005-0000-0000-000020010000}"/>
    <cellStyle name="Normal 4 10" xfId="314" xr:uid="{00000000-0005-0000-0000-000021010000}"/>
    <cellStyle name="Normal 4 11" xfId="315" xr:uid="{00000000-0005-0000-0000-000022010000}"/>
    <cellStyle name="Normal 4 12" xfId="316" xr:uid="{00000000-0005-0000-0000-000023010000}"/>
    <cellStyle name="Normal 4 13" xfId="317" xr:uid="{00000000-0005-0000-0000-000024010000}"/>
    <cellStyle name="Normal 4 2" xfId="193" xr:uid="{00000000-0005-0000-0000-000025010000}"/>
    <cellStyle name="Normal 4 2 2" xfId="318" xr:uid="{00000000-0005-0000-0000-000026010000}"/>
    <cellStyle name="Normal 4 2 2 2" xfId="319" xr:uid="{00000000-0005-0000-0000-000027010000}"/>
    <cellStyle name="Normal 4 2 3" xfId="320" xr:uid="{00000000-0005-0000-0000-000028010000}"/>
    <cellStyle name="Normal 4 2 4" xfId="321" xr:uid="{00000000-0005-0000-0000-000029010000}"/>
    <cellStyle name="Normal 4 2 5" xfId="322" xr:uid="{00000000-0005-0000-0000-00002A010000}"/>
    <cellStyle name="Normal 4 3" xfId="323" xr:uid="{00000000-0005-0000-0000-00002B010000}"/>
    <cellStyle name="Normal 4 3 2" xfId="324" xr:uid="{00000000-0005-0000-0000-00002C010000}"/>
    <cellStyle name="Normal 4 3 3" xfId="325" xr:uid="{00000000-0005-0000-0000-00002D010000}"/>
    <cellStyle name="Normal 4 3 4" xfId="326" xr:uid="{00000000-0005-0000-0000-00002E010000}"/>
    <cellStyle name="Normal 4 4" xfId="327" xr:uid="{00000000-0005-0000-0000-00002F010000}"/>
    <cellStyle name="Normal 4 4 2" xfId="328" xr:uid="{00000000-0005-0000-0000-000030010000}"/>
    <cellStyle name="Normal 4 5" xfId="329" xr:uid="{00000000-0005-0000-0000-000031010000}"/>
    <cellStyle name="Normal 4 5 2" xfId="330" xr:uid="{00000000-0005-0000-0000-000032010000}"/>
    <cellStyle name="Normal 4 6" xfId="331" xr:uid="{00000000-0005-0000-0000-000033010000}"/>
    <cellStyle name="Normal 4 6 2" xfId="332" xr:uid="{00000000-0005-0000-0000-000034010000}"/>
    <cellStyle name="Normal 4 7" xfId="333" xr:uid="{00000000-0005-0000-0000-000035010000}"/>
    <cellStyle name="Normal 4 8" xfId="334" xr:uid="{00000000-0005-0000-0000-000036010000}"/>
    <cellStyle name="Normal 4 9" xfId="335" xr:uid="{00000000-0005-0000-0000-000037010000}"/>
    <cellStyle name="Normal 5" xfId="7" xr:uid="{00000000-0005-0000-0000-000038010000}"/>
    <cellStyle name="Normal 5 10" xfId="336" xr:uid="{00000000-0005-0000-0000-000039010000}"/>
    <cellStyle name="Normal 5 11" xfId="337" xr:uid="{00000000-0005-0000-0000-00003A010000}"/>
    <cellStyle name="Normal 5 12" xfId="338" xr:uid="{00000000-0005-0000-0000-00003B010000}"/>
    <cellStyle name="Normal 5 13" xfId="339" xr:uid="{00000000-0005-0000-0000-00003C010000}"/>
    <cellStyle name="Normal 5 2" xfId="194" xr:uid="{00000000-0005-0000-0000-00003D010000}"/>
    <cellStyle name="Normal 5 2 2" xfId="340" xr:uid="{00000000-0005-0000-0000-00003E010000}"/>
    <cellStyle name="Normal 5 2 2 2" xfId="341" xr:uid="{00000000-0005-0000-0000-00003F010000}"/>
    <cellStyle name="Normal 5 2 3" xfId="342" xr:uid="{00000000-0005-0000-0000-000040010000}"/>
    <cellStyle name="Normal 5 2 4" xfId="343" xr:uid="{00000000-0005-0000-0000-000041010000}"/>
    <cellStyle name="Normal 5 3" xfId="344" xr:uid="{00000000-0005-0000-0000-000042010000}"/>
    <cellStyle name="Normal 5 3 2" xfId="345" xr:uid="{00000000-0005-0000-0000-000043010000}"/>
    <cellStyle name="Normal 5 3 3" xfId="346" xr:uid="{00000000-0005-0000-0000-000044010000}"/>
    <cellStyle name="Normal 5 4" xfId="347" xr:uid="{00000000-0005-0000-0000-000045010000}"/>
    <cellStyle name="Normal 5 4 2" xfId="348" xr:uid="{00000000-0005-0000-0000-000046010000}"/>
    <cellStyle name="Normal 5 5" xfId="349" xr:uid="{00000000-0005-0000-0000-000047010000}"/>
    <cellStyle name="Normal 5 5 2" xfId="350" xr:uid="{00000000-0005-0000-0000-000048010000}"/>
    <cellStyle name="Normal 5 6" xfId="351" xr:uid="{00000000-0005-0000-0000-000049010000}"/>
    <cellStyle name="Normal 5 6 2" xfId="352" xr:uid="{00000000-0005-0000-0000-00004A010000}"/>
    <cellStyle name="Normal 5 7" xfId="353" xr:uid="{00000000-0005-0000-0000-00004B010000}"/>
    <cellStyle name="Normal 5 8" xfId="354" xr:uid="{00000000-0005-0000-0000-00004C010000}"/>
    <cellStyle name="Normal 5 9" xfId="355" xr:uid="{00000000-0005-0000-0000-00004D010000}"/>
    <cellStyle name="Normal 6" xfId="195" xr:uid="{00000000-0005-0000-0000-00004E010000}"/>
    <cellStyle name="Normal 6 2" xfId="196" xr:uid="{00000000-0005-0000-0000-00004F010000}"/>
    <cellStyle name="Normal 7" xfId="197" xr:uid="{00000000-0005-0000-0000-000050010000}"/>
    <cellStyle name="Normal 7 2" xfId="198" xr:uid="{00000000-0005-0000-0000-000051010000}"/>
    <cellStyle name="Normal 7 2 2" xfId="356" xr:uid="{00000000-0005-0000-0000-000052010000}"/>
    <cellStyle name="Normal 7 2 3" xfId="357" xr:uid="{00000000-0005-0000-0000-000053010000}"/>
    <cellStyle name="Normal 7 3" xfId="358" xr:uid="{00000000-0005-0000-0000-000054010000}"/>
    <cellStyle name="Normal 7 3 2" xfId="359" xr:uid="{00000000-0005-0000-0000-000055010000}"/>
    <cellStyle name="Normal 7 4" xfId="360" xr:uid="{00000000-0005-0000-0000-000056010000}"/>
    <cellStyle name="Normal 7 4 2" xfId="361" xr:uid="{00000000-0005-0000-0000-000057010000}"/>
    <cellStyle name="Normal 7 5" xfId="362" xr:uid="{00000000-0005-0000-0000-000058010000}"/>
    <cellStyle name="Normal 7 5 2" xfId="363" xr:uid="{00000000-0005-0000-0000-000059010000}"/>
    <cellStyle name="Normal 7 6" xfId="364" xr:uid="{00000000-0005-0000-0000-00005A010000}"/>
    <cellStyle name="Normal 7 7" xfId="365" xr:uid="{00000000-0005-0000-0000-00005B010000}"/>
    <cellStyle name="Normal 7 8" xfId="366" xr:uid="{00000000-0005-0000-0000-00005C010000}"/>
    <cellStyle name="Normal 8" xfId="199" xr:uid="{00000000-0005-0000-0000-00005D010000}"/>
    <cellStyle name="Normal 8 2" xfId="367" xr:uid="{00000000-0005-0000-0000-00005E010000}"/>
    <cellStyle name="Normal 8 2 2" xfId="368" xr:uid="{00000000-0005-0000-0000-00005F010000}"/>
    <cellStyle name="Normal 8 3" xfId="369" xr:uid="{00000000-0005-0000-0000-000060010000}"/>
    <cellStyle name="Normal 8 3 2" xfId="370" xr:uid="{00000000-0005-0000-0000-000061010000}"/>
    <cellStyle name="Normal 8 4" xfId="371" xr:uid="{00000000-0005-0000-0000-000062010000}"/>
    <cellStyle name="Normal 8 4 2" xfId="372" xr:uid="{00000000-0005-0000-0000-000063010000}"/>
    <cellStyle name="Normal 8 5" xfId="373" xr:uid="{00000000-0005-0000-0000-000064010000}"/>
    <cellStyle name="Normal 9" xfId="200" xr:uid="{00000000-0005-0000-0000-000065010000}"/>
    <cellStyle name="Normal_Tables of Funding by Appropriation" xfId="6" xr:uid="{00000000-0005-0000-0000-000067010000}"/>
    <cellStyle name="Note 2" xfId="201" xr:uid="{00000000-0005-0000-0000-000068010000}"/>
    <cellStyle name="Note 3" xfId="202" xr:uid="{00000000-0005-0000-0000-000069010000}"/>
    <cellStyle name="Note 4" xfId="203" xr:uid="{00000000-0005-0000-0000-00006A010000}"/>
    <cellStyle name="Note 5" xfId="204" xr:uid="{00000000-0005-0000-0000-00006B010000}"/>
    <cellStyle name="Output 2" xfId="205" xr:uid="{00000000-0005-0000-0000-00006C010000}"/>
    <cellStyle name="Output 3" xfId="206" xr:uid="{00000000-0005-0000-0000-00006D010000}"/>
    <cellStyle name="Output 4" xfId="207" xr:uid="{00000000-0005-0000-0000-00006E010000}"/>
    <cellStyle name="Output 5" xfId="208" xr:uid="{00000000-0005-0000-0000-00006F010000}"/>
    <cellStyle name="Percent 2" xfId="5" xr:uid="{00000000-0005-0000-0000-000070010000}"/>
    <cellStyle name="Percent 2 2" xfId="209" xr:uid="{00000000-0005-0000-0000-000071010000}"/>
    <cellStyle name="Percent 2 2 10" xfId="374" xr:uid="{00000000-0005-0000-0000-000072010000}"/>
    <cellStyle name="Percent 2 2 11" xfId="375" xr:uid="{00000000-0005-0000-0000-000073010000}"/>
    <cellStyle name="Percent 2 2 12" xfId="376" xr:uid="{00000000-0005-0000-0000-000074010000}"/>
    <cellStyle name="Percent 2 2 2" xfId="377" xr:uid="{00000000-0005-0000-0000-000075010000}"/>
    <cellStyle name="Percent 2 2 2 2" xfId="378" xr:uid="{00000000-0005-0000-0000-000076010000}"/>
    <cellStyle name="Percent 2 2 3" xfId="379" xr:uid="{00000000-0005-0000-0000-000077010000}"/>
    <cellStyle name="Percent 2 2 4" xfId="380" xr:uid="{00000000-0005-0000-0000-000078010000}"/>
    <cellStyle name="Percent 2 2 5" xfId="381" xr:uid="{00000000-0005-0000-0000-000079010000}"/>
    <cellStyle name="Percent 2 2 6" xfId="382" xr:uid="{00000000-0005-0000-0000-00007A010000}"/>
    <cellStyle name="Percent 2 2 7" xfId="383" xr:uid="{00000000-0005-0000-0000-00007B010000}"/>
    <cellStyle name="Percent 2 2 8" xfId="384" xr:uid="{00000000-0005-0000-0000-00007C010000}"/>
    <cellStyle name="Percent 2 2 9" xfId="385" xr:uid="{00000000-0005-0000-0000-00007D010000}"/>
    <cellStyle name="Percent 2 3" xfId="386" xr:uid="{00000000-0005-0000-0000-00007E010000}"/>
    <cellStyle name="Percent 2 3 10" xfId="387" xr:uid="{00000000-0005-0000-0000-00007F010000}"/>
    <cellStyle name="Percent 2 3 11" xfId="388" xr:uid="{00000000-0005-0000-0000-000080010000}"/>
    <cellStyle name="Percent 2 3 12" xfId="389" xr:uid="{00000000-0005-0000-0000-000081010000}"/>
    <cellStyle name="Percent 2 3 2" xfId="390" xr:uid="{00000000-0005-0000-0000-000082010000}"/>
    <cellStyle name="Percent 2 3 3" xfId="391" xr:uid="{00000000-0005-0000-0000-000083010000}"/>
    <cellStyle name="Percent 2 3 4" xfId="392" xr:uid="{00000000-0005-0000-0000-000084010000}"/>
    <cellStyle name="Percent 2 3 5" xfId="393" xr:uid="{00000000-0005-0000-0000-000085010000}"/>
    <cellStyle name="Percent 2 3 6" xfId="394" xr:uid="{00000000-0005-0000-0000-000086010000}"/>
    <cellStyle name="Percent 2 3 7" xfId="395" xr:uid="{00000000-0005-0000-0000-000087010000}"/>
    <cellStyle name="Percent 2 3 8" xfId="396" xr:uid="{00000000-0005-0000-0000-000088010000}"/>
    <cellStyle name="Percent 2 3 9" xfId="397" xr:uid="{00000000-0005-0000-0000-000089010000}"/>
    <cellStyle name="Percent 2 4" xfId="398" xr:uid="{00000000-0005-0000-0000-00008A010000}"/>
    <cellStyle name="Percent 2 4 10" xfId="399" xr:uid="{00000000-0005-0000-0000-00008B010000}"/>
    <cellStyle name="Percent 2 4 11" xfId="400" xr:uid="{00000000-0005-0000-0000-00008C010000}"/>
    <cellStyle name="Percent 2 4 12" xfId="401" xr:uid="{00000000-0005-0000-0000-00008D010000}"/>
    <cellStyle name="Percent 2 4 2" xfId="402" xr:uid="{00000000-0005-0000-0000-00008E010000}"/>
    <cellStyle name="Percent 2 4 3" xfId="403" xr:uid="{00000000-0005-0000-0000-00008F010000}"/>
    <cellStyle name="Percent 2 4 4" xfId="404" xr:uid="{00000000-0005-0000-0000-000090010000}"/>
    <cellStyle name="Percent 2 4 5" xfId="405" xr:uid="{00000000-0005-0000-0000-000091010000}"/>
    <cellStyle name="Percent 2 4 6" xfId="406" xr:uid="{00000000-0005-0000-0000-000092010000}"/>
    <cellStyle name="Percent 2 4 7" xfId="407" xr:uid="{00000000-0005-0000-0000-000093010000}"/>
    <cellStyle name="Percent 2 4 8" xfId="408" xr:uid="{00000000-0005-0000-0000-000094010000}"/>
    <cellStyle name="Percent 2 4 9" xfId="409" xr:uid="{00000000-0005-0000-0000-000095010000}"/>
    <cellStyle name="Percent 2 5" xfId="410" xr:uid="{00000000-0005-0000-0000-000096010000}"/>
    <cellStyle name="Percent 2 5 2" xfId="411" xr:uid="{00000000-0005-0000-0000-000097010000}"/>
    <cellStyle name="Percent 2 6" xfId="412" xr:uid="{00000000-0005-0000-0000-000098010000}"/>
    <cellStyle name="Percent 2 6 2" xfId="413" xr:uid="{00000000-0005-0000-0000-000099010000}"/>
    <cellStyle name="Percent 2 7" xfId="414" xr:uid="{00000000-0005-0000-0000-00009A010000}"/>
    <cellStyle name="Percent 2 8" xfId="415" xr:uid="{00000000-0005-0000-0000-00009B010000}"/>
    <cellStyle name="Percent 2 9" xfId="416" xr:uid="{00000000-0005-0000-0000-00009C010000}"/>
    <cellStyle name="Percent 3" xfId="210" xr:uid="{00000000-0005-0000-0000-00009D010000}"/>
    <cellStyle name="Percent 3 2" xfId="417" xr:uid="{00000000-0005-0000-0000-00009E010000}"/>
    <cellStyle name="Percent 3 2 2" xfId="418" xr:uid="{00000000-0005-0000-0000-00009F010000}"/>
    <cellStyle name="Percent 3 2 2 2" xfId="419" xr:uid="{00000000-0005-0000-0000-0000A0010000}"/>
    <cellStyle name="Percent 3 2 3" xfId="420" xr:uid="{00000000-0005-0000-0000-0000A1010000}"/>
    <cellStyle name="Percent 3 2 4" xfId="421" xr:uid="{00000000-0005-0000-0000-0000A2010000}"/>
    <cellStyle name="Percent 3 3" xfId="422" xr:uid="{00000000-0005-0000-0000-0000A3010000}"/>
    <cellStyle name="Percent 3 3 2" xfId="423" xr:uid="{00000000-0005-0000-0000-0000A4010000}"/>
    <cellStyle name="Percent 3 3 3" xfId="424" xr:uid="{00000000-0005-0000-0000-0000A5010000}"/>
    <cellStyle name="Percent 3 4" xfId="425" xr:uid="{00000000-0005-0000-0000-0000A6010000}"/>
    <cellStyle name="Percent 3 4 2" xfId="426" xr:uid="{00000000-0005-0000-0000-0000A7010000}"/>
    <cellStyle name="Percent 3 5" xfId="427" xr:uid="{00000000-0005-0000-0000-0000A8010000}"/>
    <cellStyle name="Percent 3 5 2" xfId="428" xr:uid="{00000000-0005-0000-0000-0000A9010000}"/>
    <cellStyle name="Percent 3 6" xfId="429" xr:uid="{00000000-0005-0000-0000-0000AA010000}"/>
    <cellStyle name="Percent 3 6 2" xfId="430" xr:uid="{00000000-0005-0000-0000-0000AB010000}"/>
    <cellStyle name="Percent 3 7" xfId="431" xr:uid="{00000000-0005-0000-0000-0000AC010000}"/>
    <cellStyle name="Percent 3 8" xfId="432" xr:uid="{00000000-0005-0000-0000-0000AD010000}"/>
    <cellStyle name="Percent 3 9" xfId="433" xr:uid="{00000000-0005-0000-0000-0000AE010000}"/>
    <cellStyle name="Percent 4" xfId="211" xr:uid="{00000000-0005-0000-0000-0000AF010000}"/>
    <cellStyle name="Percent 4 2" xfId="434" xr:uid="{00000000-0005-0000-0000-0000B0010000}"/>
    <cellStyle name="Percent 4 2 2" xfId="435" xr:uid="{00000000-0005-0000-0000-0000B1010000}"/>
    <cellStyle name="Percent 4 2 2 2" xfId="436" xr:uid="{00000000-0005-0000-0000-0000B2010000}"/>
    <cellStyle name="Percent 4 2 3" xfId="437" xr:uid="{00000000-0005-0000-0000-0000B3010000}"/>
    <cellStyle name="Percent 4 2 4" xfId="438" xr:uid="{00000000-0005-0000-0000-0000B4010000}"/>
    <cellStyle name="Percent 4 3" xfId="439" xr:uid="{00000000-0005-0000-0000-0000B5010000}"/>
    <cellStyle name="Percent 4 3 2" xfId="440" xr:uid="{00000000-0005-0000-0000-0000B6010000}"/>
    <cellStyle name="Percent 4 3 3" xfId="441" xr:uid="{00000000-0005-0000-0000-0000B7010000}"/>
    <cellStyle name="Percent 4 4" xfId="442" xr:uid="{00000000-0005-0000-0000-0000B8010000}"/>
    <cellStyle name="Percent 4 4 2" xfId="443" xr:uid="{00000000-0005-0000-0000-0000B9010000}"/>
    <cellStyle name="Percent 4 5" xfId="444" xr:uid="{00000000-0005-0000-0000-0000BA010000}"/>
    <cellStyle name="Percent 4 5 2" xfId="445" xr:uid="{00000000-0005-0000-0000-0000BB010000}"/>
    <cellStyle name="Percent 4 6" xfId="446" xr:uid="{00000000-0005-0000-0000-0000BC010000}"/>
    <cellStyle name="Percent 4 6 2" xfId="447" xr:uid="{00000000-0005-0000-0000-0000BD010000}"/>
    <cellStyle name="Percent 4 7" xfId="448" xr:uid="{00000000-0005-0000-0000-0000BE010000}"/>
    <cellStyle name="Percent 4 8" xfId="449" xr:uid="{00000000-0005-0000-0000-0000BF010000}"/>
    <cellStyle name="Percent 4 9" xfId="450" xr:uid="{00000000-0005-0000-0000-0000C0010000}"/>
    <cellStyle name="Percent 5" xfId="451" xr:uid="{00000000-0005-0000-0000-0000C1010000}"/>
    <cellStyle name="Percent 5 2" xfId="452" xr:uid="{00000000-0005-0000-0000-0000C2010000}"/>
    <cellStyle name="Percent 5 2 2" xfId="453" xr:uid="{00000000-0005-0000-0000-0000C3010000}"/>
    <cellStyle name="Percent 5 2 3" xfId="454" xr:uid="{00000000-0005-0000-0000-0000C4010000}"/>
    <cellStyle name="Percent 5 3" xfId="455" xr:uid="{00000000-0005-0000-0000-0000C5010000}"/>
    <cellStyle name="Percent 5 3 2" xfId="456" xr:uid="{00000000-0005-0000-0000-0000C6010000}"/>
    <cellStyle name="Percent 5 4" xfId="457" xr:uid="{00000000-0005-0000-0000-0000C7010000}"/>
    <cellStyle name="Percent 5 4 2" xfId="458" xr:uid="{00000000-0005-0000-0000-0000C8010000}"/>
    <cellStyle name="Percent 5 5" xfId="459" xr:uid="{00000000-0005-0000-0000-0000C9010000}"/>
    <cellStyle name="Percent 5 5 2" xfId="460" xr:uid="{00000000-0005-0000-0000-0000CA010000}"/>
    <cellStyle name="Percent 5 6" xfId="461" xr:uid="{00000000-0005-0000-0000-0000CB010000}"/>
    <cellStyle name="Percent 5 7" xfId="462" xr:uid="{00000000-0005-0000-0000-0000CC010000}"/>
    <cellStyle name="Percent 5 8" xfId="463" xr:uid="{00000000-0005-0000-0000-0000CD010000}"/>
    <cellStyle name="Percent 6" xfId="464" xr:uid="{00000000-0005-0000-0000-0000CE010000}"/>
    <cellStyle name="Percent 9" xfId="465" xr:uid="{00000000-0005-0000-0000-0000CF010000}"/>
    <cellStyle name="Percent+/-" xfId="236" xr:uid="{00000000-0005-0000-0000-0000D0010000}"/>
    <cellStyle name="Percent+/- 2" xfId="237" xr:uid="{00000000-0005-0000-0000-0000D1010000}"/>
    <cellStyle name="Percent+/-0" xfId="238" xr:uid="{00000000-0005-0000-0000-0000D2010000}"/>
    <cellStyle name="Percent+/-0 2" xfId="239" xr:uid="{00000000-0005-0000-0000-0000D3010000}"/>
    <cellStyle name="Plus0" xfId="240" xr:uid="{00000000-0005-0000-0000-0000D4010000}"/>
    <cellStyle name="Plus0 2" xfId="241" xr:uid="{00000000-0005-0000-0000-0000D5010000}"/>
    <cellStyle name="Plus1" xfId="242" xr:uid="{00000000-0005-0000-0000-0000D6010000}"/>
    <cellStyle name="Plus1 2" xfId="243" xr:uid="{00000000-0005-0000-0000-0000D7010000}"/>
    <cellStyle name="Title 2" xfId="212" xr:uid="{00000000-0005-0000-0000-0000D8010000}"/>
    <cellStyle name="Title 3" xfId="213" xr:uid="{00000000-0005-0000-0000-0000D9010000}"/>
    <cellStyle name="Title 4" xfId="214" xr:uid="{00000000-0005-0000-0000-0000DA010000}"/>
    <cellStyle name="Total 2" xfId="215" xr:uid="{00000000-0005-0000-0000-0000DB010000}"/>
    <cellStyle name="Total 3" xfId="216" xr:uid="{00000000-0005-0000-0000-0000DC010000}"/>
    <cellStyle name="Total 4" xfId="217" xr:uid="{00000000-0005-0000-0000-0000DD010000}"/>
    <cellStyle name="Total 5" xfId="218" xr:uid="{00000000-0005-0000-0000-0000DE010000}"/>
    <cellStyle name="Warning Text 2" xfId="219" xr:uid="{00000000-0005-0000-0000-0000DF010000}"/>
    <cellStyle name="Warning Text 3" xfId="220" xr:uid="{00000000-0005-0000-0000-0000E0010000}"/>
    <cellStyle name="Warning Text 4" xfId="221" xr:uid="{00000000-0005-0000-0000-0000E1010000}"/>
    <cellStyle name="Warning Text 5" xfId="222" xr:uid="{00000000-0005-0000-0000-0000E2010000}"/>
  </cellStyles>
  <dxfs count="18">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left" vertical="center" textRotation="0" wrapText="1"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0" formatCode="@"/>
      <alignment horizontal="right" vertical="bottom" textRotation="0" wrapText="0" indent="0" justifyLastLine="0" shrinkToFit="0" readingOrder="0"/>
    </dxf>
    <dxf>
      <alignment horizontal="right" vertical="bottom" textRotation="0" wrapText="0" indent="0" justifyLastLine="0" shrinkToFit="0" readingOrder="0"/>
    </dxf>
    <dxf>
      <numFmt numFmtId="3" formatCode="#,##0"/>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Arial"/>
        <scheme val="none"/>
      </font>
      <numFmt numFmtId="173" formatCode="[$-409]mmm\-yy;@"/>
      <fill>
        <patternFill patternType="none">
          <fgColor indexed="64"/>
          <bgColor auto="1"/>
        </patternFill>
      </fill>
      <alignment horizontal="general" vertical="bottom" textRotation="0" wrapText="0" indent="0" justifyLastLine="0" shrinkToFit="0" readingOrder="0"/>
      <border diagonalUp="0" diagonalDown="0" outline="0">
        <left/>
        <right/>
        <top style="thin">
          <color theme="4" tint="0.39997558519241921"/>
        </top>
        <bottom/>
      </border>
    </dxf>
    <dxf>
      <border outline="0">
        <left style="thin">
          <color theme="4" tint="0.39997558519241921"/>
        </left>
        <top style="thin">
          <color theme="4" tint="0.39997558519241921"/>
        </top>
      </border>
    </dxf>
    <dxf>
      <fill>
        <patternFill patternType="none">
          <fgColor indexed="64"/>
          <bgColor auto="1"/>
        </patternFill>
      </fill>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OCO_TOA!$A$2</c:f>
              <c:strCache>
                <c:ptCount val="1"/>
                <c:pt idx="0">
                  <c:v>MILPERs</c:v>
                </c:pt>
              </c:strCache>
            </c:strRef>
          </c:tx>
          <c:spPr>
            <a:solidFill>
              <a:schemeClr val="accent6">
                <a:lumMod val="5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OCO_TOA!$E$2:$V$2</c:f>
              <c:numCache>
                <c:formatCode>#,##0.000</c:formatCode>
                <c:ptCount val="18"/>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numCache>
            </c:numRef>
          </c:val>
          <c:extLst>
            <c:ext xmlns:c16="http://schemas.microsoft.com/office/drawing/2014/chart" uri="{C3380CC4-5D6E-409C-BE32-E72D297353CC}">
              <c16:uniqueId val="{00000000-E923-8D45-A202-2D3618C060DB}"/>
            </c:ext>
          </c:extLst>
        </c:ser>
        <c:ser>
          <c:idx val="1"/>
          <c:order val="1"/>
          <c:tx>
            <c:strRef>
              <c:f>OCO_TOA!$A$3</c:f>
              <c:strCache>
                <c:ptCount val="1"/>
                <c:pt idx="0">
                  <c:v>O&amp;M</c:v>
                </c:pt>
              </c:strCache>
            </c:strRef>
          </c:tx>
          <c:spPr>
            <a:solidFill>
              <a:schemeClr val="tx2">
                <a:lumMod val="60000"/>
                <a:lumOff val="4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OCO_TOA!$E$3:$V$3</c:f>
              <c:numCache>
                <c:formatCode>#,##0.000</c:formatCode>
                <c:ptCount val="18"/>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numCache>
            </c:numRef>
          </c:val>
          <c:extLst>
            <c:ext xmlns:c16="http://schemas.microsoft.com/office/drawing/2014/chart" uri="{C3380CC4-5D6E-409C-BE32-E72D297353CC}">
              <c16:uniqueId val="{00000001-E923-8D45-A202-2D3618C060DB}"/>
            </c:ext>
          </c:extLst>
        </c:ser>
        <c:ser>
          <c:idx val="2"/>
          <c:order val="2"/>
          <c:tx>
            <c:strRef>
              <c:f>OCO_TOA!$A$4</c:f>
              <c:strCache>
                <c:ptCount val="1"/>
                <c:pt idx="0">
                  <c:v>Procurement</c:v>
                </c:pt>
              </c:strCache>
            </c:strRef>
          </c:tx>
          <c:spPr>
            <a:solidFill>
              <a:schemeClr val="accent4"/>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OCO_TOA!$E$4:$V$4</c:f>
              <c:numCache>
                <c:formatCode>#,##0.000</c:formatCode>
                <c:ptCount val="18"/>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numCache>
            </c:numRef>
          </c:val>
          <c:extLst>
            <c:ext xmlns:c16="http://schemas.microsoft.com/office/drawing/2014/chart" uri="{C3380CC4-5D6E-409C-BE32-E72D297353CC}">
              <c16:uniqueId val="{00000002-E923-8D45-A202-2D3618C060DB}"/>
            </c:ext>
          </c:extLst>
        </c:ser>
        <c:ser>
          <c:idx val="3"/>
          <c:order val="3"/>
          <c:tx>
            <c:strRef>
              <c:f>OCO_TOA!$A$5</c:f>
              <c:strCache>
                <c:ptCount val="1"/>
                <c:pt idx="0">
                  <c:v>RDT&amp;E</c:v>
                </c:pt>
              </c:strCache>
            </c:strRef>
          </c:tx>
          <c:spPr>
            <a:solidFill>
              <a:srgbClr val="C00000"/>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OCO_TOA!$E$5:$V$5</c:f>
              <c:numCache>
                <c:formatCode>#,##0.000</c:formatCode>
                <c:ptCount val="18"/>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numCache>
            </c:numRef>
          </c:val>
          <c:extLst>
            <c:ext xmlns:c16="http://schemas.microsoft.com/office/drawing/2014/chart" uri="{C3380CC4-5D6E-409C-BE32-E72D297353CC}">
              <c16:uniqueId val="{00000003-E923-8D45-A202-2D3618C060DB}"/>
            </c:ext>
          </c:extLst>
        </c:ser>
        <c:ser>
          <c:idx val="4"/>
          <c:order val="4"/>
          <c:tx>
            <c:strRef>
              <c:f>OCO_TOA!$A$6</c:f>
              <c:strCache>
                <c:ptCount val="1"/>
                <c:pt idx="0">
                  <c:v>MILCON</c:v>
                </c:pt>
              </c:strCache>
            </c:strRef>
          </c:tx>
          <c:spPr>
            <a:solidFill>
              <a:schemeClr val="accent4">
                <a:lumMod val="5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OCO_TOA!$E$6:$V$6</c:f>
              <c:numCache>
                <c:formatCode>#,##0.000</c:formatCode>
                <c:ptCount val="18"/>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numCache>
            </c:numRef>
          </c:val>
          <c:extLst>
            <c:ext xmlns:c16="http://schemas.microsoft.com/office/drawing/2014/chart" uri="{C3380CC4-5D6E-409C-BE32-E72D297353CC}">
              <c16:uniqueId val="{00000004-E923-8D45-A202-2D3618C060DB}"/>
            </c:ext>
          </c:extLst>
        </c:ser>
        <c:ser>
          <c:idx val="5"/>
          <c:order val="5"/>
          <c:tx>
            <c:strRef>
              <c:f>OCO_TOA!$A$7</c:f>
              <c:strCache>
                <c:ptCount val="1"/>
                <c:pt idx="0">
                  <c:v>Family Housing</c:v>
                </c:pt>
              </c:strCache>
            </c:strRef>
          </c:tx>
          <c:spPr>
            <a:solidFill>
              <a:schemeClr val="accent6"/>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OCO_TOA!$E$7:$V$7</c:f>
              <c:numCache>
                <c:formatCode>#,##0.000</c:formatCode>
                <c:ptCount val="18"/>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5-E923-8D45-A202-2D3618C060DB}"/>
            </c:ext>
          </c:extLst>
        </c:ser>
        <c:ser>
          <c:idx val="6"/>
          <c:order val="6"/>
          <c:tx>
            <c:strRef>
              <c:f>OCO_TOA!$A$8</c:f>
              <c:strCache>
                <c:ptCount val="1"/>
                <c:pt idx="0">
                  <c:v>Revolving Funds &amp; Other</c:v>
                </c:pt>
              </c:strCache>
            </c:strRef>
          </c:tx>
          <c:spPr>
            <a:solidFill>
              <a:schemeClr val="accent1">
                <a:lumMod val="60000"/>
              </a:schemeClr>
            </a:solidFill>
            <a:ln>
              <a:noFill/>
            </a:ln>
            <a:effectLst/>
          </c:spPr>
          <c:invertIfNegative val="0"/>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extLst>
            <c:ext xmlns:c16="http://schemas.microsoft.com/office/drawing/2014/chart" uri="{C3380CC4-5D6E-409C-BE32-E72D297353CC}">
              <c16:uniqueId val="{00000006-E923-8D45-A202-2D3618C060DB}"/>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OCO!#REF!</c:f>
              <c:strCache>
                <c:ptCount val="1"/>
                <c:pt idx="0">
                  <c:v>#REF!</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7-E923-8D45-A202-2D3618C060DB}"/>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OCO_TOA!$E$9:$V$9</c:f>
              <c:numCache>
                <c:formatCode>#,##0.0</c:formatCode>
                <c:ptCount val="18"/>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numCache>
            </c:numRef>
          </c:val>
          <c:smooth val="0"/>
          <c:extLst>
            <c:ext xmlns:c16="http://schemas.microsoft.com/office/drawing/2014/chart" uri="{C3380CC4-5D6E-409C-BE32-E72D297353CC}">
              <c16:uniqueId val="{00000008-E923-8D45-A202-2D3618C060DB}"/>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OCO!#REF!</c:f>
              <c:strCache>
                <c:ptCount val="1"/>
                <c:pt idx="0">
                  <c:v>#REF!</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OCO_TOA!$E$1:$V$1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9-E923-8D45-A202-2D3618C060DB}"/>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OCO_CBO_TOA!$G$36:$Y$36</c:f>
              <c:numCache>
                <c:formatCode>0.000</c:formatCode>
                <c:ptCount val="19"/>
                <c:pt idx="0">
                  <c:v>0.72501462008476902</c:v>
                </c:pt>
                <c:pt idx="1">
                  <c:v>5.4116940114422025</c:v>
                </c:pt>
                <c:pt idx="2">
                  <c:v>21.574765494108242</c:v>
                </c:pt>
                <c:pt idx="3">
                  <c:v>23.885285565335302</c:v>
                </c:pt>
                <c:pt idx="4">
                  <c:v>23.801178172346781</c:v>
                </c:pt>
                <c:pt idx="5">
                  <c:v>22.954777422343025</c:v>
                </c:pt>
                <c:pt idx="6">
                  <c:v>22.812432617233931</c:v>
                </c:pt>
                <c:pt idx="7">
                  <c:v>22.740913858095091</c:v>
                </c:pt>
                <c:pt idx="8">
                  <c:v>24.021776324067059</c:v>
                </c:pt>
                <c:pt idx="9">
                  <c:v>19.555420527627909</c:v>
                </c:pt>
                <c:pt idx="10">
                  <c:v>18.543165715077606</c:v>
                </c:pt>
                <c:pt idx="11">
                  <c:v>12.653764763546421</c:v>
                </c:pt>
                <c:pt idx="12">
                  <c:v>15.712830489373893</c:v>
                </c:pt>
                <c:pt idx="13">
                  <c:v>8.7464865789965209</c:v>
                </c:pt>
                <c:pt idx="14">
                  <c:v>5.3797724415584414</c:v>
                </c:pt>
                <c:pt idx="15">
                  <c:v>3.4058426713934677</c:v>
                </c:pt>
                <c:pt idx="16">
                  <c:v>3.8992336293885148</c:v>
                </c:pt>
                <c:pt idx="17">
                  <c:v>3.9144895677765383</c:v>
                </c:pt>
                <c:pt idx="18">
                  <c:v>4.6609999999999996</c:v>
                </c:pt>
              </c:numCache>
            </c:numRef>
          </c:val>
          <c:extLst>
            <c:ext xmlns:c16="http://schemas.microsoft.com/office/drawing/2014/chart" uri="{C3380CC4-5D6E-409C-BE32-E72D297353CC}">
              <c16:uniqueId val="{00000000-E3CD-A64D-B78D-FC96BB617A2A}"/>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OCO_CBO_TOA!$G$37:$Y$37</c:f>
              <c:numCache>
                <c:formatCode>0.000</c:formatCode>
                <c:ptCount val="19"/>
                <c:pt idx="0">
                  <c:v>19.996325560551572</c:v>
                </c:pt>
                <c:pt idx="1">
                  <c:v>33.165676202228219</c:v>
                </c:pt>
                <c:pt idx="2">
                  <c:v>64.766440006604327</c:v>
                </c:pt>
                <c:pt idx="3">
                  <c:v>57.591334907235172</c:v>
                </c:pt>
                <c:pt idx="4">
                  <c:v>74.56960644879517</c:v>
                </c:pt>
                <c:pt idx="5">
                  <c:v>91.16884682431197</c:v>
                </c:pt>
                <c:pt idx="6">
                  <c:v>111.63430225475706</c:v>
                </c:pt>
                <c:pt idx="7">
                  <c:v>111.95919821118905</c:v>
                </c:pt>
                <c:pt idx="8">
                  <c:v>108.92479166560317</c:v>
                </c:pt>
                <c:pt idx="9">
                  <c:v>127.42282677432559</c:v>
                </c:pt>
                <c:pt idx="10">
                  <c:v>127.40025465631929</c:v>
                </c:pt>
                <c:pt idx="11">
                  <c:v>97.232187294917594</c:v>
                </c:pt>
                <c:pt idx="12">
                  <c:v>64.29478674999767</c:v>
                </c:pt>
                <c:pt idx="13">
                  <c:v>75.413285173322635</c:v>
                </c:pt>
                <c:pt idx="14">
                  <c:v>54.518449246753249</c:v>
                </c:pt>
                <c:pt idx="15">
                  <c:v>49.647926315955431</c:v>
                </c:pt>
                <c:pt idx="16">
                  <c:v>62.494779931577384</c:v>
                </c:pt>
                <c:pt idx="17">
                  <c:v>63.192648208747897</c:v>
                </c:pt>
                <c:pt idx="18">
                  <c:v>49.313000000000002</c:v>
                </c:pt>
              </c:numCache>
            </c:numRef>
          </c:val>
          <c:extLst>
            <c:ext xmlns:c16="http://schemas.microsoft.com/office/drawing/2014/chart" uri="{C3380CC4-5D6E-409C-BE32-E72D297353CC}">
              <c16:uniqueId val="{00000001-E3CD-A64D-B78D-FC96BB617A2A}"/>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OCO_CBO_TOA!$G$38:$Y$38</c:f>
              <c:numCache>
                <c:formatCode>0.000</c:formatCode>
                <c:ptCount val="19"/>
                <c:pt idx="0">
                  <c:v>0</c:v>
                </c:pt>
                <c:pt idx="1">
                  <c:v>3.5911702195745492</c:v>
                </c:pt>
                <c:pt idx="2">
                  <c:v>14.123518507768779</c:v>
                </c:pt>
                <c:pt idx="3">
                  <c:v>7.7087516242189897</c:v>
                </c:pt>
                <c:pt idx="4">
                  <c:v>24.048958385872488</c:v>
                </c:pt>
                <c:pt idx="5">
                  <c:v>34.503794705815224</c:v>
                </c:pt>
                <c:pt idx="6">
                  <c:v>61.563613939390812</c:v>
                </c:pt>
                <c:pt idx="7">
                  <c:v>76.988805442886402</c:v>
                </c:pt>
                <c:pt idx="8">
                  <c:v>38.58469929358067</c:v>
                </c:pt>
                <c:pt idx="9">
                  <c:v>36.767264135441863</c:v>
                </c:pt>
                <c:pt idx="10">
                  <c:v>32.338432067627494</c:v>
                </c:pt>
                <c:pt idx="11">
                  <c:v>17.986206675325171</c:v>
                </c:pt>
                <c:pt idx="12">
                  <c:v>10.157143860522339</c:v>
                </c:pt>
                <c:pt idx="13">
                  <c:v>7.6036642791424836</c:v>
                </c:pt>
                <c:pt idx="14">
                  <c:v>8.2198987792207792</c:v>
                </c:pt>
                <c:pt idx="15">
                  <c:v>8.5928290117186528</c:v>
                </c:pt>
                <c:pt idx="16">
                  <c:v>16.909496370943639</c:v>
                </c:pt>
                <c:pt idx="17">
                  <c:v>18.783228009380466</c:v>
                </c:pt>
                <c:pt idx="18">
                  <c:v>12.782</c:v>
                </c:pt>
              </c:numCache>
            </c:numRef>
          </c:val>
          <c:extLst>
            <c:ext xmlns:c16="http://schemas.microsoft.com/office/drawing/2014/chart" uri="{C3380CC4-5D6E-409C-BE32-E72D297353CC}">
              <c16:uniqueId val="{00000002-E3CD-A64D-B78D-FC96BB617A2A}"/>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OCO_CBO_TOA!$G$39:$Y$39</c:f>
              <c:numCache>
                <c:formatCode>0.000</c:formatCode>
                <c:ptCount val="19"/>
                <c:pt idx="0">
                  <c:v>0.68559634947821835</c:v>
                </c:pt>
                <c:pt idx="1">
                  <c:v>0.20089493898082933</c:v>
                </c:pt>
                <c:pt idx="2">
                  <c:v>3.5618075358893253</c:v>
                </c:pt>
                <c:pt idx="3">
                  <c:v>0.44309635697567928</c:v>
                </c:pt>
                <c:pt idx="4">
                  <c:v>0.8321462029843385</c:v>
                </c:pt>
                <c:pt idx="5">
                  <c:v>1.0165028695192873</c:v>
                </c:pt>
                <c:pt idx="6">
                  <c:v>1.8275655708984919</c:v>
                </c:pt>
                <c:pt idx="7">
                  <c:v>1.9829981833417298</c:v>
                </c:pt>
                <c:pt idx="8">
                  <c:v>0.71875071430180104</c:v>
                </c:pt>
                <c:pt idx="9">
                  <c:v>0.6112160372093024</c:v>
                </c:pt>
                <c:pt idx="10">
                  <c:v>1.0897005266075388</c:v>
                </c:pt>
                <c:pt idx="11">
                  <c:v>0.59050155232347168</c:v>
                </c:pt>
                <c:pt idx="12">
                  <c:v>0.19833867377891309</c:v>
                </c:pt>
                <c:pt idx="13">
                  <c:v>0.14609944174270359</c:v>
                </c:pt>
                <c:pt idx="14">
                  <c:v>0.34539187012987016</c:v>
                </c:pt>
                <c:pt idx="15">
                  <c:v>0.24523758527724537</c:v>
                </c:pt>
                <c:pt idx="16">
                  <c:v>1.5941962653203576</c:v>
                </c:pt>
                <c:pt idx="17">
                  <c:v>2.8815700751592854</c:v>
                </c:pt>
                <c:pt idx="18">
                  <c:v>1.3080000000000001</c:v>
                </c:pt>
              </c:numCache>
            </c:numRef>
          </c:val>
          <c:extLst>
            <c:ext xmlns:c16="http://schemas.microsoft.com/office/drawing/2014/chart" uri="{C3380CC4-5D6E-409C-BE32-E72D297353CC}">
              <c16:uniqueId val="{00000003-E3CD-A64D-B78D-FC96BB617A2A}"/>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OCO_CBO_TOA!$G$40:$Y$40</c:f>
              <c:numCache>
                <c:formatCode>0.000</c:formatCode>
                <c:ptCount val="19"/>
                <c:pt idx="0">
                  <c:v>8.869110886473873E-2</c:v>
                </c:pt>
                <c:pt idx="1">
                  <c:v>0.1454756454688764</c:v>
                </c:pt>
                <c:pt idx="2">
                  <c:v>1.2235216726337377</c:v>
                </c:pt>
                <c:pt idx="3">
                  <c:v>0.66464453546351887</c:v>
                </c:pt>
                <c:pt idx="4">
                  <c:v>1.6411415069675672</c:v>
                </c:pt>
                <c:pt idx="5">
                  <c:v>1.8511314511098786</c:v>
                </c:pt>
                <c:pt idx="6">
                  <c:v>5.8368102805138964</c:v>
                </c:pt>
                <c:pt idx="7">
                  <c:v>5.0305657928513385</c:v>
                </c:pt>
                <c:pt idx="8">
                  <c:v>5.7734942998491086</c:v>
                </c:pt>
                <c:pt idx="9">
                  <c:v>1.8022141440000001</c:v>
                </c:pt>
                <c:pt idx="10">
                  <c:v>1.3955013026607539</c:v>
                </c:pt>
                <c:pt idx="11">
                  <c:v>0</c:v>
                </c:pt>
                <c:pt idx="12">
                  <c:v>6.61128912596377E-3</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E3CD-A64D-B78D-FC96BB617A2A}"/>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OCO_CBO_TOA!$G$41:$Y$41</c:f>
              <c:numCache>
                <c:formatCode>0.000</c:formatCode>
                <c:ptCount val="19"/>
                <c:pt idx="0">
                  <c:v>8.4467722728322592E-2</c:v>
                </c:pt>
                <c:pt idx="1">
                  <c:v>0</c:v>
                </c:pt>
                <c:pt idx="2">
                  <c:v>4.3502992804755121E-2</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E3CD-A64D-B78D-FC96BB617A2A}"/>
            </c:ext>
          </c:extLst>
        </c:ser>
        <c:ser>
          <c:idx val="6"/>
          <c:order val="6"/>
          <c:tx>
            <c:strRef>
              <c:f>OCO_CBO_TOA!$A$9</c:f>
              <c:strCache>
                <c:ptCount val="1"/>
                <c:pt idx="0">
                  <c:v>Revolving Funds &amp; Other</c:v>
                </c:pt>
              </c:strCache>
            </c:strRef>
          </c:tx>
          <c:spPr>
            <a:solidFill>
              <a:schemeClr val="tx1">
                <a:lumMod val="50000"/>
                <a:lumOff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OCO_CBO_TOA!$G$42:$Y$42</c:f>
              <c:numCache>
                <c:formatCode>0.000</c:formatCode>
                <c:ptCount val="19"/>
                <c:pt idx="0">
                  <c:v>0.25058757742735704</c:v>
                </c:pt>
                <c:pt idx="1">
                  <c:v>0</c:v>
                </c:pt>
                <c:pt idx="2">
                  <c:v>1.5280426222670236</c:v>
                </c:pt>
                <c:pt idx="3">
                  <c:v>1.4931736977612702</c:v>
                </c:pt>
                <c:pt idx="4">
                  <c:v>5.5606735944851406</c:v>
                </c:pt>
                <c:pt idx="5">
                  <c:v>2.0566743107553229</c:v>
                </c:pt>
                <c:pt idx="6">
                  <c:v>1.3594565394672924</c:v>
                </c:pt>
                <c:pt idx="7">
                  <c:v>3.2044014981861264</c:v>
                </c:pt>
                <c:pt idx="8">
                  <c:v>1.0123580322355432</c:v>
                </c:pt>
                <c:pt idx="9">
                  <c:v>0.52622790251162788</c:v>
                </c:pt>
                <c:pt idx="10">
                  <c:v>0.55340812084257207</c:v>
                </c:pt>
                <c:pt idx="11">
                  <c:v>0.48741589233531335</c:v>
                </c:pt>
                <c:pt idx="12">
                  <c:v>0.29530424762638174</c:v>
                </c:pt>
                <c:pt idx="13">
                  <c:v>0.28678779305049223</c:v>
                </c:pt>
                <c:pt idx="14">
                  <c:v>9.7308545454545453E-2</c:v>
                </c:pt>
                <c:pt idx="15">
                  <c:v>9.4078211593426012E-2</c:v>
                </c:pt>
                <c:pt idx="16">
                  <c:v>0.39283323878167875</c:v>
                </c:pt>
                <c:pt idx="17">
                  <c:v>0.43437680538494533</c:v>
                </c:pt>
                <c:pt idx="18">
                  <c:v>1.4999999999999999E-2</c:v>
                </c:pt>
              </c:numCache>
            </c:numRef>
          </c:val>
          <c:extLst>
            <c:ext xmlns:c16="http://schemas.microsoft.com/office/drawing/2014/chart" uri="{C3380CC4-5D6E-409C-BE32-E72D297353CC}">
              <c16:uniqueId val="{00000006-E3CD-A64D-B78D-FC96BB617A2A}"/>
            </c:ext>
          </c:extLst>
        </c:ser>
        <c:dLbls>
          <c:showLegendKey val="0"/>
          <c:showVal val="0"/>
          <c:showCatName val="0"/>
          <c:showSerName val="0"/>
          <c:showPercent val="0"/>
          <c:showBubbleSize val="0"/>
        </c:dLbls>
        <c:gapWidth val="150"/>
        <c:overlap val="100"/>
        <c:axId val="1707877200"/>
        <c:axId val="1575632400"/>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OCO_CBO_TOA!$G$44:$Y$44</c:f>
              <c:numCache>
                <c:formatCode>#,##0.0</c:formatCode>
                <c:ptCount val="19"/>
                <c:pt idx="0">
                  <c:v>21.830682939134977</c:v>
                </c:pt>
                <c:pt idx="1">
                  <c:v>42.514911017694679</c:v>
                </c:pt>
                <c:pt idx="2">
                  <c:v>106.82159883207619</c:v>
                </c:pt>
                <c:pt idx="3">
                  <c:v>91.818125946173808</c:v>
                </c:pt>
                <c:pt idx="4">
                  <c:v>130.48071369361944</c:v>
                </c:pt>
                <c:pt idx="5">
                  <c:v>154.12475616226018</c:v>
                </c:pt>
                <c:pt idx="6">
                  <c:v>205.03418120226149</c:v>
                </c:pt>
                <c:pt idx="7">
                  <c:v>221.92114061279301</c:v>
                </c:pt>
                <c:pt idx="8">
                  <c:v>179.84622652713446</c:v>
                </c:pt>
                <c:pt idx="9">
                  <c:v>186.69448328930233</c:v>
                </c:pt>
                <c:pt idx="10">
                  <c:v>181.32046238913523</c:v>
                </c:pt>
                <c:pt idx="11">
                  <c:v>128.95007617844797</c:v>
                </c:pt>
                <c:pt idx="12">
                  <c:v>90.665015310425161</c:v>
                </c:pt>
                <c:pt idx="13">
                  <c:v>92.196323266254836</c:v>
                </c:pt>
                <c:pt idx="14">
                  <c:v>68.797141636363648</c:v>
                </c:pt>
                <c:pt idx="15">
                  <c:v>61.985913795938224</c:v>
                </c:pt>
                <c:pt idx="16">
                  <c:v>85.727020812435669</c:v>
                </c:pt>
                <c:pt idx="17">
                  <c:v>89.850740227489709</c:v>
                </c:pt>
                <c:pt idx="18">
                  <c:v>69.000000000000014</c:v>
                </c:pt>
              </c:numCache>
            </c:numRef>
          </c:val>
          <c:smooth val="0"/>
          <c:extLst>
            <c:ext xmlns:c16="http://schemas.microsoft.com/office/drawing/2014/chart" uri="{C3380CC4-5D6E-409C-BE32-E72D297353CC}">
              <c16:uniqueId val="{00000007-E3CD-A64D-B78D-FC96BB617A2A}"/>
            </c:ext>
          </c:extLst>
        </c:ser>
        <c:dLbls>
          <c:showLegendKey val="0"/>
          <c:showVal val="0"/>
          <c:showCatName val="0"/>
          <c:showSerName val="0"/>
          <c:showPercent val="0"/>
          <c:showBubbleSize val="0"/>
        </c:dLbls>
        <c:marker val="1"/>
        <c:smooth val="0"/>
        <c:axId val="1707877200"/>
        <c:axId val="1575632400"/>
      </c:lineChart>
      <c:catAx>
        <c:axId val="170787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5632400"/>
        <c:crosses val="autoZero"/>
        <c:auto val="1"/>
        <c:lblAlgn val="ctr"/>
        <c:lblOffset val="100"/>
        <c:noMultiLvlLbl val="0"/>
      </c:catAx>
      <c:valAx>
        <c:axId val="15756324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0787720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94578568207701E-2"/>
          <c:y val="3.9345794392523302E-2"/>
          <c:w val="0.89712417103083597"/>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OCO_CBO_TOA!$G$36:$Y$36</c:f>
              <c:numCache>
                <c:formatCode>0.000</c:formatCode>
                <c:ptCount val="19"/>
                <c:pt idx="0">
                  <c:v>0.72501462008476902</c:v>
                </c:pt>
                <c:pt idx="1">
                  <c:v>5.4116940114422025</c:v>
                </c:pt>
                <c:pt idx="2">
                  <c:v>21.574765494108242</c:v>
                </c:pt>
                <c:pt idx="3">
                  <c:v>23.885285565335302</c:v>
                </c:pt>
                <c:pt idx="4">
                  <c:v>23.801178172346781</c:v>
                </c:pt>
                <c:pt idx="5">
                  <c:v>22.954777422343025</c:v>
                </c:pt>
                <c:pt idx="6">
                  <c:v>22.812432617233931</c:v>
                </c:pt>
                <c:pt idx="7">
                  <c:v>22.740913858095091</c:v>
                </c:pt>
                <c:pt idx="8">
                  <c:v>24.021776324067059</c:v>
                </c:pt>
                <c:pt idx="9">
                  <c:v>19.555420527627909</c:v>
                </c:pt>
                <c:pt idx="10">
                  <c:v>18.543165715077606</c:v>
                </c:pt>
                <c:pt idx="11">
                  <c:v>12.653764763546421</c:v>
                </c:pt>
                <c:pt idx="12">
                  <c:v>15.712830489373893</c:v>
                </c:pt>
                <c:pt idx="13">
                  <c:v>8.7464865789965209</c:v>
                </c:pt>
                <c:pt idx="14">
                  <c:v>5.3797724415584414</c:v>
                </c:pt>
                <c:pt idx="15">
                  <c:v>3.4058426713934677</c:v>
                </c:pt>
                <c:pt idx="16">
                  <c:v>3.8992336293885148</c:v>
                </c:pt>
                <c:pt idx="17">
                  <c:v>3.9144895677765383</c:v>
                </c:pt>
                <c:pt idx="18">
                  <c:v>4.6609999999999996</c:v>
                </c:pt>
              </c:numCache>
            </c:numRef>
          </c:val>
          <c:extLst>
            <c:ext xmlns:c16="http://schemas.microsoft.com/office/drawing/2014/chart" uri="{C3380CC4-5D6E-409C-BE32-E72D297353CC}">
              <c16:uniqueId val="{00000000-C0CC-E946-A939-3B758D8E520D}"/>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OCO_CBO_TOA!$G$37:$Y$37</c:f>
              <c:numCache>
                <c:formatCode>0.000</c:formatCode>
                <c:ptCount val="19"/>
                <c:pt idx="0">
                  <c:v>19.996325560551572</c:v>
                </c:pt>
                <c:pt idx="1">
                  <c:v>33.165676202228219</c:v>
                </c:pt>
                <c:pt idx="2">
                  <c:v>64.766440006604327</c:v>
                </c:pt>
                <c:pt idx="3">
                  <c:v>57.591334907235172</c:v>
                </c:pt>
                <c:pt idx="4">
                  <c:v>74.56960644879517</c:v>
                </c:pt>
                <c:pt idx="5">
                  <c:v>91.16884682431197</c:v>
                </c:pt>
                <c:pt idx="6">
                  <c:v>111.63430225475706</c:v>
                </c:pt>
                <c:pt idx="7">
                  <c:v>111.95919821118905</c:v>
                </c:pt>
                <c:pt idx="8">
                  <c:v>108.92479166560317</c:v>
                </c:pt>
                <c:pt idx="9">
                  <c:v>127.42282677432559</c:v>
                </c:pt>
                <c:pt idx="10">
                  <c:v>127.40025465631929</c:v>
                </c:pt>
                <c:pt idx="11">
                  <c:v>97.232187294917594</c:v>
                </c:pt>
                <c:pt idx="12">
                  <c:v>64.29478674999767</c:v>
                </c:pt>
                <c:pt idx="13">
                  <c:v>75.413285173322635</c:v>
                </c:pt>
                <c:pt idx="14">
                  <c:v>54.518449246753249</c:v>
                </c:pt>
                <c:pt idx="15">
                  <c:v>49.647926315955431</c:v>
                </c:pt>
                <c:pt idx="16">
                  <c:v>62.494779931577384</c:v>
                </c:pt>
                <c:pt idx="17">
                  <c:v>63.192648208747897</c:v>
                </c:pt>
                <c:pt idx="18">
                  <c:v>49.313000000000002</c:v>
                </c:pt>
              </c:numCache>
            </c:numRef>
          </c:val>
          <c:extLst>
            <c:ext xmlns:c16="http://schemas.microsoft.com/office/drawing/2014/chart" uri="{C3380CC4-5D6E-409C-BE32-E72D297353CC}">
              <c16:uniqueId val="{00000001-C0CC-E946-A939-3B758D8E520D}"/>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OCO_CBO_TOA!$G$38:$Y$38</c:f>
              <c:numCache>
                <c:formatCode>0.000</c:formatCode>
                <c:ptCount val="19"/>
                <c:pt idx="0">
                  <c:v>0</c:v>
                </c:pt>
                <c:pt idx="1">
                  <c:v>3.5911702195745492</c:v>
                </c:pt>
                <c:pt idx="2">
                  <c:v>14.123518507768779</c:v>
                </c:pt>
                <c:pt idx="3">
                  <c:v>7.7087516242189897</c:v>
                </c:pt>
                <c:pt idx="4">
                  <c:v>24.048958385872488</c:v>
                </c:pt>
                <c:pt idx="5">
                  <c:v>34.503794705815224</c:v>
                </c:pt>
                <c:pt idx="6">
                  <c:v>61.563613939390812</c:v>
                </c:pt>
                <c:pt idx="7">
                  <c:v>76.988805442886402</c:v>
                </c:pt>
                <c:pt idx="8">
                  <c:v>38.58469929358067</c:v>
                </c:pt>
                <c:pt idx="9">
                  <c:v>36.767264135441863</c:v>
                </c:pt>
                <c:pt idx="10">
                  <c:v>32.338432067627494</c:v>
                </c:pt>
                <c:pt idx="11">
                  <c:v>17.986206675325171</c:v>
                </c:pt>
                <c:pt idx="12">
                  <c:v>10.157143860522339</c:v>
                </c:pt>
                <c:pt idx="13">
                  <c:v>7.6036642791424836</c:v>
                </c:pt>
                <c:pt idx="14">
                  <c:v>8.2198987792207792</c:v>
                </c:pt>
                <c:pt idx="15">
                  <c:v>8.5928290117186528</c:v>
                </c:pt>
                <c:pt idx="16">
                  <c:v>16.909496370943639</c:v>
                </c:pt>
                <c:pt idx="17">
                  <c:v>18.783228009380466</c:v>
                </c:pt>
                <c:pt idx="18">
                  <c:v>12.782</c:v>
                </c:pt>
              </c:numCache>
            </c:numRef>
          </c:val>
          <c:extLst>
            <c:ext xmlns:c16="http://schemas.microsoft.com/office/drawing/2014/chart" uri="{C3380CC4-5D6E-409C-BE32-E72D297353CC}">
              <c16:uniqueId val="{00000002-C0CC-E946-A939-3B758D8E520D}"/>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OCO_CBO_TOA!$G$39:$Y$39</c:f>
              <c:numCache>
                <c:formatCode>0.000</c:formatCode>
                <c:ptCount val="19"/>
                <c:pt idx="0">
                  <c:v>0.68559634947821835</c:v>
                </c:pt>
                <c:pt idx="1">
                  <c:v>0.20089493898082933</c:v>
                </c:pt>
                <c:pt idx="2">
                  <c:v>3.5618075358893253</c:v>
                </c:pt>
                <c:pt idx="3">
                  <c:v>0.44309635697567928</c:v>
                </c:pt>
                <c:pt idx="4">
                  <c:v>0.8321462029843385</c:v>
                </c:pt>
                <c:pt idx="5">
                  <c:v>1.0165028695192873</c:v>
                </c:pt>
                <c:pt idx="6">
                  <c:v>1.8275655708984919</c:v>
                </c:pt>
                <c:pt idx="7">
                  <c:v>1.9829981833417298</c:v>
                </c:pt>
                <c:pt idx="8">
                  <c:v>0.71875071430180104</c:v>
                </c:pt>
                <c:pt idx="9">
                  <c:v>0.6112160372093024</c:v>
                </c:pt>
                <c:pt idx="10">
                  <c:v>1.0897005266075388</c:v>
                </c:pt>
                <c:pt idx="11">
                  <c:v>0.59050155232347168</c:v>
                </c:pt>
                <c:pt idx="12">
                  <c:v>0.19833867377891309</c:v>
                </c:pt>
                <c:pt idx="13">
                  <c:v>0.14609944174270359</c:v>
                </c:pt>
                <c:pt idx="14">
                  <c:v>0.34539187012987016</c:v>
                </c:pt>
                <c:pt idx="15">
                  <c:v>0.24523758527724537</c:v>
                </c:pt>
                <c:pt idx="16">
                  <c:v>1.5941962653203576</c:v>
                </c:pt>
                <c:pt idx="17">
                  <c:v>2.8815700751592854</c:v>
                </c:pt>
                <c:pt idx="18">
                  <c:v>1.3080000000000001</c:v>
                </c:pt>
              </c:numCache>
            </c:numRef>
          </c:val>
          <c:extLst>
            <c:ext xmlns:c16="http://schemas.microsoft.com/office/drawing/2014/chart" uri="{C3380CC4-5D6E-409C-BE32-E72D297353CC}">
              <c16:uniqueId val="{00000003-C0CC-E946-A939-3B758D8E520D}"/>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OCO_CBO_TOA!$G$40:$Y$40</c:f>
              <c:numCache>
                <c:formatCode>0.000</c:formatCode>
                <c:ptCount val="19"/>
                <c:pt idx="0">
                  <c:v>8.869110886473873E-2</c:v>
                </c:pt>
                <c:pt idx="1">
                  <c:v>0.1454756454688764</c:v>
                </c:pt>
                <c:pt idx="2">
                  <c:v>1.2235216726337377</c:v>
                </c:pt>
                <c:pt idx="3">
                  <c:v>0.66464453546351887</c:v>
                </c:pt>
                <c:pt idx="4">
                  <c:v>1.6411415069675672</c:v>
                </c:pt>
                <c:pt idx="5">
                  <c:v>1.8511314511098786</c:v>
                </c:pt>
                <c:pt idx="6">
                  <c:v>5.8368102805138964</c:v>
                </c:pt>
                <c:pt idx="7">
                  <c:v>5.0305657928513385</c:v>
                </c:pt>
                <c:pt idx="8">
                  <c:v>5.7734942998491086</c:v>
                </c:pt>
                <c:pt idx="9">
                  <c:v>1.8022141440000001</c:v>
                </c:pt>
                <c:pt idx="10">
                  <c:v>1.3955013026607539</c:v>
                </c:pt>
                <c:pt idx="11">
                  <c:v>0</c:v>
                </c:pt>
                <c:pt idx="12">
                  <c:v>6.61128912596377E-3</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C0CC-E946-A939-3B758D8E520D}"/>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OCO_CBO_TOA!$G$41:$Y$41</c:f>
              <c:numCache>
                <c:formatCode>0.000</c:formatCode>
                <c:ptCount val="19"/>
                <c:pt idx="0">
                  <c:v>8.4467722728322592E-2</c:v>
                </c:pt>
                <c:pt idx="1">
                  <c:v>0</c:v>
                </c:pt>
                <c:pt idx="2">
                  <c:v>4.3502992804755121E-2</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C0CC-E946-A939-3B758D8E520D}"/>
            </c:ext>
          </c:extLst>
        </c:ser>
        <c:ser>
          <c:idx val="6"/>
          <c:order val="6"/>
          <c:tx>
            <c:strRef>
              <c:f>OCO_CBO_TOA!$A$9</c:f>
              <c:strCache>
                <c:ptCount val="1"/>
                <c:pt idx="0">
                  <c:v>Revolving Funds &amp; Other</c:v>
                </c:pt>
              </c:strCache>
            </c:strRef>
          </c:tx>
          <c:spPr>
            <a:solidFill>
              <a:schemeClr val="tx1">
                <a:lumMod val="50000"/>
                <a:lumOff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OCO_CBO_TOA!$G$42:$Y$42</c:f>
              <c:numCache>
                <c:formatCode>0.000</c:formatCode>
                <c:ptCount val="19"/>
                <c:pt idx="0">
                  <c:v>0.25058757742735704</c:v>
                </c:pt>
                <c:pt idx="1">
                  <c:v>0</c:v>
                </c:pt>
                <c:pt idx="2">
                  <c:v>1.5280426222670236</c:v>
                </c:pt>
                <c:pt idx="3">
                  <c:v>1.4931736977612702</c:v>
                </c:pt>
                <c:pt idx="4">
                  <c:v>5.5606735944851406</c:v>
                </c:pt>
                <c:pt idx="5">
                  <c:v>2.0566743107553229</c:v>
                </c:pt>
                <c:pt idx="6">
                  <c:v>1.3594565394672924</c:v>
                </c:pt>
                <c:pt idx="7">
                  <c:v>3.2044014981861264</c:v>
                </c:pt>
                <c:pt idx="8">
                  <c:v>1.0123580322355432</c:v>
                </c:pt>
                <c:pt idx="9">
                  <c:v>0.52622790251162788</c:v>
                </c:pt>
                <c:pt idx="10">
                  <c:v>0.55340812084257207</c:v>
                </c:pt>
                <c:pt idx="11">
                  <c:v>0.48741589233531335</c:v>
                </c:pt>
                <c:pt idx="12">
                  <c:v>0.29530424762638174</c:v>
                </c:pt>
                <c:pt idx="13">
                  <c:v>0.28678779305049223</c:v>
                </c:pt>
                <c:pt idx="14">
                  <c:v>9.7308545454545453E-2</c:v>
                </c:pt>
                <c:pt idx="15">
                  <c:v>9.4078211593426012E-2</c:v>
                </c:pt>
                <c:pt idx="16">
                  <c:v>0.39283323878167875</c:v>
                </c:pt>
                <c:pt idx="17">
                  <c:v>0.43437680538494533</c:v>
                </c:pt>
                <c:pt idx="18">
                  <c:v>1.4999999999999999E-2</c:v>
                </c:pt>
              </c:numCache>
            </c:numRef>
          </c:val>
          <c:extLst>
            <c:ext xmlns:c16="http://schemas.microsoft.com/office/drawing/2014/chart" uri="{C3380CC4-5D6E-409C-BE32-E72D297353CC}">
              <c16:uniqueId val="{00000006-C0CC-E946-A939-3B758D8E520D}"/>
            </c:ext>
          </c:extLst>
        </c:ser>
        <c:dLbls>
          <c:showLegendKey val="0"/>
          <c:showVal val="0"/>
          <c:showCatName val="0"/>
          <c:showSerName val="0"/>
          <c:showPercent val="0"/>
          <c:showBubbleSize val="0"/>
        </c:dLbls>
        <c:gapWidth val="150"/>
        <c:overlap val="100"/>
        <c:axId val="1574753264"/>
        <c:axId val="1574753792"/>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OCO_CBO_TOA!$G$2:$X$2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OCO_CBO_TOA!$G$44:$Y$44</c:f>
              <c:numCache>
                <c:formatCode>#,##0.0</c:formatCode>
                <c:ptCount val="19"/>
                <c:pt idx="0">
                  <c:v>21.830682939134977</c:v>
                </c:pt>
                <c:pt idx="1">
                  <c:v>42.514911017694679</c:v>
                </c:pt>
                <c:pt idx="2">
                  <c:v>106.82159883207619</c:v>
                </c:pt>
                <c:pt idx="3">
                  <c:v>91.818125946173808</c:v>
                </c:pt>
                <c:pt idx="4">
                  <c:v>130.48071369361944</c:v>
                </c:pt>
                <c:pt idx="5">
                  <c:v>154.12475616226018</c:v>
                </c:pt>
                <c:pt idx="6">
                  <c:v>205.03418120226149</c:v>
                </c:pt>
                <c:pt idx="7">
                  <c:v>221.92114061279301</c:v>
                </c:pt>
                <c:pt idx="8">
                  <c:v>179.84622652713446</c:v>
                </c:pt>
                <c:pt idx="9">
                  <c:v>186.69448328930233</c:v>
                </c:pt>
                <c:pt idx="10">
                  <c:v>181.32046238913523</c:v>
                </c:pt>
                <c:pt idx="11">
                  <c:v>128.95007617844797</c:v>
                </c:pt>
                <c:pt idx="12">
                  <c:v>90.665015310425161</c:v>
                </c:pt>
                <c:pt idx="13">
                  <c:v>92.196323266254836</c:v>
                </c:pt>
                <c:pt idx="14">
                  <c:v>68.797141636363648</c:v>
                </c:pt>
                <c:pt idx="15">
                  <c:v>61.985913795938224</c:v>
                </c:pt>
                <c:pt idx="16">
                  <c:v>85.727020812435669</c:v>
                </c:pt>
                <c:pt idx="17">
                  <c:v>89.850740227489709</c:v>
                </c:pt>
                <c:pt idx="18">
                  <c:v>69.000000000000014</c:v>
                </c:pt>
              </c:numCache>
            </c:numRef>
          </c:val>
          <c:smooth val="0"/>
          <c:extLst>
            <c:ext xmlns:c16="http://schemas.microsoft.com/office/drawing/2014/chart" uri="{C3380CC4-5D6E-409C-BE32-E72D297353CC}">
              <c16:uniqueId val="{00000007-C0CC-E946-A939-3B758D8E520D}"/>
            </c:ext>
          </c:extLst>
        </c:ser>
        <c:dLbls>
          <c:showLegendKey val="0"/>
          <c:showVal val="0"/>
          <c:showCatName val="0"/>
          <c:showSerName val="0"/>
          <c:showPercent val="0"/>
          <c:showBubbleSize val="0"/>
        </c:dLbls>
        <c:marker val="1"/>
        <c:smooth val="0"/>
        <c:axId val="1574753264"/>
        <c:axId val="1574753792"/>
      </c:lineChart>
      <c:lineChart>
        <c:grouping val="standard"/>
        <c:varyColors val="0"/>
        <c:ser>
          <c:idx val="7"/>
          <c:order val="8"/>
          <c:tx>
            <c:strRef>
              <c:f>OCO_Strength!$A$8</c:f>
              <c:strCache>
                <c:ptCount val="1"/>
                <c:pt idx="0">
                  <c:v>Total OCO Mil Forces</c:v>
                </c:pt>
              </c:strCache>
            </c:strRef>
          </c:tx>
          <c:spPr>
            <a:ln w="15875" cap="rnd">
              <a:solidFill>
                <a:schemeClr val="tx1"/>
              </a:solidFill>
              <a:round/>
            </a:ln>
            <a:effectLst/>
          </c:spPr>
          <c:marker>
            <c:symbol val="none"/>
          </c:marker>
          <c:dLbls>
            <c:numFmt formatCode="#,\ \K;\ ;0\ \K"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val>
          <c:smooth val="0"/>
          <c:extLst>
            <c:ext xmlns:c16="http://schemas.microsoft.com/office/drawing/2014/chart" uri="{C3380CC4-5D6E-409C-BE32-E72D297353CC}">
              <c16:uniqueId val="{00000008-C0CC-E946-A939-3B758D8E520D}"/>
            </c:ext>
          </c:extLst>
        </c:ser>
        <c:dLbls>
          <c:showLegendKey val="0"/>
          <c:showVal val="0"/>
          <c:showCatName val="0"/>
          <c:showSerName val="0"/>
          <c:showPercent val="0"/>
          <c:showBubbleSize val="0"/>
        </c:dLbls>
        <c:marker val="1"/>
        <c:smooth val="0"/>
        <c:axId val="1757464112"/>
        <c:axId val="1757440848"/>
      </c:lineChart>
      <c:catAx>
        <c:axId val="1574753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792"/>
        <c:crosses val="autoZero"/>
        <c:auto val="1"/>
        <c:lblAlgn val="ctr"/>
        <c:lblOffset val="100"/>
        <c:noMultiLvlLbl val="0"/>
      </c:catAx>
      <c:valAx>
        <c:axId val="157475379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264"/>
        <c:crosses val="autoZero"/>
        <c:crossBetween val="between"/>
      </c:valAx>
      <c:valAx>
        <c:axId val="1757440848"/>
        <c:scaling>
          <c:orientation val="minMax"/>
          <c:max val="1400000"/>
          <c:min val="0"/>
        </c:scaling>
        <c:delete val="0"/>
        <c:axPos val="r"/>
        <c:numFmt formatCode="_(* #,##0_);_(* \(#,##0\);_(* &quot;-&quot;??_);_(@_)"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464112"/>
        <c:crosses val="max"/>
        <c:crossBetween val="between"/>
      </c:valAx>
      <c:catAx>
        <c:axId val="1757464112"/>
        <c:scaling>
          <c:orientation val="minMax"/>
        </c:scaling>
        <c:delete val="1"/>
        <c:axPos val="b"/>
        <c:numFmt formatCode="General" sourceLinked="1"/>
        <c:majorTickMark val="out"/>
        <c:minorTickMark val="none"/>
        <c:tickLblPos val="nextTo"/>
        <c:crossAx val="1757440848"/>
        <c:crosses val="autoZero"/>
        <c:auto val="1"/>
        <c:lblAlgn val="ctr"/>
        <c:lblOffset val="100"/>
        <c:noMultiLvlLbl val="0"/>
      </c:catAx>
      <c:spPr>
        <a:noFill/>
        <a:ln>
          <a:solidFill>
            <a:schemeClr val="tx1"/>
          </a:solidFill>
        </a:ln>
        <a:effectLst/>
      </c:spPr>
    </c:plotArea>
    <c:legend>
      <c:legendPos val="b"/>
      <c:legendEntry>
        <c:idx val="7"/>
        <c:delete val="1"/>
      </c:legendEntry>
      <c:layout>
        <c:manualLayout>
          <c:xMode val="edge"/>
          <c:yMode val="edge"/>
          <c:x val="0.77490288212888103"/>
          <c:y val="4.60965744889087E-2"/>
          <c:w val="0.203986182654981"/>
          <c:h val="0.219912917724333"/>
        </c:manualLayout>
      </c:layout>
      <c:overlay val="0"/>
      <c:spPr>
        <a:solidFill>
          <a:schemeClr val="bg1"/>
        </a:solid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839077750011783E-2"/>
          <c:y val="1.7020179454312397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OCO_CBO_TOA!$G$3:$Y$3</c:f>
              <c:numCache>
                <c:formatCode>#,##0.000</c:formatCode>
                <c:ptCount val="19"/>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pt idx="18">
                  <c:v>4.6609999999999996</c:v>
                </c:pt>
              </c:numCache>
            </c:numRef>
          </c:val>
          <c:extLst>
            <c:ext xmlns:c16="http://schemas.microsoft.com/office/drawing/2014/chart" uri="{C3380CC4-5D6E-409C-BE32-E72D297353CC}">
              <c16:uniqueId val="{00000000-6624-E944-859D-B3590A5692C3}"/>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OCO_CBO_TOA!$G$4:$X$4</c:f>
              <c:numCache>
                <c:formatCode>#,##0.000</c:formatCode>
                <c:ptCount val="18"/>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numCache>
            </c:numRef>
          </c:val>
          <c:extLst>
            <c:ext xmlns:c16="http://schemas.microsoft.com/office/drawing/2014/chart" uri="{C3380CC4-5D6E-409C-BE32-E72D297353CC}">
              <c16:uniqueId val="{00000001-6624-E944-859D-B3590A5692C3}"/>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OCO_CBO_TOA!$G$5:$Y$5</c:f>
              <c:numCache>
                <c:formatCode>#,##0.000</c:formatCode>
                <c:ptCount val="19"/>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pt idx="18">
                  <c:v>12.782</c:v>
                </c:pt>
              </c:numCache>
            </c:numRef>
          </c:val>
          <c:extLst>
            <c:ext xmlns:c16="http://schemas.microsoft.com/office/drawing/2014/chart" uri="{C3380CC4-5D6E-409C-BE32-E72D297353CC}">
              <c16:uniqueId val="{00000002-6624-E944-859D-B3590A5692C3}"/>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OCO_CBO_TOA!$G$6:$Y$6</c:f>
              <c:numCache>
                <c:formatCode>#,##0.000</c:formatCode>
                <c:ptCount val="19"/>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pt idx="18">
                  <c:v>1.3080000000000001</c:v>
                </c:pt>
              </c:numCache>
            </c:numRef>
          </c:val>
          <c:extLst>
            <c:ext xmlns:c16="http://schemas.microsoft.com/office/drawing/2014/chart" uri="{C3380CC4-5D6E-409C-BE32-E72D297353CC}">
              <c16:uniqueId val="{00000003-6624-E944-859D-B3590A5692C3}"/>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OCO_CBO_TOA!$G$7:$Y$7</c:f>
              <c:numCache>
                <c:formatCode>#,##0.000</c:formatCode>
                <c:ptCount val="19"/>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6624-E944-859D-B3590A5692C3}"/>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OCO_CBO_TOA!$G$8:$Y$8</c:f>
              <c:numCache>
                <c:formatCode>#,##0.000</c:formatCode>
                <c:ptCount val="19"/>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6624-E944-859D-B3590A5692C3}"/>
            </c:ext>
          </c:extLst>
        </c:ser>
        <c:ser>
          <c:idx val="6"/>
          <c:order val="6"/>
          <c:tx>
            <c:strRef>
              <c:f>OCO_CBO_TOA!$A$9</c:f>
              <c:strCache>
                <c:ptCount val="1"/>
                <c:pt idx="0">
                  <c:v>Revolving Funds &amp; Other</c:v>
                </c:pt>
              </c:strCache>
            </c:strRef>
          </c:tx>
          <c:spPr>
            <a:solidFill>
              <a:schemeClr val="accent1">
                <a:lumMod val="6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OCO_CBO_TOA!$G$9:$Y$9</c:f>
              <c:numCache>
                <c:formatCode>#,##0.000</c:formatCode>
                <c:ptCount val="19"/>
                <c:pt idx="0">
                  <c:v>0.17799999999999999</c:v>
                </c:pt>
                <c:pt idx="1">
                  <c:v>0</c:v>
                </c:pt>
                <c:pt idx="2">
                  <c:v>1.1240000000000001</c:v>
                </c:pt>
                <c:pt idx="3">
                  <c:v>1.125534</c:v>
                </c:pt>
                <c:pt idx="4">
                  <c:v>4.3234659999999998</c:v>
                </c:pt>
                <c:pt idx="5">
                  <c:v>1.6510000000000002</c:v>
                </c:pt>
                <c:pt idx="6">
                  <c:v>1.121</c:v>
                </c:pt>
                <c:pt idx="7">
                  <c:v>2.6970000000000001</c:v>
                </c:pt>
                <c:pt idx="8">
                  <c:v>0.86199999999999999</c:v>
                </c:pt>
                <c:pt idx="9">
                  <c:v>0.45199999999999996</c:v>
                </c:pt>
                <c:pt idx="10">
                  <c:v>0.48499999999999999</c:v>
                </c:pt>
                <c:pt idx="11">
                  <c:v>0.435</c:v>
                </c:pt>
                <c:pt idx="12">
                  <c:v>0.26800000000000002</c:v>
                </c:pt>
                <c:pt idx="13">
                  <c:v>0.26500000000000001</c:v>
                </c:pt>
                <c:pt idx="14">
                  <c:v>9.0999999999999998E-2</c:v>
                </c:pt>
                <c:pt idx="15">
                  <c:v>8.8999999999999996E-2</c:v>
                </c:pt>
                <c:pt idx="16">
                  <c:v>0.378</c:v>
                </c:pt>
                <c:pt idx="17">
                  <c:v>0.42599999999999999</c:v>
                </c:pt>
                <c:pt idx="18">
                  <c:v>1.4999999999999999E-2</c:v>
                </c:pt>
              </c:numCache>
            </c:numRef>
          </c:val>
          <c:extLst>
            <c:ext xmlns:c16="http://schemas.microsoft.com/office/drawing/2014/chart" uri="{C3380CC4-5D6E-409C-BE32-E72D297353CC}">
              <c16:uniqueId val="{00000006-6624-E944-859D-B3590A5692C3}"/>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OCO_CBO_TOA!$A$21</c:f>
              <c:strCache>
                <c:ptCount val="1"/>
                <c:pt idx="0">
                  <c:v>Green Book Tab2-1</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OCO_CBO_TOA!$G$22:$Y$22</c:f>
              <c:numCache>
                <c:formatCode>General</c:formatCode>
                <c:ptCount val="19"/>
                <c:pt idx="0">
                  <c:v>28.774000000000001</c:v>
                </c:pt>
                <c:pt idx="1">
                  <c:v>16.87</c:v>
                </c:pt>
                <c:pt idx="2">
                  <c:v>72.536000000000001</c:v>
                </c:pt>
                <c:pt idx="3">
                  <c:v>91.088999999999999</c:v>
                </c:pt>
                <c:pt idx="4">
                  <c:v>78.841999999999999</c:v>
                </c:pt>
                <c:pt idx="5">
                  <c:v>123.916</c:v>
                </c:pt>
                <c:pt idx="6">
                  <c:v>169.40899999999999</c:v>
                </c:pt>
                <c:pt idx="7">
                  <c:v>186.90799999999999</c:v>
                </c:pt>
                <c:pt idx="8">
                  <c:v>153.124</c:v>
                </c:pt>
                <c:pt idx="9">
                  <c:v>163.04499999999999</c:v>
                </c:pt>
                <c:pt idx="10">
                  <c:v>158.78800000000001</c:v>
                </c:pt>
                <c:pt idx="11">
                  <c:v>115.083</c:v>
                </c:pt>
                <c:pt idx="12">
                  <c:v>82.085999999999999</c:v>
                </c:pt>
                <c:pt idx="13">
                  <c:v>85.153999999999996</c:v>
                </c:pt>
                <c:pt idx="14">
                  <c:v>63.094999999999999</c:v>
                </c:pt>
                <c:pt idx="15">
                  <c:v>58.942</c:v>
                </c:pt>
                <c:pt idx="16">
                  <c:v>82.49</c:v>
                </c:pt>
                <c:pt idx="17" formatCode="#,##0.0">
                  <c:v>88.118000000000009</c:v>
                </c:pt>
                <c:pt idx="18" formatCode="#,##0.0">
                  <c:v>69.000000000000014</c:v>
                </c:pt>
              </c:numCache>
            </c:numRef>
          </c:val>
          <c:smooth val="0"/>
          <c:extLst>
            <c:ext xmlns:c16="http://schemas.microsoft.com/office/drawing/2014/chart" uri="{C3380CC4-5D6E-409C-BE32-E72D297353CC}">
              <c16:uniqueId val="{00000007-6624-E944-859D-B3590A5692C3}"/>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OCO_CBO_TOA!$G$11:$Y$11</c:f>
              <c:numCache>
                <c:formatCode>#,##0.0</c:formatCode>
                <c:ptCount val="19"/>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pt idx="18">
                  <c:v>69.000000000000014</c:v>
                </c:pt>
              </c:numCache>
            </c:numRef>
          </c:val>
          <c:smooth val="0"/>
          <c:extLst>
            <c:ext xmlns:c16="http://schemas.microsoft.com/office/drawing/2014/chart" uri="{C3380CC4-5D6E-409C-BE32-E72D297353CC}">
              <c16:uniqueId val="{00000008-6624-E944-859D-B3590A5692C3}"/>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OCO_CBO_TOA!$A$23</c:f>
              <c:strCache>
                <c:ptCount val="1"/>
                <c:pt idx="0">
                  <c:v>Difference between CBO and DoD</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OCO_CBO_TOA!$G$23:$Y$23</c:f>
              <c:numCache>
                <c:formatCode>#,##0.0</c:formatCode>
                <c:ptCount val="19"/>
                <c:pt idx="0">
                  <c:v>-13.266999999999998</c:v>
                </c:pt>
                <c:pt idx="1">
                  <c:v>13.815999999999995</c:v>
                </c:pt>
                <c:pt idx="2">
                  <c:v>6.039999999999992</c:v>
                </c:pt>
                <c:pt idx="3">
                  <c:v>-21.877746999999985</c:v>
                </c:pt>
                <c:pt idx="4">
                  <c:v>22.607747000000018</c:v>
                </c:pt>
                <c:pt idx="5">
                  <c:v>-0.19199999999999307</c:v>
                </c:pt>
                <c:pt idx="6">
                  <c:v>-0.33899999999997021</c:v>
                </c:pt>
                <c:pt idx="7">
                  <c:v>-0.12699999999998113</c:v>
                </c:pt>
                <c:pt idx="8">
                  <c:v>1.099999999999568E-2</c:v>
                </c:pt>
                <c:pt idx="9">
                  <c:v>-2.6849999999999739</c:v>
                </c:pt>
                <c:pt idx="10">
                  <c:v>0.11900000000002819</c:v>
                </c:pt>
                <c:pt idx="11">
                  <c:v>0</c:v>
                </c:pt>
                <c:pt idx="12">
                  <c:v>0.19600000000001216</c:v>
                </c:pt>
                <c:pt idx="13">
                  <c:v>3.7999999999996703E-2</c:v>
                </c:pt>
                <c:pt idx="14">
                  <c:v>1.2419999999999902</c:v>
                </c:pt>
                <c:pt idx="15">
                  <c:v>-0.3019999999999996</c:v>
                </c:pt>
                <c:pt idx="16">
                  <c:v>0</c:v>
                </c:pt>
                <c:pt idx="17">
                  <c:v>0</c:v>
                </c:pt>
                <c:pt idx="18">
                  <c:v>0</c:v>
                </c:pt>
              </c:numCache>
            </c:numRef>
          </c:val>
          <c:smooth val="0"/>
          <c:extLst>
            <c:ext xmlns:c16="http://schemas.microsoft.com/office/drawing/2014/chart" uri="{C3380CC4-5D6E-409C-BE32-E72D297353CC}">
              <c16:uniqueId val="{00000009-6624-E944-859D-B3590A5692C3}"/>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0.0"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OCO_CBO_TOA!$A$3</c:f>
              <c:strCache>
                <c:ptCount val="1"/>
                <c:pt idx="0">
                  <c:v>MILPERs</c:v>
                </c:pt>
              </c:strCache>
            </c:strRef>
          </c:tx>
          <c:spPr>
            <a:solidFill>
              <a:schemeClr val="accent6">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OCO_CBO_TOA!$G$3:$Y$3</c:f>
              <c:numCache>
                <c:formatCode>#,##0.000</c:formatCode>
                <c:ptCount val="19"/>
                <c:pt idx="0">
                  <c:v>0.51500000000000001</c:v>
                </c:pt>
                <c:pt idx="1">
                  <c:v>3.9060000000000001</c:v>
                </c:pt>
                <c:pt idx="2">
                  <c:v>15.87</c:v>
                </c:pt>
                <c:pt idx="3">
                  <c:v>18.004403</c:v>
                </c:pt>
                <c:pt idx="4">
                  <c:v>18.505597000000002</c:v>
                </c:pt>
                <c:pt idx="5">
                  <c:v>18.427</c:v>
                </c:pt>
                <c:pt idx="6">
                  <c:v>18.811</c:v>
                </c:pt>
                <c:pt idx="7">
                  <c:v>19.14</c:v>
                </c:pt>
                <c:pt idx="8">
                  <c:v>20.454000000000001</c:v>
                </c:pt>
                <c:pt idx="9">
                  <c:v>16.797000000000001</c:v>
                </c:pt>
                <c:pt idx="10">
                  <c:v>16.251000000000001</c:v>
                </c:pt>
                <c:pt idx="11">
                  <c:v>11.292999999999999</c:v>
                </c:pt>
                <c:pt idx="12">
                  <c:v>14.26</c:v>
                </c:pt>
                <c:pt idx="13">
                  <c:v>8.0820000000000007</c:v>
                </c:pt>
                <c:pt idx="14">
                  <c:v>5.0309999999999997</c:v>
                </c:pt>
                <c:pt idx="15">
                  <c:v>3.222</c:v>
                </c:pt>
                <c:pt idx="16">
                  <c:v>3.7519999999999998</c:v>
                </c:pt>
                <c:pt idx="17">
                  <c:v>3.839</c:v>
                </c:pt>
                <c:pt idx="18">
                  <c:v>4.6609999999999996</c:v>
                </c:pt>
              </c:numCache>
            </c:numRef>
          </c:val>
          <c:extLst>
            <c:ext xmlns:c16="http://schemas.microsoft.com/office/drawing/2014/chart" uri="{C3380CC4-5D6E-409C-BE32-E72D297353CC}">
              <c16:uniqueId val="{00000000-D02D-6245-BD97-044EB1954C97}"/>
            </c:ext>
          </c:extLst>
        </c:ser>
        <c:ser>
          <c:idx val="1"/>
          <c:order val="1"/>
          <c:tx>
            <c:strRef>
              <c:f>OCO_CBO_TOA!$A$4</c:f>
              <c:strCache>
                <c:ptCount val="1"/>
                <c:pt idx="0">
                  <c:v>O&amp;M</c:v>
                </c:pt>
              </c:strCache>
            </c:strRef>
          </c:tx>
          <c:spPr>
            <a:solidFill>
              <a:schemeClr val="tx2">
                <a:lumMod val="60000"/>
                <a:lumOff val="4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OCO_CBO_TOA!$G$4:$Y$4</c:f>
              <c:numCache>
                <c:formatCode>#,##0.000</c:formatCode>
                <c:ptCount val="19"/>
                <c:pt idx="0">
                  <c:v>14.204000000000001</c:v>
                </c:pt>
                <c:pt idx="1">
                  <c:v>23.937999999999999</c:v>
                </c:pt>
                <c:pt idx="2">
                  <c:v>47.640999999999998</c:v>
                </c:pt>
                <c:pt idx="3">
                  <c:v>43.411563999999998</c:v>
                </c:pt>
                <c:pt idx="4">
                  <c:v>57.978436000000002</c:v>
                </c:pt>
                <c:pt idx="5">
                  <c:v>73.186000000000007</c:v>
                </c:pt>
                <c:pt idx="6">
                  <c:v>92.052999999999997</c:v>
                </c:pt>
                <c:pt idx="7">
                  <c:v>94.230999999999995</c:v>
                </c:pt>
                <c:pt idx="8">
                  <c:v>92.747</c:v>
                </c:pt>
                <c:pt idx="9">
                  <c:v>109.449</c:v>
                </c:pt>
                <c:pt idx="10">
                  <c:v>111.652</c:v>
                </c:pt>
                <c:pt idx="11">
                  <c:v>86.775999999999996</c:v>
                </c:pt>
                <c:pt idx="12">
                  <c:v>58.35</c:v>
                </c:pt>
                <c:pt idx="13">
                  <c:v>69.683999999999997</c:v>
                </c:pt>
                <c:pt idx="14">
                  <c:v>50.984000000000002</c:v>
                </c:pt>
                <c:pt idx="15">
                  <c:v>46.968000000000004</c:v>
                </c:pt>
                <c:pt idx="16">
                  <c:v>60.134999999999998</c:v>
                </c:pt>
                <c:pt idx="17">
                  <c:v>61.973999999999997</c:v>
                </c:pt>
                <c:pt idx="18">
                  <c:v>49.313000000000002</c:v>
                </c:pt>
              </c:numCache>
            </c:numRef>
          </c:val>
          <c:extLst>
            <c:ext xmlns:c16="http://schemas.microsoft.com/office/drawing/2014/chart" uri="{C3380CC4-5D6E-409C-BE32-E72D297353CC}">
              <c16:uniqueId val="{00000001-D02D-6245-BD97-044EB1954C97}"/>
            </c:ext>
          </c:extLst>
        </c:ser>
        <c:ser>
          <c:idx val="2"/>
          <c:order val="2"/>
          <c:tx>
            <c:strRef>
              <c:f>OCO_CBO_TOA!$A$5</c:f>
              <c:strCache>
                <c:ptCount val="1"/>
                <c:pt idx="0">
                  <c:v>Procurement</c:v>
                </c:pt>
              </c:strCache>
            </c:strRef>
          </c:tx>
          <c:spPr>
            <a:solidFill>
              <a:schemeClr val="accent4"/>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OCO_CBO_TOA!$G$5:$Y$5</c:f>
              <c:numCache>
                <c:formatCode>#,##0.000</c:formatCode>
                <c:ptCount val="19"/>
                <c:pt idx="0">
                  <c:v>0</c:v>
                </c:pt>
                <c:pt idx="1">
                  <c:v>2.5920000000000001</c:v>
                </c:pt>
                <c:pt idx="2">
                  <c:v>10.388999999999999</c:v>
                </c:pt>
                <c:pt idx="3">
                  <c:v>5.8107520000000008</c:v>
                </c:pt>
                <c:pt idx="4">
                  <c:v>18.698248</c:v>
                </c:pt>
                <c:pt idx="5">
                  <c:v>27.698</c:v>
                </c:pt>
                <c:pt idx="6">
                  <c:v>50.765000000000001</c:v>
                </c:pt>
                <c:pt idx="7">
                  <c:v>64.798000000000002</c:v>
                </c:pt>
                <c:pt idx="8">
                  <c:v>32.853999999999999</c:v>
                </c:pt>
                <c:pt idx="9">
                  <c:v>31.581</c:v>
                </c:pt>
                <c:pt idx="10">
                  <c:v>28.341000000000001</c:v>
                </c:pt>
                <c:pt idx="11">
                  <c:v>16.052</c:v>
                </c:pt>
                <c:pt idx="12">
                  <c:v>9.218</c:v>
                </c:pt>
                <c:pt idx="13">
                  <c:v>7.0259999999999998</c:v>
                </c:pt>
                <c:pt idx="14">
                  <c:v>7.6870000000000003</c:v>
                </c:pt>
                <c:pt idx="15">
                  <c:v>8.1289999999999996</c:v>
                </c:pt>
                <c:pt idx="16">
                  <c:v>16.271000000000001</c:v>
                </c:pt>
                <c:pt idx="17">
                  <c:v>18.420999999999999</c:v>
                </c:pt>
                <c:pt idx="18">
                  <c:v>12.782</c:v>
                </c:pt>
              </c:numCache>
            </c:numRef>
          </c:val>
          <c:extLst>
            <c:ext xmlns:c16="http://schemas.microsoft.com/office/drawing/2014/chart" uri="{C3380CC4-5D6E-409C-BE32-E72D297353CC}">
              <c16:uniqueId val="{00000002-D02D-6245-BD97-044EB1954C97}"/>
            </c:ext>
          </c:extLst>
        </c:ser>
        <c:ser>
          <c:idx val="3"/>
          <c:order val="3"/>
          <c:tx>
            <c:strRef>
              <c:f>OCO_CBO_TOA!$A$6</c:f>
              <c:strCache>
                <c:ptCount val="1"/>
                <c:pt idx="0">
                  <c:v>RDT&amp;E</c:v>
                </c:pt>
              </c:strCache>
            </c:strRef>
          </c:tx>
          <c:spPr>
            <a:solidFill>
              <a:srgbClr val="C00000"/>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OCO_CBO_TOA!$G$6:$Y$6</c:f>
              <c:numCache>
                <c:formatCode>#,##0.000</c:formatCode>
                <c:ptCount val="19"/>
                <c:pt idx="0">
                  <c:v>0.48699999999999999</c:v>
                </c:pt>
                <c:pt idx="1">
                  <c:v>0.14499999999999999</c:v>
                </c:pt>
                <c:pt idx="2">
                  <c:v>2.62</c:v>
                </c:pt>
                <c:pt idx="3">
                  <c:v>0.33400000000000002</c:v>
                </c:pt>
                <c:pt idx="4">
                  <c:v>0.64700000000000002</c:v>
                </c:pt>
                <c:pt idx="5">
                  <c:v>0.81599999999999995</c:v>
                </c:pt>
                <c:pt idx="6">
                  <c:v>1.5069999999999999</c:v>
                </c:pt>
                <c:pt idx="7">
                  <c:v>1.669</c:v>
                </c:pt>
                <c:pt idx="8">
                  <c:v>0.61199999999999999</c:v>
                </c:pt>
                <c:pt idx="9">
                  <c:v>0.52500000000000002</c:v>
                </c:pt>
                <c:pt idx="10">
                  <c:v>0.95499999999999996</c:v>
                </c:pt>
                <c:pt idx="11">
                  <c:v>0.52700000000000002</c:v>
                </c:pt>
                <c:pt idx="12">
                  <c:v>0.18</c:v>
                </c:pt>
                <c:pt idx="13">
                  <c:v>0.13500000000000001</c:v>
                </c:pt>
                <c:pt idx="14">
                  <c:v>0.32300000000000001</c:v>
                </c:pt>
                <c:pt idx="15">
                  <c:v>0.23200000000000001</c:v>
                </c:pt>
                <c:pt idx="16">
                  <c:v>1.534</c:v>
                </c:pt>
                <c:pt idx="17">
                  <c:v>2.8260000000000001</c:v>
                </c:pt>
                <c:pt idx="18">
                  <c:v>1.3080000000000001</c:v>
                </c:pt>
              </c:numCache>
            </c:numRef>
          </c:val>
          <c:extLst>
            <c:ext xmlns:c16="http://schemas.microsoft.com/office/drawing/2014/chart" uri="{C3380CC4-5D6E-409C-BE32-E72D297353CC}">
              <c16:uniqueId val="{00000003-D02D-6245-BD97-044EB1954C97}"/>
            </c:ext>
          </c:extLst>
        </c:ser>
        <c:ser>
          <c:idx val="4"/>
          <c:order val="4"/>
          <c:tx>
            <c:strRef>
              <c:f>OCO_CBO_TOA!$A$7</c:f>
              <c:strCache>
                <c:ptCount val="1"/>
                <c:pt idx="0">
                  <c:v>MILCON</c:v>
                </c:pt>
              </c:strCache>
            </c:strRef>
          </c:tx>
          <c:spPr>
            <a:solidFill>
              <a:schemeClr val="accent4">
                <a:lumMod val="5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OCO_CBO_TOA!$G$7:$Y$7</c:f>
              <c:numCache>
                <c:formatCode>#,##0.000</c:formatCode>
                <c:ptCount val="19"/>
                <c:pt idx="0">
                  <c:v>6.3E-2</c:v>
                </c:pt>
                <c:pt idx="1">
                  <c:v>0.105</c:v>
                </c:pt>
                <c:pt idx="2">
                  <c:v>0.9</c:v>
                </c:pt>
                <c:pt idx="3">
                  <c:v>0.501</c:v>
                </c:pt>
                <c:pt idx="4">
                  <c:v>1.276</c:v>
                </c:pt>
                <c:pt idx="5">
                  <c:v>1.486</c:v>
                </c:pt>
                <c:pt idx="6">
                  <c:v>4.8129999999999997</c:v>
                </c:pt>
                <c:pt idx="7">
                  <c:v>4.234</c:v>
                </c:pt>
                <c:pt idx="8">
                  <c:v>4.9160000000000004</c:v>
                </c:pt>
                <c:pt idx="9">
                  <c:v>1.548</c:v>
                </c:pt>
                <c:pt idx="10">
                  <c:v>1.2230000000000001</c:v>
                </c:pt>
                <c:pt idx="11">
                  <c:v>0</c:v>
                </c:pt>
                <c:pt idx="12">
                  <c:v>6.0000000000000001E-3</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D02D-6245-BD97-044EB1954C97}"/>
            </c:ext>
          </c:extLst>
        </c:ser>
        <c:ser>
          <c:idx val="5"/>
          <c:order val="5"/>
          <c:tx>
            <c:strRef>
              <c:f>OCO_CBO_TOA!$A$8</c:f>
              <c:strCache>
                <c:ptCount val="1"/>
                <c:pt idx="0">
                  <c:v>Family Housing</c:v>
                </c:pt>
              </c:strCache>
            </c:strRef>
          </c:tx>
          <c:spPr>
            <a:solidFill>
              <a:schemeClr val="accent6"/>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OCO_CBO_TOA!$G$8:$Y$8</c:f>
              <c:numCache>
                <c:formatCode>#,##0.000</c:formatCode>
                <c:ptCount val="19"/>
                <c:pt idx="0">
                  <c:v>0.06</c:v>
                </c:pt>
                <c:pt idx="1">
                  <c:v>0</c:v>
                </c:pt>
                <c:pt idx="2">
                  <c:v>3.2000000000000001E-2</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D02D-6245-BD97-044EB1954C97}"/>
            </c:ext>
          </c:extLst>
        </c:ser>
        <c:ser>
          <c:idx val="6"/>
          <c:order val="6"/>
          <c:tx>
            <c:strRef>
              <c:f>OCO_CBO_TOA!$A$9</c:f>
              <c:strCache>
                <c:ptCount val="1"/>
                <c:pt idx="0">
                  <c:v>Revolving Funds &amp; Other</c:v>
                </c:pt>
              </c:strCache>
            </c:strRef>
          </c:tx>
          <c:spPr>
            <a:solidFill>
              <a:schemeClr val="accent1">
                <a:lumMod val="60000"/>
              </a:schemeClr>
            </a:solidFill>
            <a:ln>
              <a:noFill/>
            </a:ln>
            <a:effectLst/>
          </c:spPr>
          <c:invertIfNegative val="0"/>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OCO_CBO_TOA!$G$42</c:f>
              <c:numCache>
                <c:formatCode>0.000</c:formatCode>
                <c:ptCount val="1"/>
                <c:pt idx="0">
                  <c:v>0.25058757742735704</c:v>
                </c:pt>
              </c:numCache>
            </c:numRef>
          </c:val>
          <c:extLst>
            <c:ext xmlns:c16="http://schemas.microsoft.com/office/drawing/2014/chart" uri="{C3380CC4-5D6E-409C-BE32-E72D297353CC}">
              <c16:uniqueId val="{00000006-D02D-6245-BD97-044EB1954C97}"/>
            </c:ext>
          </c:extLst>
        </c:ser>
        <c:dLbls>
          <c:showLegendKey val="0"/>
          <c:showVal val="0"/>
          <c:showCatName val="0"/>
          <c:showSerName val="0"/>
          <c:showPercent val="0"/>
          <c:showBubbleSize val="0"/>
        </c:dLbls>
        <c:gapWidth val="150"/>
        <c:overlap val="100"/>
        <c:axId val="1758674880"/>
        <c:axId val="1758677200"/>
      </c:barChart>
      <c:lineChart>
        <c:grouping val="standard"/>
        <c:varyColors val="0"/>
        <c:ser>
          <c:idx val="7"/>
          <c:order val="7"/>
          <c:tx>
            <c:strRef>
              <c:f>OCO_CBO_TOA!$A$21</c:f>
              <c:strCache>
                <c:ptCount val="1"/>
                <c:pt idx="0">
                  <c:v>Green Book Tab2-1</c:v>
                </c:pt>
              </c:strCache>
            </c:strRef>
          </c:tx>
          <c:spPr>
            <a:ln w="12700" cap="rnd">
              <a:solidFill>
                <a:srgbClr val="C00000"/>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OCO_CBO_TOA!$G$22:$Y$22</c:f>
              <c:numCache>
                <c:formatCode>General</c:formatCode>
                <c:ptCount val="19"/>
                <c:pt idx="0">
                  <c:v>28.774000000000001</c:v>
                </c:pt>
                <c:pt idx="1">
                  <c:v>16.87</c:v>
                </c:pt>
                <c:pt idx="2">
                  <c:v>72.536000000000001</c:v>
                </c:pt>
                <c:pt idx="3">
                  <c:v>91.088999999999999</c:v>
                </c:pt>
                <c:pt idx="4">
                  <c:v>78.841999999999999</c:v>
                </c:pt>
                <c:pt idx="5">
                  <c:v>123.916</c:v>
                </c:pt>
                <c:pt idx="6">
                  <c:v>169.40899999999999</c:v>
                </c:pt>
                <c:pt idx="7">
                  <c:v>186.90799999999999</c:v>
                </c:pt>
                <c:pt idx="8">
                  <c:v>153.124</c:v>
                </c:pt>
                <c:pt idx="9">
                  <c:v>163.04499999999999</c:v>
                </c:pt>
                <c:pt idx="10">
                  <c:v>158.78800000000001</c:v>
                </c:pt>
                <c:pt idx="11">
                  <c:v>115.083</c:v>
                </c:pt>
                <c:pt idx="12">
                  <c:v>82.085999999999999</c:v>
                </c:pt>
                <c:pt idx="13">
                  <c:v>85.153999999999996</c:v>
                </c:pt>
                <c:pt idx="14">
                  <c:v>63.094999999999999</c:v>
                </c:pt>
                <c:pt idx="15">
                  <c:v>58.942</c:v>
                </c:pt>
                <c:pt idx="16">
                  <c:v>82.49</c:v>
                </c:pt>
                <c:pt idx="17" formatCode="#,##0.0">
                  <c:v>88.118000000000009</c:v>
                </c:pt>
                <c:pt idx="18" formatCode="#,##0.0">
                  <c:v>69.000000000000014</c:v>
                </c:pt>
              </c:numCache>
            </c:numRef>
          </c:val>
          <c:smooth val="0"/>
          <c:extLst>
            <c:ext xmlns:c16="http://schemas.microsoft.com/office/drawing/2014/chart" uri="{C3380CC4-5D6E-409C-BE32-E72D297353CC}">
              <c16:uniqueId val="{00000007-D02D-6245-BD97-044EB1954C97}"/>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OCO_CBO_TOA!$G$2:$Y$2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OCO_CBO_TOA!$G$11:$Y$11</c:f>
              <c:numCache>
                <c:formatCode>#,##0.0</c:formatCode>
                <c:ptCount val="19"/>
                <c:pt idx="0">
                  <c:v>15.507000000000003</c:v>
                </c:pt>
                <c:pt idx="1">
                  <c:v>30.685999999999996</c:v>
                </c:pt>
                <c:pt idx="2">
                  <c:v>78.575999999999993</c:v>
                </c:pt>
                <c:pt idx="3">
                  <c:v>69.211253000000013</c:v>
                </c:pt>
                <c:pt idx="4">
                  <c:v>101.44974700000002</c:v>
                </c:pt>
                <c:pt idx="5">
                  <c:v>123.724</c:v>
                </c:pt>
                <c:pt idx="6">
                  <c:v>169.07000000000002</c:v>
                </c:pt>
                <c:pt idx="7">
                  <c:v>186.78100000000001</c:v>
                </c:pt>
                <c:pt idx="8">
                  <c:v>153.13499999999999</c:v>
                </c:pt>
                <c:pt idx="9">
                  <c:v>160.36000000000001</c:v>
                </c:pt>
                <c:pt idx="10">
                  <c:v>158.90700000000004</c:v>
                </c:pt>
                <c:pt idx="11">
                  <c:v>115.08299999999998</c:v>
                </c:pt>
                <c:pt idx="12">
                  <c:v>82.282000000000011</c:v>
                </c:pt>
                <c:pt idx="13">
                  <c:v>85.191999999999993</c:v>
                </c:pt>
                <c:pt idx="14">
                  <c:v>64.336999999999989</c:v>
                </c:pt>
                <c:pt idx="15">
                  <c:v>58.64</c:v>
                </c:pt>
                <c:pt idx="16">
                  <c:v>82.490000000000009</c:v>
                </c:pt>
                <c:pt idx="17">
                  <c:v>88.118000000000009</c:v>
                </c:pt>
                <c:pt idx="18">
                  <c:v>69.000000000000014</c:v>
                </c:pt>
              </c:numCache>
            </c:numRef>
          </c:val>
          <c:smooth val="0"/>
          <c:extLst>
            <c:ext xmlns:c16="http://schemas.microsoft.com/office/drawing/2014/chart" uri="{C3380CC4-5D6E-409C-BE32-E72D297353CC}">
              <c16:uniqueId val="{00000008-D02D-6245-BD97-044EB1954C97}"/>
            </c:ext>
          </c:extLst>
        </c:ser>
        <c:dLbls>
          <c:showLegendKey val="0"/>
          <c:showVal val="0"/>
          <c:showCatName val="0"/>
          <c:showSerName val="0"/>
          <c:showPercent val="0"/>
          <c:showBubbleSize val="0"/>
        </c:dLbls>
        <c:marker val="1"/>
        <c:smooth val="0"/>
        <c:axId val="1758674880"/>
        <c:axId val="1758677200"/>
      </c:lineChart>
      <c:catAx>
        <c:axId val="175867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7200"/>
        <c:crosses val="autoZero"/>
        <c:auto val="1"/>
        <c:lblAlgn val="ctr"/>
        <c:lblOffset val="100"/>
        <c:noMultiLvlLbl val="0"/>
      </c:catAx>
      <c:valAx>
        <c:axId val="17586772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4880"/>
        <c:crosses val="autoZero"/>
        <c:crossBetween val="between"/>
      </c:valAx>
      <c:spPr>
        <a:noFill/>
        <a:ln>
          <a:solidFill>
            <a:schemeClr val="tx1"/>
          </a:solidFill>
        </a:ln>
        <a:effectLst/>
      </c:spPr>
    </c:plotArea>
    <c:legend>
      <c:legendPos val="b"/>
      <c:legendEntry>
        <c:idx val="8"/>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OCO_BA!$A$2</c:f>
              <c:strCache>
                <c:ptCount val="1"/>
                <c:pt idx="0">
                  <c:v>MILPERs</c:v>
                </c:pt>
              </c:strCache>
            </c:strRef>
          </c:tx>
          <c:spPr>
            <a:solidFill>
              <a:schemeClr val="accent6">
                <a:lumMod val="5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OCO_BA!$E$2:$U$2</c:f>
              <c:numCache>
                <c:formatCode>General</c:formatCode>
                <c:ptCount val="17"/>
                <c:pt idx="0">
                  <c:v>0.51500000000000001</c:v>
                </c:pt>
                <c:pt idx="1">
                  <c:v>0.20599999999999999</c:v>
                </c:pt>
                <c:pt idx="2">
                  <c:v>15.019</c:v>
                </c:pt>
                <c:pt idx="3">
                  <c:v>19.064</c:v>
                </c:pt>
                <c:pt idx="4">
                  <c:v>17.446999999999999</c:v>
                </c:pt>
                <c:pt idx="5">
                  <c:v>17.036999999999999</c:v>
                </c:pt>
                <c:pt idx="6">
                  <c:v>18.893999999999998</c:v>
                </c:pt>
                <c:pt idx="7">
                  <c:v>19.138000000000002</c:v>
                </c:pt>
                <c:pt idx="8">
                  <c:v>19.920000000000002</c:v>
                </c:pt>
                <c:pt idx="9">
                  <c:v>16.869</c:v>
                </c:pt>
                <c:pt idx="10">
                  <c:v>15.64</c:v>
                </c:pt>
                <c:pt idx="11">
                  <c:v>11.292999999999999</c:v>
                </c:pt>
                <c:pt idx="12">
                  <c:v>12.122999999999999</c:v>
                </c:pt>
                <c:pt idx="13">
                  <c:v>7.81</c:v>
                </c:pt>
                <c:pt idx="14">
                  <c:v>4.7750000000000004</c:v>
                </c:pt>
                <c:pt idx="15">
                  <c:v>3.18</c:v>
                </c:pt>
                <c:pt idx="16">
                  <c:v>3.7519999999999998</c:v>
                </c:pt>
              </c:numCache>
            </c:numRef>
          </c:val>
          <c:extLst>
            <c:ext xmlns:c16="http://schemas.microsoft.com/office/drawing/2014/chart" uri="{C3380CC4-5D6E-409C-BE32-E72D297353CC}">
              <c16:uniqueId val="{00000000-DCD7-744E-8B0D-28413AD0582E}"/>
            </c:ext>
          </c:extLst>
        </c:ser>
        <c:ser>
          <c:idx val="1"/>
          <c:order val="1"/>
          <c:tx>
            <c:strRef>
              <c:f>OCO_BA!$A$3</c:f>
              <c:strCache>
                <c:ptCount val="1"/>
                <c:pt idx="0">
                  <c:v>O&amp;M</c:v>
                </c:pt>
              </c:strCache>
            </c:strRef>
          </c:tx>
          <c:spPr>
            <a:solidFill>
              <a:schemeClr val="tx2">
                <a:lumMod val="60000"/>
                <a:lumOff val="4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OCO_BA!$E$3:$V$3</c:f>
              <c:numCache>
                <c:formatCode>General</c:formatCode>
                <c:ptCount val="18"/>
                <c:pt idx="0">
                  <c:v>26.492999999999999</c:v>
                </c:pt>
                <c:pt idx="1">
                  <c:v>15.379</c:v>
                </c:pt>
                <c:pt idx="2">
                  <c:v>52.784999999999997</c:v>
                </c:pt>
                <c:pt idx="3">
                  <c:v>62.143000000000001</c:v>
                </c:pt>
                <c:pt idx="4">
                  <c:v>40.380000000000003</c:v>
                </c:pt>
                <c:pt idx="5">
                  <c:v>75.290000000000006</c:v>
                </c:pt>
                <c:pt idx="6">
                  <c:v>93.614999999999995</c:v>
                </c:pt>
                <c:pt idx="7">
                  <c:v>93.349000000000004</c:v>
                </c:pt>
                <c:pt idx="8">
                  <c:v>91.572999999999993</c:v>
                </c:pt>
                <c:pt idx="9">
                  <c:v>108.971</c:v>
                </c:pt>
                <c:pt idx="10">
                  <c:v>110.21899999999999</c:v>
                </c:pt>
                <c:pt idx="11">
                  <c:v>86.775999999999996</c:v>
                </c:pt>
                <c:pt idx="12">
                  <c:v>61.585999999999999</c:v>
                </c:pt>
                <c:pt idx="13">
                  <c:v>68.792000000000002</c:v>
                </c:pt>
                <c:pt idx="14">
                  <c:v>49.482999999999997</c:v>
                </c:pt>
                <c:pt idx="15">
                  <c:v>47.154000000000003</c:v>
                </c:pt>
                <c:pt idx="16">
                  <c:v>60.134999999999998</c:v>
                </c:pt>
                <c:pt idx="17">
                  <c:v>61.973999999999997</c:v>
                </c:pt>
              </c:numCache>
            </c:numRef>
          </c:val>
          <c:extLst>
            <c:ext xmlns:c16="http://schemas.microsoft.com/office/drawing/2014/chart" uri="{C3380CC4-5D6E-409C-BE32-E72D297353CC}">
              <c16:uniqueId val="{00000001-DCD7-744E-8B0D-28413AD0582E}"/>
            </c:ext>
          </c:extLst>
        </c:ser>
        <c:ser>
          <c:idx val="2"/>
          <c:order val="2"/>
          <c:tx>
            <c:strRef>
              <c:f>OCO_BA!$A$4</c:f>
              <c:strCache>
                <c:ptCount val="1"/>
                <c:pt idx="0">
                  <c:v>Procurement</c:v>
                </c:pt>
              </c:strCache>
            </c:strRef>
          </c:tx>
          <c:spPr>
            <a:solidFill>
              <a:schemeClr val="accent4"/>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OCO_BA!$E$4:$V$4</c:f>
              <c:numCache>
                <c:formatCode>General</c:formatCode>
                <c:ptCount val="18"/>
                <c:pt idx="0">
                  <c:v>0.97799999999999998</c:v>
                </c:pt>
                <c:pt idx="1">
                  <c:v>1.194</c:v>
                </c:pt>
                <c:pt idx="2">
                  <c:v>3.734</c:v>
                </c:pt>
                <c:pt idx="3">
                  <c:v>6.92</c:v>
                </c:pt>
                <c:pt idx="4">
                  <c:v>17.526</c:v>
                </c:pt>
                <c:pt idx="5">
                  <c:v>25.739000000000001</c:v>
                </c:pt>
                <c:pt idx="6">
                  <c:v>49.466000000000001</c:v>
                </c:pt>
                <c:pt idx="7">
                  <c:v>65.869</c:v>
                </c:pt>
                <c:pt idx="8">
                  <c:v>34.552</c:v>
                </c:pt>
                <c:pt idx="9">
                  <c:v>32.631999999999998</c:v>
                </c:pt>
                <c:pt idx="10">
                  <c:v>29.824999999999999</c:v>
                </c:pt>
                <c:pt idx="11">
                  <c:v>16.052</c:v>
                </c:pt>
                <c:pt idx="12">
                  <c:v>8.1349999999999998</c:v>
                </c:pt>
                <c:pt idx="13">
                  <c:v>8.2430000000000003</c:v>
                </c:pt>
                <c:pt idx="14">
                  <c:v>8.234</c:v>
                </c:pt>
                <c:pt idx="15">
                  <c:v>8.3629999999999995</c:v>
                </c:pt>
                <c:pt idx="16">
                  <c:v>16.271000000000001</c:v>
                </c:pt>
                <c:pt idx="17">
                  <c:v>18.420999999999999</c:v>
                </c:pt>
              </c:numCache>
            </c:numRef>
          </c:val>
          <c:extLst>
            <c:ext xmlns:c16="http://schemas.microsoft.com/office/drawing/2014/chart" uri="{C3380CC4-5D6E-409C-BE32-E72D297353CC}">
              <c16:uniqueId val="{00000002-DCD7-744E-8B0D-28413AD0582E}"/>
            </c:ext>
          </c:extLst>
        </c:ser>
        <c:ser>
          <c:idx val="3"/>
          <c:order val="3"/>
          <c:tx>
            <c:strRef>
              <c:f>OCO_BA!$A$5</c:f>
              <c:strCache>
                <c:ptCount val="1"/>
                <c:pt idx="0">
                  <c:v>RDT&amp;E</c:v>
                </c:pt>
              </c:strCache>
            </c:strRef>
          </c:tx>
          <c:spPr>
            <a:solidFill>
              <a:srgbClr val="C00000"/>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OCO_BA!$E$5:$V$5</c:f>
              <c:numCache>
                <c:formatCode>General</c:formatCode>
                <c:ptCount val="18"/>
                <c:pt idx="0">
                  <c:v>0.48699999999999999</c:v>
                </c:pt>
                <c:pt idx="1">
                  <c:v>-1.4E-2</c:v>
                </c:pt>
                <c:pt idx="2">
                  <c:v>0.80900000000000005</c:v>
                </c:pt>
                <c:pt idx="3">
                  <c:v>0.33400000000000002</c:v>
                </c:pt>
                <c:pt idx="4">
                  <c:v>0.64600000000000002</c:v>
                </c:pt>
                <c:pt idx="5">
                  <c:v>0.81699999999999995</c:v>
                </c:pt>
                <c:pt idx="6">
                  <c:v>1.506</c:v>
                </c:pt>
                <c:pt idx="7">
                  <c:v>1.6080000000000001</c:v>
                </c:pt>
                <c:pt idx="8">
                  <c:v>0.61199999999999999</c:v>
                </c:pt>
                <c:pt idx="9">
                  <c:v>0.96899999999999997</c:v>
                </c:pt>
                <c:pt idx="10">
                  <c:v>1.3959999999999999</c:v>
                </c:pt>
                <c:pt idx="11">
                  <c:v>0.52600000000000002</c:v>
                </c:pt>
                <c:pt idx="12">
                  <c:v>0.192</c:v>
                </c:pt>
                <c:pt idx="13">
                  <c:v>0.31</c:v>
                </c:pt>
                <c:pt idx="14">
                  <c:v>0.38100000000000001</c:v>
                </c:pt>
                <c:pt idx="15">
                  <c:v>0.24199999999999999</c:v>
                </c:pt>
                <c:pt idx="16">
                  <c:v>1.534</c:v>
                </c:pt>
                <c:pt idx="17">
                  <c:v>2.8260000000000001</c:v>
                </c:pt>
              </c:numCache>
            </c:numRef>
          </c:val>
          <c:extLst>
            <c:ext xmlns:c16="http://schemas.microsoft.com/office/drawing/2014/chart" uri="{C3380CC4-5D6E-409C-BE32-E72D297353CC}">
              <c16:uniqueId val="{00000003-DCD7-744E-8B0D-28413AD0582E}"/>
            </c:ext>
          </c:extLst>
        </c:ser>
        <c:ser>
          <c:idx val="4"/>
          <c:order val="4"/>
          <c:tx>
            <c:strRef>
              <c:f>OCO_BA!$A$6</c:f>
              <c:strCache>
                <c:ptCount val="1"/>
                <c:pt idx="0">
                  <c:v>MILCON</c:v>
                </c:pt>
              </c:strCache>
            </c:strRef>
          </c:tx>
          <c:spPr>
            <a:solidFill>
              <a:schemeClr val="accent4">
                <a:lumMod val="5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OCO_BA!$E$6:$V$6</c:f>
              <c:numCache>
                <c:formatCode>General</c:formatCode>
                <c:ptCount val="18"/>
                <c:pt idx="0">
                  <c:v>6.3E-2</c:v>
                </c:pt>
                <c:pt idx="1">
                  <c:v>0.105</c:v>
                </c:pt>
                <c:pt idx="2">
                  <c:v>0.186</c:v>
                </c:pt>
                <c:pt idx="3">
                  <c:v>0.501</c:v>
                </c:pt>
                <c:pt idx="4">
                  <c:v>1.276</c:v>
                </c:pt>
                <c:pt idx="5">
                  <c:v>1.4750000000000001</c:v>
                </c:pt>
                <c:pt idx="6">
                  <c:v>4.8070000000000004</c:v>
                </c:pt>
                <c:pt idx="7">
                  <c:v>4.234</c:v>
                </c:pt>
                <c:pt idx="8">
                  <c:v>4.9160000000000004</c:v>
                </c:pt>
                <c:pt idx="9">
                  <c:v>2.048</c:v>
                </c:pt>
                <c:pt idx="10">
                  <c:v>1.2230000000000001</c:v>
                </c:pt>
                <c:pt idx="11">
                  <c:v>0</c:v>
                </c:pt>
                <c:pt idx="12">
                  <c:v>1.4999999999999999E-2</c:v>
                </c:pt>
                <c:pt idx="13">
                  <c:v>0</c:v>
                </c:pt>
                <c:pt idx="14">
                  <c:v>0.221</c:v>
                </c:pt>
                <c:pt idx="15">
                  <c:v>0</c:v>
                </c:pt>
                <c:pt idx="16">
                  <c:v>0.42</c:v>
                </c:pt>
                <c:pt idx="17">
                  <c:v>0.63200000000000001</c:v>
                </c:pt>
              </c:numCache>
            </c:numRef>
          </c:val>
          <c:extLst>
            <c:ext xmlns:c16="http://schemas.microsoft.com/office/drawing/2014/chart" uri="{C3380CC4-5D6E-409C-BE32-E72D297353CC}">
              <c16:uniqueId val="{00000004-DCD7-744E-8B0D-28413AD0582E}"/>
            </c:ext>
          </c:extLst>
        </c:ser>
        <c:ser>
          <c:idx val="5"/>
          <c:order val="5"/>
          <c:tx>
            <c:strRef>
              <c:f>OCO_BA!$A$7</c:f>
              <c:strCache>
                <c:ptCount val="1"/>
                <c:pt idx="0">
                  <c:v>Family Housing</c:v>
                </c:pt>
              </c:strCache>
            </c:strRef>
          </c:tx>
          <c:spPr>
            <a:solidFill>
              <a:schemeClr val="accent6"/>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OCO_BA!$E$7:$V$7</c:f>
              <c:numCache>
                <c:formatCode>General</c:formatCode>
                <c:ptCount val="18"/>
                <c:pt idx="0">
                  <c:v>0.06</c:v>
                </c:pt>
                <c:pt idx="1">
                  <c:v>0</c:v>
                </c:pt>
                <c:pt idx="2">
                  <c:v>2E-3</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numCache>
            </c:numRef>
          </c:val>
          <c:extLst>
            <c:ext xmlns:c16="http://schemas.microsoft.com/office/drawing/2014/chart" uri="{C3380CC4-5D6E-409C-BE32-E72D297353CC}">
              <c16:uniqueId val="{00000005-DCD7-744E-8B0D-28413AD0582E}"/>
            </c:ext>
          </c:extLst>
        </c:ser>
        <c:ser>
          <c:idx val="6"/>
          <c:order val="6"/>
          <c:tx>
            <c:strRef>
              <c:f>OCO_BA!$A$8</c:f>
              <c:strCache>
                <c:ptCount val="1"/>
                <c:pt idx="0">
                  <c:v>Revolving Funds &amp; Other</c:v>
                </c:pt>
              </c:strCache>
            </c:strRef>
          </c:tx>
          <c:spPr>
            <a:solidFill>
              <a:schemeClr val="accent1">
                <a:lumMod val="60000"/>
              </a:schemeClr>
            </a:solidFill>
            <a:ln>
              <a:noFill/>
            </a:ln>
            <a:effectLst/>
          </c:spPr>
          <c:invertIfNegative val="0"/>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extLst>
            <c:ext xmlns:c16="http://schemas.microsoft.com/office/drawing/2014/chart" uri="{C3380CC4-5D6E-409C-BE32-E72D297353CC}">
              <c16:uniqueId val="{00000006-DCD7-744E-8B0D-28413AD0582E}"/>
            </c:ext>
          </c:extLst>
        </c:ser>
        <c:dLbls>
          <c:showLegendKey val="0"/>
          <c:showVal val="0"/>
          <c:showCatName val="0"/>
          <c:showSerName val="0"/>
          <c:showPercent val="0"/>
          <c:showBubbleSize val="0"/>
        </c:dLbls>
        <c:gapWidth val="150"/>
        <c:overlap val="100"/>
        <c:axId val="1757832912"/>
        <c:axId val="1757835232"/>
      </c:barChart>
      <c:lineChart>
        <c:grouping val="standard"/>
        <c:varyColors val="0"/>
        <c:ser>
          <c:idx val="7"/>
          <c:order val="7"/>
          <c:tx>
            <c:strRef>
              <c:f>OCO!#REF!</c:f>
              <c:strCache>
                <c:ptCount val="1"/>
                <c:pt idx="0">
                  <c:v>#REF!</c:v>
                </c:pt>
              </c:strCache>
            </c:strRef>
          </c:tx>
          <c:spPr>
            <a:ln w="12700" cap="rnd">
              <a:solidFill>
                <a:schemeClr val="tx1"/>
              </a:solidFill>
              <a:prstDash val="dash"/>
              <a:round/>
            </a:ln>
            <a:effectLst/>
          </c:spPr>
          <c:marker>
            <c:symbol val="none"/>
          </c:marker>
          <c:dLbls>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7-DCD7-744E-8B0D-28413AD0582E}"/>
            </c:ext>
          </c:extLst>
        </c:ser>
        <c:ser>
          <c:idx val="8"/>
          <c:order val="8"/>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OCO_BA!$E$9:$V$9</c:f>
              <c:numCache>
                <c:formatCode>#,##0.0</c:formatCode>
                <c:ptCount val="18"/>
                <c:pt idx="0">
                  <c:v>28.773999999999997</c:v>
                </c:pt>
                <c:pt idx="1">
                  <c:v>16.87</c:v>
                </c:pt>
                <c:pt idx="2">
                  <c:v>72.534999999999997</c:v>
                </c:pt>
                <c:pt idx="3">
                  <c:v>91.088000000000008</c:v>
                </c:pt>
                <c:pt idx="4">
                  <c:v>78.842999999999989</c:v>
                </c:pt>
                <c:pt idx="5">
                  <c:v>123.91699999999999</c:v>
                </c:pt>
                <c:pt idx="6">
                  <c:v>169.40899999999999</c:v>
                </c:pt>
                <c:pt idx="7">
                  <c:v>186.90800000000002</c:v>
                </c:pt>
                <c:pt idx="8">
                  <c:v>153.12499999999997</c:v>
                </c:pt>
                <c:pt idx="9">
                  <c:v>163.04400000000001</c:v>
                </c:pt>
                <c:pt idx="10">
                  <c:v>158.78800000000001</c:v>
                </c:pt>
                <c:pt idx="11">
                  <c:v>115.08199999999998</c:v>
                </c:pt>
                <c:pt idx="12">
                  <c:v>82.085000000000008</c:v>
                </c:pt>
                <c:pt idx="13">
                  <c:v>85.155000000000001</c:v>
                </c:pt>
                <c:pt idx="14">
                  <c:v>63.093999999999994</c:v>
                </c:pt>
                <c:pt idx="15">
                  <c:v>58.942</c:v>
                </c:pt>
                <c:pt idx="16">
                  <c:v>82.490000000000009</c:v>
                </c:pt>
                <c:pt idx="17">
                  <c:v>88.118000000000009</c:v>
                </c:pt>
              </c:numCache>
            </c:numRef>
          </c:val>
          <c:smooth val="0"/>
          <c:extLst>
            <c:ext xmlns:c16="http://schemas.microsoft.com/office/drawing/2014/chart" uri="{C3380CC4-5D6E-409C-BE32-E72D297353CC}">
              <c16:uniqueId val="{00000008-DCD7-744E-8B0D-28413AD0582E}"/>
            </c:ext>
          </c:extLst>
        </c:ser>
        <c:dLbls>
          <c:showLegendKey val="0"/>
          <c:showVal val="0"/>
          <c:showCatName val="0"/>
          <c:showSerName val="0"/>
          <c:showPercent val="0"/>
          <c:showBubbleSize val="0"/>
        </c:dLbls>
        <c:marker val="1"/>
        <c:smooth val="0"/>
        <c:axId val="1757832912"/>
        <c:axId val="1757835232"/>
      </c:lineChart>
      <c:lineChart>
        <c:grouping val="standard"/>
        <c:varyColors val="0"/>
        <c:ser>
          <c:idx val="9"/>
          <c:order val="9"/>
          <c:tx>
            <c:strRef>
              <c:f>OCO!#REF!</c:f>
              <c:strCache>
                <c:ptCount val="1"/>
                <c:pt idx="0">
                  <c:v>#REF!</c:v>
                </c:pt>
              </c:strCache>
            </c:strRef>
          </c:tx>
          <c:spPr>
            <a:ln w="12700" cap="rnd">
              <a:solidFill>
                <a:srgbClr val="C00000"/>
              </a:solidFill>
              <a:round/>
            </a:ln>
            <a:effectLst/>
          </c:spPr>
          <c:marker>
            <c:symbol val="none"/>
          </c:marker>
          <c:dLbls>
            <c:numFmt formatCode="#,##0.0;[Red]\-#,##0.0;\ \-"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OCO_BA!$E$1:$V$1</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OCO!#REF!</c:f>
              <c:numCache>
                <c:formatCode>General</c:formatCode>
                <c:ptCount val="1"/>
                <c:pt idx="0">
                  <c:v>1</c:v>
                </c:pt>
              </c:numCache>
            </c:numRef>
          </c:val>
          <c:smooth val="0"/>
          <c:extLst>
            <c:ext xmlns:c16="http://schemas.microsoft.com/office/drawing/2014/chart" uri="{C3380CC4-5D6E-409C-BE32-E72D297353CC}">
              <c16:uniqueId val="{00000009-DCD7-744E-8B0D-28413AD0582E}"/>
            </c:ext>
          </c:extLst>
        </c:ser>
        <c:dLbls>
          <c:showLegendKey val="0"/>
          <c:showVal val="0"/>
          <c:showCatName val="0"/>
          <c:showSerName val="0"/>
          <c:showPercent val="0"/>
          <c:showBubbleSize val="0"/>
        </c:dLbls>
        <c:marker val="1"/>
        <c:smooth val="0"/>
        <c:axId val="1757840944"/>
        <c:axId val="1757838624"/>
      </c:lineChart>
      <c:catAx>
        <c:axId val="17578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5232"/>
        <c:crosses val="autoZero"/>
        <c:auto val="1"/>
        <c:lblAlgn val="ctr"/>
        <c:lblOffset val="100"/>
        <c:noMultiLvlLbl val="0"/>
      </c:catAx>
      <c:valAx>
        <c:axId val="175783523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32912"/>
        <c:crosses val="autoZero"/>
        <c:crossBetween val="between"/>
      </c:valAx>
      <c:valAx>
        <c:axId val="1757838624"/>
        <c:scaling>
          <c:orientation val="minMax"/>
          <c:max val="230"/>
          <c:min val="-25"/>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840944"/>
        <c:crosses val="max"/>
        <c:crossBetween val="between"/>
      </c:valAx>
      <c:catAx>
        <c:axId val="1757840944"/>
        <c:scaling>
          <c:orientation val="minMax"/>
        </c:scaling>
        <c:delete val="1"/>
        <c:axPos val="b"/>
        <c:numFmt formatCode="General" sourceLinked="1"/>
        <c:majorTickMark val="out"/>
        <c:minorTickMark val="none"/>
        <c:tickLblPos val="nextTo"/>
        <c:crossAx val="1757838624"/>
        <c:crosses val="autoZero"/>
        <c:auto val="1"/>
        <c:lblAlgn val="ctr"/>
        <c:lblOffset val="100"/>
        <c:noMultiLvlLbl val="0"/>
      </c:catAx>
      <c:spPr>
        <a:noFill/>
        <a:ln>
          <a:solidFill>
            <a:schemeClr val="tx1"/>
          </a:solidFill>
        </a:ln>
        <a:effectLst/>
      </c:spPr>
    </c:plotArea>
    <c:legend>
      <c:legendPos val="b"/>
      <c:legendEntry>
        <c:idx val="8"/>
        <c:delete val="1"/>
      </c:legendEntry>
      <c:layout>
        <c:manualLayout>
          <c:xMode val="edge"/>
          <c:yMode val="edge"/>
          <c:x val="0.67833400914705999"/>
          <c:y val="4.1646291887932597E-2"/>
          <c:w val="0.30144325522184001"/>
          <c:h val="0.315826844900201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OCO_DoD_BA!$G$36:$Y$36</c:f>
              <c:numCache>
                <c:formatCode>0.000</c:formatCode>
                <c:ptCount val="19"/>
                <c:pt idx="0">
                  <c:v>0.72501462008476902</c:v>
                </c:pt>
                <c:pt idx="1">
                  <c:v>0.2854093615865575</c:v>
                </c:pt>
                <c:pt idx="2">
                  <c:v>20.417857779206784</c:v>
                </c:pt>
                <c:pt idx="3">
                  <c:v>25.290984878396255</c:v>
                </c:pt>
                <c:pt idx="4">
                  <c:v>22.43965193735356</c:v>
                </c:pt>
                <c:pt idx="5">
                  <c:v>21.223234544117766</c:v>
                </c:pt>
                <c:pt idx="6">
                  <c:v>22.913088186168618</c:v>
                </c:pt>
                <c:pt idx="7">
                  <c:v>22.738537587054541</c:v>
                </c:pt>
                <c:pt idx="8">
                  <c:v>23.394631092960584</c:v>
                </c:pt>
                <c:pt idx="9">
                  <c:v>19.639244441302328</c:v>
                </c:pt>
                <c:pt idx="10">
                  <c:v>17.845985587583147</c:v>
                </c:pt>
                <c:pt idx="11">
                  <c:v>12.653764763546421</c:v>
                </c:pt>
                <c:pt idx="12">
                  <c:v>13.358109679009797</c:v>
                </c:pt>
                <c:pt idx="13">
                  <c:v>8.4521232593371476</c:v>
                </c:pt>
                <c:pt idx="14">
                  <c:v>5.1060253246753255</c:v>
                </c:pt>
                <c:pt idx="15">
                  <c:v>3.3614462119898287</c:v>
                </c:pt>
                <c:pt idx="16">
                  <c:v>3.8992336293885148</c:v>
                </c:pt>
                <c:pt idx="17">
                  <c:v>3.9144895677765383</c:v>
                </c:pt>
                <c:pt idx="18">
                  <c:v>4.6609999999999996</c:v>
                </c:pt>
              </c:numCache>
            </c:numRef>
          </c:val>
          <c:extLst>
            <c:ext xmlns:c16="http://schemas.microsoft.com/office/drawing/2014/chart" uri="{C3380CC4-5D6E-409C-BE32-E72D297353CC}">
              <c16:uniqueId val="{00000000-0DAF-3845-B1A7-0C7308C6061C}"/>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OCO_DoD_BA!$G$37:$Y$37</c:f>
              <c:numCache>
                <c:formatCode>0.000</c:formatCode>
                <c:ptCount val="19"/>
                <c:pt idx="0">
                  <c:v>37.296722970690844</c:v>
                </c:pt>
                <c:pt idx="1">
                  <c:v>21.307332873008097</c:v>
                </c:pt>
                <c:pt idx="2">
                  <c:v>71.759546099968716</c:v>
                </c:pt>
                <c:pt idx="3">
                  <c:v>82.441128477663582</c:v>
                </c:pt>
                <c:pt idx="4">
                  <c:v>51.935183425823169</c:v>
                </c:pt>
                <c:pt idx="5">
                  <c:v>93.789829713366601</c:v>
                </c:pt>
                <c:pt idx="6">
                  <c:v>113.528567299046</c:v>
                </c:pt>
                <c:pt idx="7">
                  <c:v>110.91126268230505</c:v>
                </c:pt>
                <c:pt idx="8">
                  <c:v>107.54601170058631</c:v>
                </c:pt>
                <c:pt idx="9">
                  <c:v>126.86632912520932</c:v>
                </c:pt>
                <c:pt idx="10">
                  <c:v>125.76513334257204</c:v>
                </c:pt>
                <c:pt idx="11">
                  <c:v>97.232187294917594</c:v>
                </c:pt>
                <c:pt idx="12">
                  <c:v>67.860475351934127</c:v>
                </c:pt>
                <c:pt idx="13">
                  <c:v>74.447946639733814</c:v>
                </c:pt>
                <c:pt idx="14">
                  <c:v>52.913392909090909</c:v>
                </c:pt>
                <c:pt idx="15">
                  <c:v>49.844539207600121</c:v>
                </c:pt>
                <c:pt idx="16">
                  <c:v>62.494779931577384</c:v>
                </c:pt>
                <c:pt idx="17">
                  <c:v>63.192648208747897</c:v>
                </c:pt>
                <c:pt idx="18">
                  <c:v>49.313000000000002</c:v>
                </c:pt>
              </c:numCache>
            </c:numRef>
          </c:val>
          <c:extLst>
            <c:ext xmlns:c16="http://schemas.microsoft.com/office/drawing/2014/chart" uri="{C3380CC4-5D6E-409C-BE32-E72D297353CC}">
              <c16:uniqueId val="{00000001-0DAF-3845-B1A7-0C7308C6061C}"/>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OCO_DoD_BA!$G$38:$Y$38</c:f>
              <c:numCache>
                <c:formatCode>0.000</c:formatCode>
                <c:ptCount val="19"/>
                <c:pt idx="0">
                  <c:v>1.3768238804716584</c:v>
                </c:pt>
                <c:pt idx="1">
                  <c:v>1.6542659113317946</c:v>
                </c:pt>
                <c:pt idx="2">
                  <c:v>5.0762554729048626</c:v>
                </c:pt>
                <c:pt idx="3">
                  <c:v>9.1803197313523963</c:v>
                </c:pt>
                <c:pt idx="4">
                  <c:v>22.541258660747321</c:v>
                </c:pt>
                <c:pt idx="5">
                  <c:v>32.063440390388401</c:v>
                </c:pt>
                <c:pt idx="6">
                  <c:v>59.988293649678049</c:v>
                </c:pt>
                <c:pt idx="7">
                  <c:v>78.261298585102693</c:v>
                </c:pt>
                <c:pt idx="8">
                  <c:v>40.578880196986653</c:v>
                </c:pt>
                <c:pt idx="9">
                  <c:v>37.990860430883721</c:v>
                </c:pt>
                <c:pt idx="10">
                  <c:v>34.03174681263858</c:v>
                </c:pt>
                <c:pt idx="11">
                  <c:v>17.986206675325171</c:v>
                </c:pt>
                <c:pt idx="12">
                  <c:v>8.963806173285878</c:v>
                </c:pt>
                <c:pt idx="13">
                  <c:v>8.9207236910007826</c:v>
                </c:pt>
                <c:pt idx="14">
                  <c:v>8.8048193766233762</c:v>
                </c:pt>
                <c:pt idx="15">
                  <c:v>8.8401807141103568</c:v>
                </c:pt>
                <c:pt idx="16">
                  <c:v>16.909496370943639</c:v>
                </c:pt>
                <c:pt idx="17">
                  <c:v>18.783228009380466</c:v>
                </c:pt>
                <c:pt idx="18">
                  <c:v>12.782</c:v>
                </c:pt>
              </c:numCache>
            </c:numRef>
          </c:val>
          <c:extLst>
            <c:ext xmlns:c16="http://schemas.microsoft.com/office/drawing/2014/chart" uri="{C3380CC4-5D6E-409C-BE32-E72D297353CC}">
              <c16:uniqueId val="{00000002-0DAF-3845-B1A7-0C7308C6061C}"/>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OCO_DoD_BA!$G$39:$Y$39</c:f>
              <c:numCache>
                <c:formatCode>0.000</c:formatCode>
                <c:ptCount val="19"/>
                <c:pt idx="0">
                  <c:v>0.68559634947821835</c:v>
                </c:pt>
                <c:pt idx="1">
                  <c:v>-1.9396752729183522E-2</c:v>
                </c:pt>
                <c:pt idx="2">
                  <c:v>1.0998100368452155</c:v>
                </c:pt>
                <c:pt idx="3">
                  <c:v>0.44309635697567928</c:v>
                </c:pt>
                <c:pt idx="4">
                  <c:v>0.83086004192872132</c:v>
                </c:pt>
                <c:pt idx="5">
                  <c:v>1.0177485838201688</c:v>
                </c:pt>
                <c:pt idx="6">
                  <c:v>1.8263528532004838</c:v>
                </c:pt>
                <c:pt idx="7">
                  <c:v>1.9105219166048542</c:v>
                </c:pt>
                <c:pt idx="8">
                  <c:v>0.71875071430180104</c:v>
                </c:pt>
                <c:pt idx="9">
                  <c:v>1.1281301715348837</c:v>
                </c:pt>
                <c:pt idx="10">
                  <c:v>1.5929025498891352</c:v>
                </c:pt>
                <c:pt idx="11">
                  <c:v>0.5893810560192525</c:v>
                </c:pt>
                <c:pt idx="12">
                  <c:v>0.21156125203084064</c:v>
                </c:pt>
                <c:pt idx="13">
                  <c:v>0.33548760696472674</c:v>
                </c:pt>
                <c:pt idx="14">
                  <c:v>0.40741270129870133</c:v>
                </c:pt>
                <c:pt idx="15">
                  <c:v>0.25580817084954038</c:v>
                </c:pt>
                <c:pt idx="16">
                  <c:v>1.5941962653203576</c:v>
                </c:pt>
                <c:pt idx="17">
                  <c:v>2.8815700751592854</c:v>
                </c:pt>
                <c:pt idx="18">
                  <c:v>1.3080000000000001</c:v>
                </c:pt>
              </c:numCache>
            </c:numRef>
          </c:val>
          <c:extLst>
            <c:ext xmlns:c16="http://schemas.microsoft.com/office/drawing/2014/chart" uri="{C3380CC4-5D6E-409C-BE32-E72D297353CC}">
              <c16:uniqueId val="{00000003-0DAF-3845-B1A7-0C7308C6061C}"/>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OCO_DoD_BA!$G$40:$Y$40</c:f>
              <c:numCache>
                <c:formatCode>0.000</c:formatCode>
                <c:ptCount val="19"/>
                <c:pt idx="0">
                  <c:v>8.869110886473873E-2</c:v>
                </c:pt>
                <c:pt idx="1">
                  <c:v>0.1454756454688764</c:v>
                </c:pt>
                <c:pt idx="2">
                  <c:v>0.25286114567763912</c:v>
                </c:pt>
                <c:pt idx="3">
                  <c:v>0.66464453546351887</c:v>
                </c:pt>
                <c:pt idx="4">
                  <c:v>1.6411415069675672</c:v>
                </c:pt>
                <c:pt idx="5">
                  <c:v>1.8374285938001824</c:v>
                </c:pt>
                <c:pt idx="6">
                  <c:v>5.8295339743258481</c:v>
                </c:pt>
                <c:pt idx="7">
                  <c:v>5.0305657928513385</c:v>
                </c:pt>
                <c:pt idx="8">
                  <c:v>5.7734942998491086</c:v>
                </c:pt>
                <c:pt idx="9">
                  <c:v>2.3843246556279074</c:v>
                </c:pt>
                <c:pt idx="10">
                  <c:v>1.3955013026607539</c:v>
                </c:pt>
                <c:pt idx="11">
                  <c:v>0</c:v>
                </c:pt>
                <c:pt idx="12">
                  <c:v>1.6528222814909423E-2</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0DAF-3845-B1A7-0C7308C6061C}"/>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OCO_DoD_BA!$G$41:$Y$41</c:f>
              <c:numCache>
                <c:formatCode>0.000</c:formatCode>
                <c:ptCount val="19"/>
                <c:pt idx="0">
                  <c:v>8.4467722728322592E-2</c:v>
                </c:pt>
                <c:pt idx="1">
                  <c:v>0</c:v>
                </c:pt>
                <c:pt idx="2">
                  <c:v>2.7189370502971951E-3</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0DAF-3845-B1A7-0C7308C6061C}"/>
            </c:ext>
          </c:extLst>
        </c:ser>
        <c:ser>
          <c:idx val="6"/>
          <c:order val="6"/>
          <c:tx>
            <c:strRef>
              <c:f>OCO_DoD_BA!$A$9</c:f>
              <c:strCache>
                <c:ptCount val="1"/>
                <c:pt idx="0">
                  <c:v>Revolving Funds &amp; Other</c:v>
                </c:pt>
              </c:strCache>
            </c:strRef>
          </c:tx>
          <c:spPr>
            <a:solidFill>
              <a:schemeClr val="tx1">
                <a:lumMod val="50000"/>
                <a:lumOff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OCO_DoD_BA!$G$42:$Y$42</c:f>
              <c:numCache>
                <c:formatCode>0.000</c:formatCode>
                <c:ptCount val="19"/>
                <c:pt idx="0">
                  <c:v>0.25058757742735704</c:v>
                </c:pt>
                <c:pt idx="1">
                  <c:v>0</c:v>
                </c:pt>
                <c:pt idx="2">
                  <c:v>0</c:v>
                </c:pt>
                <c:pt idx="3">
                  <c:v>2.7885884501882567</c:v>
                </c:pt>
                <c:pt idx="4">
                  <c:v>1.9896911530398325</c:v>
                </c:pt>
                <c:pt idx="5">
                  <c:v>3.8604686184317054</c:v>
                </c:pt>
                <c:pt idx="6">
                  <c:v>1.3594565394672924</c:v>
                </c:pt>
                <c:pt idx="7">
                  <c:v>3.2055896337064032</c:v>
                </c:pt>
                <c:pt idx="8">
                  <c:v>1.0123580322355432</c:v>
                </c:pt>
                <c:pt idx="9">
                  <c:v>1.8010499229767443</c:v>
                </c:pt>
                <c:pt idx="10">
                  <c:v>0.55340812084257207</c:v>
                </c:pt>
                <c:pt idx="11">
                  <c:v>0.48741589233531335</c:v>
                </c:pt>
                <c:pt idx="12">
                  <c:v>3.7463971713794703E-2</c:v>
                </c:pt>
                <c:pt idx="13">
                  <c:v>0</c:v>
                </c:pt>
                <c:pt idx="14">
                  <c:v>0</c:v>
                </c:pt>
                <c:pt idx="15">
                  <c:v>3.1711756716885178E-3</c:v>
                </c:pt>
                <c:pt idx="16">
                  <c:v>0.39283323878167875</c:v>
                </c:pt>
                <c:pt idx="17">
                  <c:v>0.43437680538494533</c:v>
                </c:pt>
                <c:pt idx="18">
                  <c:v>1.4999999999999999E-2</c:v>
                </c:pt>
              </c:numCache>
            </c:numRef>
          </c:val>
          <c:extLst>
            <c:ext xmlns:c16="http://schemas.microsoft.com/office/drawing/2014/chart" uri="{C3380CC4-5D6E-409C-BE32-E72D297353CC}">
              <c16:uniqueId val="{00000006-0DAF-3845-B1A7-0C7308C6061C}"/>
            </c:ext>
          </c:extLst>
        </c:ser>
        <c:dLbls>
          <c:showLegendKey val="0"/>
          <c:showVal val="0"/>
          <c:showCatName val="0"/>
          <c:showSerName val="0"/>
          <c:showPercent val="0"/>
          <c:showBubbleSize val="0"/>
        </c:dLbls>
        <c:gapWidth val="150"/>
        <c:overlap val="100"/>
        <c:axId val="1707877200"/>
        <c:axId val="1575632400"/>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OCO_DoD_BA!$G$44:$Y$44</c:f>
              <c:numCache>
                <c:formatCode>#,##0.0</c:formatCode>
                <c:ptCount val="19"/>
                <c:pt idx="0">
                  <c:v>40.507904229745911</c:v>
                </c:pt>
                <c:pt idx="1">
                  <c:v>23.373087038666142</c:v>
                </c:pt>
                <c:pt idx="2">
                  <c:v>98.60904947165352</c:v>
                </c:pt>
                <c:pt idx="3">
                  <c:v>120.84060168922358</c:v>
                </c:pt>
                <c:pt idx="4">
                  <c:v>101.40479610802812</c:v>
                </c:pt>
                <c:pt idx="5">
                  <c:v>154.3651790223303</c:v>
                </c:pt>
                <c:pt idx="6">
                  <c:v>205.44529250188629</c:v>
                </c:pt>
                <c:pt idx="7">
                  <c:v>222.07203382386822</c:v>
                </c:pt>
                <c:pt idx="8">
                  <c:v>179.83448223441712</c:v>
                </c:pt>
                <c:pt idx="9">
                  <c:v>189.81925251572096</c:v>
                </c:pt>
                <c:pt idx="10">
                  <c:v>181.18467771618623</c:v>
                </c:pt>
                <c:pt idx="11">
                  <c:v>128.94895568214375</c:v>
                </c:pt>
                <c:pt idx="12">
                  <c:v>90.447944650789353</c:v>
                </c:pt>
                <c:pt idx="13">
                  <c:v>92.156281197036478</c:v>
                </c:pt>
                <c:pt idx="14">
                  <c:v>67.467971064935057</c:v>
                </c:pt>
                <c:pt idx="15">
                  <c:v>62.30514548022154</c:v>
                </c:pt>
                <c:pt idx="16">
                  <c:v>85.727020812435669</c:v>
                </c:pt>
                <c:pt idx="17">
                  <c:v>89.850740227489709</c:v>
                </c:pt>
                <c:pt idx="18">
                  <c:v>69.000000000000014</c:v>
                </c:pt>
              </c:numCache>
            </c:numRef>
          </c:val>
          <c:smooth val="0"/>
          <c:extLst>
            <c:ext xmlns:c16="http://schemas.microsoft.com/office/drawing/2014/chart" uri="{C3380CC4-5D6E-409C-BE32-E72D297353CC}">
              <c16:uniqueId val="{00000007-0DAF-3845-B1A7-0C7308C6061C}"/>
            </c:ext>
          </c:extLst>
        </c:ser>
        <c:dLbls>
          <c:showLegendKey val="0"/>
          <c:showVal val="0"/>
          <c:showCatName val="0"/>
          <c:showSerName val="0"/>
          <c:showPercent val="0"/>
          <c:showBubbleSize val="0"/>
        </c:dLbls>
        <c:marker val="1"/>
        <c:smooth val="0"/>
        <c:axId val="1707877200"/>
        <c:axId val="1575632400"/>
      </c:lineChart>
      <c:catAx>
        <c:axId val="170787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5632400"/>
        <c:crosses val="autoZero"/>
        <c:auto val="1"/>
        <c:lblAlgn val="ctr"/>
        <c:lblOffset val="100"/>
        <c:noMultiLvlLbl val="0"/>
      </c:catAx>
      <c:valAx>
        <c:axId val="15756324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0787720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94578568207701E-2"/>
          <c:y val="3.9345794392523302E-2"/>
          <c:w val="0.89712417103083597"/>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OCO_DoD_BA!$G$36:$Y$36</c:f>
              <c:numCache>
                <c:formatCode>0.000</c:formatCode>
                <c:ptCount val="19"/>
                <c:pt idx="0">
                  <c:v>0.72501462008476902</c:v>
                </c:pt>
                <c:pt idx="1">
                  <c:v>0.2854093615865575</c:v>
                </c:pt>
                <c:pt idx="2">
                  <c:v>20.417857779206784</c:v>
                </c:pt>
                <c:pt idx="3">
                  <c:v>25.290984878396255</c:v>
                </c:pt>
                <c:pt idx="4">
                  <c:v>22.43965193735356</c:v>
                </c:pt>
                <c:pt idx="5">
                  <c:v>21.223234544117766</c:v>
                </c:pt>
                <c:pt idx="6">
                  <c:v>22.913088186168618</c:v>
                </c:pt>
                <c:pt idx="7">
                  <c:v>22.738537587054541</c:v>
                </c:pt>
                <c:pt idx="8">
                  <c:v>23.394631092960584</c:v>
                </c:pt>
                <c:pt idx="9">
                  <c:v>19.639244441302328</c:v>
                </c:pt>
                <c:pt idx="10">
                  <c:v>17.845985587583147</c:v>
                </c:pt>
                <c:pt idx="11">
                  <c:v>12.653764763546421</c:v>
                </c:pt>
                <c:pt idx="12">
                  <c:v>13.358109679009797</c:v>
                </c:pt>
                <c:pt idx="13">
                  <c:v>8.4521232593371476</c:v>
                </c:pt>
                <c:pt idx="14">
                  <c:v>5.1060253246753255</c:v>
                </c:pt>
                <c:pt idx="15">
                  <c:v>3.3614462119898287</c:v>
                </c:pt>
                <c:pt idx="16">
                  <c:v>3.8992336293885148</c:v>
                </c:pt>
                <c:pt idx="17">
                  <c:v>3.9144895677765383</c:v>
                </c:pt>
                <c:pt idx="18">
                  <c:v>4.6609999999999996</c:v>
                </c:pt>
              </c:numCache>
            </c:numRef>
          </c:val>
          <c:extLst>
            <c:ext xmlns:c16="http://schemas.microsoft.com/office/drawing/2014/chart" uri="{C3380CC4-5D6E-409C-BE32-E72D297353CC}">
              <c16:uniqueId val="{00000000-F2BA-E14D-BB63-418DF0EEB210}"/>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OCO_DoD_BA!$G$37:$Y$37</c:f>
              <c:numCache>
                <c:formatCode>0.000</c:formatCode>
                <c:ptCount val="19"/>
                <c:pt idx="0">
                  <c:v>37.296722970690844</c:v>
                </c:pt>
                <c:pt idx="1">
                  <c:v>21.307332873008097</c:v>
                </c:pt>
                <c:pt idx="2">
                  <c:v>71.759546099968716</c:v>
                </c:pt>
                <c:pt idx="3">
                  <c:v>82.441128477663582</c:v>
                </c:pt>
                <c:pt idx="4">
                  <c:v>51.935183425823169</c:v>
                </c:pt>
                <c:pt idx="5">
                  <c:v>93.789829713366601</c:v>
                </c:pt>
                <c:pt idx="6">
                  <c:v>113.528567299046</c:v>
                </c:pt>
                <c:pt idx="7">
                  <c:v>110.91126268230505</c:v>
                </c:pt>
                <c:pt idx="8">
                  <c:v>107.54601170058631</c:v>
                </c:pt>
                <c:pt idx="9">
                  <c:v>126.86632912520932</c:v>
                </c:pt>
                <c:pt idx="10">
                  <c:v>125.76513334257204</c:v>
                </c:pt>
                <c:pt idx="11">
                  <c:v>97.232187294917594</c:v>
                </c:pt>
                <c:pt idx="12">
                  <c:v>67.860475351934127</c:v>
                </c:pt>
                <c:pt idx="13">
                  <c:v>74.447946639733814</c:v>
                </c:pt>
                <c:pt idx="14">
                  <c:v>52.913392909090909</c:v>
                </c:pt>
                <c:pt idx="15">
                  <c:v>49.844539207600121</c:v>
                </c:pt>
                <c:pt idx="16">
                  <c:v>62.494779931577384</c:v>
                </c:pt>
                <c:pt idx="17">
                  <c:v>63.192648208747897</c:v>
                </c:pt>
                <c:pt idx="18">
                  <c:v>49.313000000000002</c:v>
                </c:pt>
              </c:numCache>
            </c:numRef>
          </c:val>
          <c:extLst>
            <c:ext xmlns:c16="http://schemas.microsoft.com/office/drawing/2014/chart" uri="{C3380CC4-5D6E-409C-BE32-E72D297353CC}">
              <c16:uniqueId val="{00000001-F2BA-E14D-BB63-418DF0EEB210}"/>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OCO_DoD_BA!$G$38:$Y$38</c:f>
              <c:numCache>
                <c:formatCode>0.000</c:formatCode>
                <c:ptCount val="19"/>
                <c:pt idx="0">
                  <c:v>1.3768238804716584</c:v>
                </c:pt>
                <c:pt idx="1">
                  <c:v>1.6542659113317946</c:v>
                </c:pt>
                <c:pt idx="2">
                  <c:v>5.0762554729048626</c:v>
                </c:pt>
                <c:pt idx="3">
                  <c:v>9.1803197313523963</c:v>
                </c:pt>
                <c:pt idx="4">
                  <c:v>22.541258660747321</c:v>
                </c:pt>
                <c:pt idx="5">
                  <c:v>32.063440390388401</c:v>
                </c:pt>
                <c:pt idx="6">
                  <c:v>59.988293649678049</c:v>
                </c:pt>
                <c:pt idx="7">
                  <c:v>78.261298585102693</c:v>
                </c:pt>
                <c:pt idx="8">
                  <c:v>40.578880196986653</c:v>
                </c:pt>
                <c:pt idx="9">
                  <c:v>37.990860430883721</c:v>
                </c:pt>
                <c:pt idx="10">
                  <c:v>34.03174681263858</c:v>
                </c:pt>
                <c:pt idx="11">
                  <c:v>17.986206675325171</c:v>
                </c:pt>
                <c:pt idx="12">
                  <c:v>8.963806173285878</c:v>
                </c:pt>
                <c:pt idx="13">
                  <c:v>8.9207236910007826</c:v>
                </c:pt>
                <c:pt idx="14">
                  <c:v>8.8048193766233762</c:v>
                </c:pt>
                <c:pt idx="15">
                  <c:v>8.8401807141103568</c:v>
                </c:pt>
                <c:pt idx="16">
                  <c:v>16.909496370943639</c:v>
                </c:pt>
                <c:pt idx="17">
                  <c:v>18.783228009380466</c:v>
                </c:pt>
                <c:pt idx="18">
                  <c:v>12.782</c:v>
                </c:pt>
              </c:numCache>
            </c:numRef>
          </c:val>
          <c:extLst>
            <c:ext xmlns:c16="http://schemas.microsoft.com/office/drawing/2014/chart" uri="{C3380CC4-5D6E-409C-BE32-E72D297353CC}">
              <c16:uniqueId val="{00000002-F2BA-E14D-BB63-418DF0EEB210}"/>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OCO_DoD_BA!$G$39:$Y$39</c:f>
              <c:numCache>
                <c:formatCode>0.000</c:formatCode>
                <c:ptCount val="19"/>
                <c:pt idx="0">
                  <c:v>0.68559634947821835</c:v>
                </c:pt>
                <c:pt idx="1">
                  <c:v>-1.9396752729183522E-2</c:v>
                </c:pt>
                <c:pt idx="2">
                  <c:v>1.0998100368452155</c:v>
                </c:pt>
                <c:pt idx="3">
                  <c:v>0.44309635697567928</c:v>
                </c:pt>
                <c:pt idx="4">
                  <c:v>0.83086004192872132</c:v>
                </c:pt>
                <c:pt idx="5">
                  <c:v>1.0177485838201688</c:v>
                </c:pt>
                <c:pt idx="6">
                  <c:v>1.8263528532004838</c:v>
                </c:pt>
                <c:pt idx="7">
                  <c:v>1.9105219166048542</c:v>
                </c:pt>
                <c:pt idx="8">
                  <c:v>0.71875071430180104</c:v>
                </c:pt>
                <c:pt idx="9">
                  <c:v>1.1281301715348837</c:v>
                </c:pt>
                <c:pt idx="10">
                  <c:v>1.5929025498891352</c:v>
                </c:pt>
                <c:pt idx="11">
                  <c:v>0.5893810560192525</c:v>
                </c:pt>
                <c:pt idx="12">
                  <c:v>0.21156125203084064</c:v>
                </c:pt>
                <c:pt idx="13">
                  <c:v>0.33548760696472674</c:v>
                </c:pt>
                <c:pt idx="14">
                  <c:v>0.40741270129870133</c:v>
                </c:pt>
                <c:pt idx="15">
                  <c:v>0.25580817084954038</c:v>
                </c:pt>
                <c:pt idx="16">
                  <c:v>1.5941962653203576</c:v>
                </c:pt>
                <c:pt idx="17">
                  <c:v>2.8815700751592854</c:v>
                </c:pt>
                <c:pt idx="18">
                  <c:v>1.3080000000000001</c:v>
                </c:pt>
              </c:numCache>
            </c:numRef>
          </c:val>
          <c:extLst>
            <c:ext xmlns:c16="http://schemas.microsoft.com/office/drawing/2014/chart" uri="{C3380CC4-5D6E-409C-BE32-E72D297353CC}">
              <c16:uniqueId val="{00000003-F2BA-E14D-BB63-418DF0EEB210}"/>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OCO_DoD_BA!$G$40:$Y$40</c:f>
              <c:numCache>
                <c:formatCode>0.000</c:formatCode>
                <c:ptCount val="19"/>
                <c:pt idx="0">
                  <c:v>8.869110886473873E-2</c:v>
                </c:pt>
                <c:pt idx="1">
                  <c:v>0.1454756454688764</c:v>
                </c:pt>
                <c:pt idx="2">
                  <c:v>0.25286114567763912</c:v>
                </c:pt>
                <c:pt idx="3">
                  <c:v>0.66464453546351887</c:v>
                </c:pt>
                <c:pt idx="4">
                  <c:v>1.6411415069675672</c:v>
                </c:pt>
                <c:pt idx="5">
                  <c:v>1.8374285938001824</c:v>
                </c:pt>
                <c:pt idx="6">
                  <c:v>5.8295339743258481</c:v>
                </c:pt>
                <c:pt idx="7">
                  <c:v>5.0305657928513385</c:v>
                </c:pt>
                <c:pt idx="8">
                  <c:v>5.7734942998491086</c:v>
                </c:pt>
                <c:pt idx="9">
                  <c:v>2.3843246556279074</c:v>
                </c:pt>
                <c:pt idx="10">
                  <c:v>1.3955013026607539</c:v>
                </c:pt>
                <c:pt idx="11">
                  <c:v>0</c:v>
                </c:pt>
                <c:pt idx="12">
                  <c:v>1.6528222814909423E-2</c:v>
                </c:pt>
                <c:pt idx="13">
                  <c:v>0</c:v>
                </c:pt>
                <c:pt idx="14">
                  <c:v>0.23632075324675325</c:v>
                </c:pt>
                <c:pt idx="15">
                  <c:v>0</c:v>
                </c:pt>
                <c:pt idx="16">
                  <c:v>0.43648137642408746</c:v>
                </c:pt>
                <c:pt idx="17">
                  <c:v>0.64442756104057619</c:v>
                </c:pt>
                <c:pt idx="18">
                  <c:v>0.92100000000000004</c:v>
                </c:pt>
              </c:numCache>
            </c:numRef>
          </c:val>
          <c:extLst>
            <c:ext xmlns:c16="http://schemas.microsoft.com/office/drawing/2014/chart" uri="{C3380CC4-5D6E-409C-BE32-E72D297353CC}">
              <c16:uniqueId val="{00000004-F2BA-E14D-BB63-418DF0EEB210}"/>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OCO_DoD_BA!$G$41:$Y$41</c:f>
              <c:numCache>
                <c:formatCode>0.000</c:formatCode>
                <c:ptCount val="19"/>
                <c:pt idx="0">
                  <c:v>8.4467722728322592E-2</c:v>
                </c:pt>
                <c:pt idx="1">
                  <c:v>0</c:v>
                </c:pt>
                <c:pt idx="2">
                  <c:v>2.7189370502971951E-3</c:v>
                </c:pt>
                <c:pt idx="3">
                  <c:v>3.1839259183881148E-2</c:v>
                </c:pt>
                <c:pt idx="4">
                  <c:v>2.7009382167961529E-2</c:v>
                </c:pt>
                <c:pt idx="5">
                  <c:v>0.5730285784054806</c:v>
                </c:pt>
                <c:pt idx="6">
                  <c:v>0</c:v>
                </c:pt>
                <c:pt idx="7">
                  <c:v>1.4257626243319808E-2</c:v>
                </c:pt>
                <c:pt idx="8">
                  <c:v>0.81035619749712862</c:v>
                </c:pt>
                <c:pt idx="9">
                  <c:v>9.3137681860465133E-3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F2BA-E14D-BB63-418DF0EEB210}"/>
            </c:ext>
          </c:extLst>
        </c:ser>
        <c:ser>
          <c:idx val="6"/>
          <c:order val="6"/>
          <c:tx>
            <c:strRef>
              <c:f>OCO_DoD_BA!$A$9</c:f>
              <c:strCache>
                <c:ptCount val="1"/>
                <c:pt idx="0">
                  <c:v>Revolving Funds &amp; Other</c:v>
                </c:pt>
              </c:strCache>
            </c:strRef>
          </c:tx>
          <c:spPr>
            <a:solidFill>
              <a:schemeClr val="tx1">
                <a:lumMod val="50000"/>
                <a:lumOff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OCO_DoD_BA!$G$42:$Y$42</c:f>
              <c:numCache>
                <c:formatCode>0.000</c:formatCode>
                <c:ptCount val="19"/>
                <c:pt idx="0">
                  <c:v>0.25058757742735704</c:v>
                </c:pt>
                <c:pt idx="1">
                  <c:v>0</c:v>
                </c:pt>
                <c:pt idx="2">
                  <c:v>0</c:v>
                </c:pt>
                <c:pt idx="3">
                  <c:v>2.7885884501882567</c:v>
                </c:pt>
                <c:pt idx="4">
                  <c:v>1.9896911530398325</c:v>
                </c:pt>
                <c:pt idx="5">
                  <c:v>3.8604686184317054</c:v>
                </c:pt>
                <c:pt idx="6">
                  <c:v>1.3594565394672924</c:v>
                </c:pt>
                <c:pt idx="7">
                  <c:v>3.2055896337064032</c:v>
                </c:pt>
                <c:pt idx="8">
                  <c:v>1.0123580322355432</c:v>
                </c:pt>
                <c:pt idx="9">
                  <c:v>1.8010499229767443</c:v>
                </c:pt>
                <c:pt idx="10">
                  <c:v>0.55340812084257207</c:v>
                </c:pt>
                <c:pt idx="11">
                  <c:v>0.48741589233531335</c:v>
                </c:pt>
                <c:pt idx="12">
                  <c:v>3.7463971713794703E-2</c:v>
                </c:pt>
                <c:pt idx="13">
                  <c:v>0</c:v>
                </c:pt>
                <c:pt idx="14">
                  <c:v>0</c:v>
                </c:pt>
                <c:pt idx="15">
                  <c:v>3.1711756716885178E-3</c:v>
                </c:pt>
                <c:pt idx="16">
                  <c:v>0.39283323878167875</c:v>
                </c:pt>
                <c:pt idx="17">
                  <c:v>0.43437680538494533</c:v>
                </c:pt>
                <c:pt idx="18">
                  <c:v>1.4999999999999999E-2</c:v>
                </c:pt>
              </c:numCache>
            </c:numRef>
          </c:val>
          <c:extLst>
            <c:ext xmlns:c16="http://schemas.microsoft.com/office/drawing/2014/chart" uri="{C3380CC4-5D6E-409C-BE32-E72D297353CC}">
              <c16:uniqueId val="{00000006-F2BA-E14D-BB63-418DF0EEB210}"/>
            </c:ext>
          </c:extLst>
        </c:ser>
        <c:dLbls>
          <c:showLegendKey val="0"/>
          <c:showVal val="0"/>
          <c:showCatName val="0"/>
          <c:showSerName val="0"/>
          <c:showPercent val="0"/>
          <c:showBubbleSize val="0"/>
        </c:dLbls>
        <c:gapWidth val="150"/>
        <c:overlap val="100"/>
        <c:axId val="1574753264"/>
        <c:axId val="1574753792"/>
      </c:barChart>
      <c:lineChart>
        <c:grouping val="standard"/>
        <c:varyColors val="0"/>
        <c:ser>
          <c:idx val="8"/>
          <c:order val="7"/>
          <c:spPr>
            <a:ln w="1270" cap="rnd">
              <a:solidFill>
                <a:schemeClr val="bg1">
                  <a:lumMod val="8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OCO_DoD_BA!$G$2:$X$2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cat>
          <c:val>
            <c:numRef>
              <c:f>OCO_DoD_BA!$G$44:$Y$44</c:f>
              <c:numCache>
                <c:formatCode>#,##0.0</c:formatCode>
                <c:ptCount val="19"/>
                <c:pt idx="0">
                  <c:v>40.507904229745911</c:v>
                </c:pt>
                <c:pt idx="1">
                  <c:v>23.373087038666142</c:v>
                </c:pt>
                <c:pt idx="2">
                  <c:v>98.60904947165352</c:v>
                </c:pt>
                <c:pt idx="3">
                  <c:v>120.84060168922358</c:v>
                </c:pt>
                <c:pt idx="4">
                  <c:v>101.40479610802812</c:v>
                </c:pt>
                <c:pt idx="5">
                  <c:v>154.3651790223303</c:v>
                </c:pt>
                <c:pt idx="6">
                  <c:v>205.44529250188629</c:v>
                </c:pt>
                <c:pt idx="7">
                  <c:v>222.07203382386822</c:v>
                </c:pt>
                <c:pt idx="8">
                  <c:v>179.83448223441712</c:v>
                </c:pt>
                <c:pt idx="9">
                  <c:v>189.81925251572096</c:v>
                </c:pt>
                <c:pt idx="10">
                  <c:v>181.18467771618623</c:v>
                </c:pt>
                <c:pt idx="11">
                  <c:v>128.94895568214375</c:v>
                </c:pt>
                <c:pt idx="12">
                  <c:v>90.447944650789353</c:v>
                </c:pt>
                <c:pt idx="13">
                  <c:v>92.156281197036478</c:v>
                </c:pt>
                <c:pt idx="14">
                  <c:v>67.467971064935057</c:v>
                </c:pt>
                <c:pt idx="15">
                  <c:v>62.30514548022154</c:v>
                </c:pt>
                <c:pt idx="16">
                  <c:v>85.727020812435669</c:v>
                </c:pt>
                <c:pt idx="17">
                  <c:v>89.850740227489709</c:v>
                </c:pt>
                <c:pt idx="18">
                  <c:v>69.000000000000014</c:v>
                </c:pt>
              </c:numCache>
            </c:numRef>
          </c:val>
          <c:smooth val="0"/>
          <c:extLst>
            <c:ext xmlns:c16="http://schemas.microsoft.com/office/drawing/2014/chart" uri="{C3380CC4-5D6E-409C-BE32-E72D297353CC}">
              <c16:uniqueId val="{00000007-F2BA-E14D-BB63-418DF0EEB210}"/>
            </c:ext>
          </c:extLst>
        </c:ser>
        <c:dLbls>
          <c:showLegendKey val="0"/>
          <c:showVal val="0"/>
          <c:showCatName val="0"/>
          <c:showSerName val="0"/>
          <c:showPercent val="0"/>
          <c:showBubbleSize val="0"/>
        </c:dLbls>
        <c:marker val="1"/>
        <c:smooth val="0"/>
        <c:axId val="1574753264"/>
        <c:axId val="1574753792"/>
      </c:lineChart>
      <c:lineChart>
        <c:grouping val="standard"/>
        <c:varyColors val="0"/>
        <c:ser>
          <c:idx val="7"/>
          <c:order val="8"/>
          <c:tx>
            <c:strRef>
              <c:f>OCO_Strength!$A$8</c:f>
              <c:strCache>
                <c:ptCount val="1"/>
                <c:pt idx="0">
                  <c:v>Total OCO Mil Forces</c:v>
                </c:pt>
              </c:strCache>
            </c:strRef>
          </c:tx>
          <c:spPr>
            <a:ln w="15875" cap="rnd">
              <a:solidFill>
                <a:schemeClr val="tx1"/>
              </a:solidFill>
              <a:round/>
            </a:ln>
            <a:effectLst/>
          </c:spPr>
          <c:marker>
            <c:symbol val="none"/>
          </c:marker>
          <c:dLbls>
            <c:numFmt formatCode="#,\ \K;\ ;0\ \K"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val>
          <c:smooth val="0"/>
          <c:extLst>
            <c:ext xmlns:c16="http://schemas.microsoft.com/office/drawing/2014/chart" uri="{C3380CC4-5D6E-409C-BE32-E72D297353CC}">
              <c16:uniqueId val="{00000008-F2BA-E14D-BB63-418DF0EEB210}"/>
            </c:ext>
          </c:extLst>
        </c:ser>
        <c:dLbls>
          <c:showLegendKey val="0"/>
          <c:showVal val="0"/>
          <c:showCatName val="0"/>
          <c:showSerName val="0"/>
          <c:showPercent val="0"/>
          <c:showBubbleSize val="0"/>
        </c:dLbls>
        <c:marker val="1"/>
        <c:smooth val="0"/>
        <c:axId val="1757464112"/>
        <c:axId val="1757440848"/>
      </c:lineChart>
      <c:catAx>
        <c:axId val="1574753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792"/>
        <c:crosses val="autoZero"/>
        <c:auto val="1"/>
        <c:lblAlgn val="ctr"/>
        <c:lblOffset val="100"/>
        <c:noMultiLvlLbl val="0"/>
      </c:catAx>
      <c:valAx>
        <c:axId val="1574753792"/>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[real FY18</a:t>
                </a:r>
                <a:r>
                  <a:rPr lang="en-US" baseline="0"/>
                  <a:t> </a:t>
                </a:r>
                <a:r>
                  <a:rPr lang="en-US"/>
                  <a:t>$B]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74753264"/>
        <c:crosses val="autoZero"/>
        <c:crossBetween val="between"/>
      </c:valAx>
      <c:valAx>
        <c:axId val="1757440848"/>
        <c:scaling>
          <c:orientation val="minMax"/>
          <c:max val="1400000"/>
          <c:min val="0"/>
        </c:scaling>
        <c:delete val="0"/>
        <c:axPos val="r"/>
        <c:numFmt formatCode="_(* #,##0_);_(* \(#,##0\);_(* &quot;-&quot;??_);_(@_)" sourceLinked="1"/>
        <c:majorTickMark val="out"/>
        <c:minorTickMark val="none"/>
        <c:tickLblPos val="none"/>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464112"/>
        <c:crosses val="max"/>
        <c:crossBetween val="between"/>
      </c:valAx>
      <c:catAx>
        <c:axId val="1757464112"/>
        <c:scaling>
          <c:orientation val="minMax"/>
        </c:scaling>
        <c:delete val="1"/>
        <c:axPos val="b"/>
        <c:numFmt formatCode="General" sourceLinked="1"/>
        <c:majorTickMark val="out"/>
        <c:minorTickMark val="none"/>
        <c:tickLblPos val="nextTo"/>
        <c:crossAx val="1757440848"/>
        <c:crosses val="autoZero"/>
        <c:auto val="1"/>
        <c:lblAlgn val="ctr"/>
        <c:lblOffset val="100"/>
        <c:noMultiLvlLbl val="0"/>
      </c:catAx>
      <c:spPr>
        <a:noFill/>
        <a:ln>
          <a:solidFill>
            <a:schemeClr val="tx1"/>
          </a:solidFill>
        </a:ln>
        <a:effectLst/>
      </c:spPr>
    </c:plotArea>
    <c:legend>
      <c:legendPos val="b"/>
      <c:legendEntry>
        <c:idx val="7"/>
        <c:delete val="1"/>
      </c:legendEntry>
      <c:layout>
        <c:manualLayout>
          <c:xMode val="edge"/>
          <c:yMode val="edge"/>
          <c:x val="0.77490288212888103"/>
          <c:y val="4.60965744889087E-2"/>
          <c:w val="0.203986182654981"/>
          <c:h val="0.219912917724333"/>
        </c:manualLayout>
      </c:layout>
      <c:overlay val="0"/>
      <c:spPr>
        <a:solidFill>
          <a:schemeClr val="bg1"/>
        </a:solid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4677823044741E-2"/>
          <c:y val="3.9345794392523302E-2"/>
          <c:w val="0.90445101119900595"/>
          <c:h val="0.89027566414011305"/>
        </c:manualLayout>
      </c:layout>
      <c:barChart>
        <c:barDir val="col"/>
        <c:grouping val="stacked"/>
        <c:varyColors val="0"/>
        <c:ser>
          <c:idx val="0"/>
          <c:order val="0"/>
          <c:tx>
            <c:strRef>
              <c:f>OCO_DoD_BA!$A$3</c:f>
              <c:strCache>
                <c:ptCount val="1"/>
                <c:pt idx="0">
                  <c:v>MILPERs</c:v>
                </c:pt>
              </c:strCache>
            </c:strRef>
          </c:tx>
          <c:spPr>
            <a:solidFill>
              <a:schemeClr val="accent6">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OCO_DoD_BA!$G$3:$Y$3</c:f>
              <c:numCache>
                <c:formatCode>#,##0.000</c:formatCode>
                <c:ptCount val="19"/>
                <c:pt idx="0">
                  <c:v>0.51500000000000001</c:v>
                </c:pt>
                <c:pt idx="1">
                  <c:v>0.20599999999999999</c:v>
                </c:pt>
                <c:pt idx="2">
                  <c:v>15.019</c:v>
                </c:pt>
                <c:pt idx="3">
                  <c:v>19.064</c:v>
                </c:pt>
                <c:pt idx="4">
                  <c:v>17.446999999999999</c:v>
                </c:pt>
                <c:pt idx="5">
                  <c:v>17.036999999999999</c:v>
                </c:pt>
                <c:pt idx="6">
                  <c:v>18.893999999999998</c:v>
                </c:pt>
                <c:pt idx="7">
                  <c:v>19.138000000000002</c:v>
                </c:pt>
                <c:pt idx="8">
                  <c:v>19.920000000000002</c:v>
                </c:pt>
                <c:pt idx="9">
                  <c:v>16.869</c:v>
                </c:pt>
                <c:pt idx="10">
                  <c:v>15.64</c:v>
                </c:pt>
                <c:pt idx="11">
                  <c:v>11.292999999999999</c:v>
                </c:pt>
                <c:pt idx="12">
                  <c:v>12.122999999999999</c:v>
                </c:pt>
                <c:pt idx="13">
                  <c:v>7.81</c:v>
                </c:pt>
                <c:pt idx="14">
                  <c:v>4.7750000000000004</c:v>
                </c:pt>
                <c:pt idx="15">
                  <c:v>3.18</c:v>
                </c:pt>
                <c:pt idx="16">
                  <c:v>3.7519999999999998</c:v>
                </c:pt>
                <c:pt idx="17">
                  <c:v>3.839</c:v>
                </c:pt>
                <c:pt idx="18">
                  <c:v>4.6609999999999996</c:v>
                </c:pt>
              </c:numCache>
            </c:numRef>
          </c:val>
          <c:extLst>
            <c:ext xmlns:c16="http://schemas.microsoft.com/office/drawing/2014/chart" uri="{C3380CC4-5D6E-409C-BE32-E72D297353CC}">
              <c16:uniqueId val="{00000000-8690-BF4B-A776-80195710EE38}"/>
            </c:ext>
          </c:extLst>
        </c:ser>
        <c:ser>
          <c:idx val="1"/>
          <c:order val="1"/>
          <c:tx>
            <c:strRef>
              <c:f>OCO_DoD_BA!$A$4</c:f>
              <c:strCache>
                <c:ptCount val="1"/>
                <c:pt idx="0">
                  <c:v>O&amp;M</c:v>
                </c:pt>
              </c:strCache>
            </c:strRef>
          </c:tx>
          <c:spPr>
            <a:solidFill>
              <a:schemeClr val="tx2">
                <a:lumMod val="60000"/>
                <a:lumOff val="4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OCO_DoD_BA!$G$4:$Y$4</c:f>
              <c:numCache>
                <c:formatCode>#,##0.000</c:formatCode>
                <c:ptCount val="19"/>
                <c:pt idx="0">
                  <c:v>26.492999999999999</c:v>
                </c:pt>
                <c:pt idx="1">
                  <c:v>15.379</c:v>
                </c:pt>
                <c:pt idx="2">
                  <c:v>52.784999999999997</c:v>
                </c:pt>
                <c:pt idx="3">
                  <c:v>62.143000000000001</c:v>
                </c:pt>
                <c:pt idx="4">
                  <c:v>40.380000000000003</c:v>
                </c:pt>
                <c:pt idx="5">
                  <c:v>75.290000000000006</c:v>
                </c:pt>
                <c:pt idx="6">
                  <c:v>93.614999999999995</c:v>
                </c:pt>
                <c:pt idx="7">
                  <c:v>93.349000000000004</c:v>
                </c:pt>
                <c:pt idx="8">
                  <c:v>91.572999999999993</c:v>
                </c:pt>
                <c:pt idx="9">
                  <c:v>108.971</c:v>
                </c:pt>
                <c:pt idx="10">
                  <c:v>110.21899999999999</c:v>
                </c:pt>
                <c:pt idx="11">
                  <c:v>86.775999999999996</c:v>
                </c:pt>
                <c:pt idx="12">
                  <c:v>61.585999999999999</c:v>
                </c:pt>
                <c:pt idx="13">
                  <c:v>68.792000000000002</c:v>
                </c:pt>
                <c:pt idx="14">
                  <c:v>49.482999999999997</c:v>
                </c:pt>
                <c:pt idx="15">
                  <c:v>47.154000000000003</c:v>
                </c:pt>
                <c:pt idx="16">
                  <c:v>60.134999999999998</c:v>
                </c:pt>
                <c:pt idx="17">
                  <c:v>61.973999999999997</c:v>
                </c:pt>
                <c:pt idx="18">
                  <c:v>49.313000000000002</c:v>
                </c:pt>
              </c:numCache>
            </c:numRef>
          </c:val>
          <c:extLst>
            <c:ext xmlns:c16="http://schemas.microsoft.com/office/drawing/2014/chart" uri="{C3380CC4-5D6E-409C-BE32-E72D297353CC}">
              <c16:uniqueId val="{00000001-8690-BF4B-A776-80195710EE38}"/>
            </c:ext>
          </c:extLst>
        </c:ser>
        <c:ser>
          <c:idx val="2"/>
          <c:order val="2"/>
          <c:tx>
            <c:strRef>
              <c:f>OCO_DoD_BA!$A$5</c:f>
              <c:strCache>
                <c:ptCount val="1"/>
                <c:pt idx="0">
                  <c:v>Procurement</c:v>
                </c:pt>
              </c:strCache>
            </c:strRef>
          </c:tx>
          <c:spPr>
            <a:solidFill>
              <a:schemeClr val="accent4"/>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OCO_DoD_BA!$G$5:$Y$5</c:f>
              <c:numCache>
                <c:formatCode>#,##0.000</c:formatCode>
                <c:ptCount val="19"/>
                <c:pt idx="0">
                  <c:v>0.97799999999999998</c:v>
                </c:pt>
                <c:pt idx="1">
                  <c:v>1.194</c:v>
                </c:pt>
                <c:pt idx="2">
                  <c:v>3.734</c:v>
                </c:pt>
                <c:pt idx="3">
                  <c:v>6.92</c:v>
                </c:pt>
                <c:pt idx="4">
                  <c:v>17.526</c:v>
                </c:pt>
                <c:pt idx="5">
                  <c:v>25.739000000000001</c:v>
                </c:pt>
                <c:pt idx="6">
                  <c:v>49.466000000000001</c:v>
                </c:pt>
                <c:pt idx="7">
                  <c:v>65.869</c:v>
                </c:pt>
                <c:pt idx="8">
                  <c:v>34.552</c:v>
                </c:pt>
                <c:pt idx="9">
                  <c:v>32.631999999999998</c:v>
                </c:pt>
                <c:pt idx="10">
                  <c:v>29.824999999999999</c:v>
                </c:pt>
                <c:pt idx="11">
                  <c:v>16.052</c:v>
                </c:pt>
                <c:pt idx="12">
                  <c:v>8.1349999999999998</c:v>
                </c:pt>
                <c:pt idx="13">
                  <c:v>8.2430000000000003</c:v>
                </c:pt>
                <c:pt idx="14">
                  <c:v>8.234</c:v>
                </c:pt>
                <c:pt idx="15">
                  <c:v>8.3629999999999995</c:v>
                </c:pt>
                <c:pt idx="16">
                  <c:v>16.271000000000001</c:v>
                </c:pt>
                <c:pt idx="17">
                  <c:v>18.420999999999999</c:v>
                </c:pt>
                <c:pt idx="18">
                  <c:v>12.782</c:v>
                </c:pt>
              </c:numCache>
            </c:numRef>
          </c:val>
          <c:extLst>
            <c:ext xmlns:c16="http://schemas.microsoft.com/office/drawing/2014/chart" uri="{C3380CC4-5D6E-409C-BE32-E72D297353CC}">
              <c16:uniqueId val="{00000002-8690-BF4B-A776-80195710EE38}"/>
            </c:ext>
          </c:extLst>
        </c:ser>
        <c:ser>
          <c:idx val="3"/>
          <c:order val="3"/>
          <c:tx>
            <c:strRef>
              <c:f>OCO_DoD_BA!$A$6</c:f>
              <c:strCache>
                <c:ptCount val="1"/>
                <c:pt idx="0">
                  <c:v>RDT&amp;E</c:v>
                </c:pt>
              </c:strCache>
            </c:strRef>
          </c:tx>
          <c:spPr>
            <a:solidFill>
              <a:srgbClr val="C00000"/>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OCO_DoD_BA!$G$6:$Y$6</c:f>
              <c:numCache>
                <c:formatCode>#,##0.000</c:formatCode>
                <c:ptCount val="19"/>
                <c:pt idx="0">
                  <c:v>0.48699999999999999</c:v>
                </c:pt>
                <c:pt idx="1">
                  <c:v>-1.4E-2</c:v>
                </c:pt>
                <c:pt idx="2">
                  <c:v>0.80900000000000005</c:v>
                </c:pt>
                <c:pt idx="3">
                  <c:v>0.33400000000000002</c:v>
                </c:pt>
                <c:pt idx="4">
                  <c:v>0.64600000000000002</c:v>
                </c:pt>
                <c:pt idx="5">
                  <c:v>0.81699999999999995</c:v>
                </c:pt>
                <c:pt idx="6">
                  <c:v>1.506</c:v>
                </c:pt>
                <c:pt idx="7">
                  <c:v>1.6080000000000001</c:v>
                </c:pt>
                <c:pt idx="8">
                  <c:v>0.61199999999999999</c:v>
                </c:pt>
                <c:pt idx="9">
                  <c:v>0.96899999999999997</c:v>
                </c:pt>
                <c:pt idx="10">
                  <c:v>1.3959999999999999</c:v>
                </c:pt>
                <c:pt idx="11">
                  <c:v>0.52600000000000002</c:v>
                </c:pt>
                <c:pt idx="12">
                  <c:v>0.192</c:v>
                </c:pt>
                <c:pt idx="13">
                  <c:v>0.31</c:v>
                </c:pt>
                <c:pt idx="14">
                  <c:v>0.38100000000000001</c:v>
                </c:pt>
                <c:pt idx="15">
                  <c:v>0.24199999999999999</c:v>
                </c:pt>
                <c:pt idx="16">
                  <c:v>1.534</c:v>
                </c:pt>
                <c:pt idx="17">
                  <c:v>2.8260000000000001</c:v>
                </c:pt>
                <c:pt idx="18">
                  <c:v>1.3080000000000001</c:v>
                </c:pt>
              </c:numCache>
            </c:numRef>
          </c:val>
          <c:extLst>
            <c:ext xmlns:c16="http://schemas.microsoft.com/office/drawing/2014/chart" uri="{C3380CC4-5D6E-409C-BE32-E72D297353CC}">
              <c16:uniqueId val="{00000003-8690-BF4B-A776-80195710EE38}"/>
            </c:ext>
          </c:extLst>
        </c:ser>
        <c:ser>
          <c:idx val="4"/>
          <c:order val="4"/>
          <c:tx>
            <c:strRef>
              <c:f>OCO_DoD_BA!$A$7</c:f>
              <c:strCache>
                <c:ptCount val="1"/>
                <c:pt idx="0">
                  <c:v>MILCON</c:v>
                </c:pt>
              </c:strCache>
            </c:strRef>
          </c:tx>
          <c:spPr>
            <a:solidFill>
              <a:schemeClr val="accent4">
                <a:lumMod val="5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OCO_DoD_BA!$G$7:$Y$7</c:f>
              <c:numCache>
                <c:formatCode>#,##0.000</c:formatCode>
                <c:ptCount val="19"/>
                <c:pt idx="0">
                  <c:v>6.3E-2</c:v>
                </c:pt>
                <c:pt idx="1">
                  <c:v>0.105</c:v>
                </c:pt>
                <c:pt idx="2">
                  <c:v>0.186</c:v>
                </c:pt>
                <c:pt idx="3">
                  <c:v>0.501</c:v>
                </c:pt>
                <c:pt idx="4">
                  <c:v>1.276</c:v>
                </c:pt>
                <c:pt idx="5">
                  <c:v>1.4750000000000001</c:v>
                </c:pt>
                <c:pt idx="6">
                  <c:v>4.8070000000000004</c:v>
                </c:pt>
                <c:pt idx="7">
                  <c:v>4.234</c:v>
                </c:pt>
                <c:pt idx="8">
                  <c:v>4.9160000000000004</c:v>
                </c:pt>
                <c:pt idx="9">
                  <c:v>2.048</c:v>
                </c:pt>
                <c:pt idx="10">
                  <c:v>1.2230000000000001</c:v>
                </c:pt>
                <c:pt idx="11">
                  <c:v>0</c:v>
                </c:pt>
                <c:pt idx="12">
                  <c:v>1.4999999999999999E-2</c:v>
                </c:pt>
                <c:pt idx="13">
                  <c:v>0</c:v>
                </c:pt>
                <c:pt idx="14">
                  <c:v>0.221</c:v>
                </c:pt>
                <c:pt idx="15">
                  <c:v>0</c:v>
                </c:pt>
                <c:pt idx="16">
                  <c:v>0.42</c:v>
                </c:pt>
                <c:pt idx="17">
                  <c:v>0.63200000000000001</c:v>
                </c:pt>
                <c:pt idx="18">
                  <c:v>0.92100000000000004</c:v>
                </c:pt>
              </c:numCache>
            </c:numRef>
          </c:val>
          <c:extLst>
            <c:ext xmlns:c16="http://schemas.microsoft.com/office/drawing/2014/chart" uri="{C3380CC4-5D6E-409C-BE32-E72D297353CC}">
              <c16:uniqueId val="{00000004-8690-BF4B-A776-80195710EE38}"/>
            </c:ext>
          </c:extLst>
        </c:ser>
        <c:ser>
          <c:idx val="5"/>
          <c:order val="5"/>
          <c:tx>
            <c:strRef>
              <c:f>OCO_DoD_BA!$A$8</c:f>
              <c:strCache>
                <c:ptCount val="1"/>
                <c:pt idx="0">
                  <c:v>Family Housing</c:v>
                </c:pt>
              </c:strCache>
            </c:strRef>
          </c:tx>
          <c:spPr>
            <a:solidFill>
              <a:schemeClr val="accent6"/>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OCO_DoD_BA!$G$8:$Y$8</c:f>
              <c:numCache>
                <c:formatCode>#,##0.000</c:formatCode>
                <c:ptCount val="19"/>
                <c:pt idx="0">
                  <c:v>0.06</c:v>
                </c:pt>
                <c:pt idx="1">
                  <c:v>0</c:v>
                </c:pt>
                <c:pt idx="2">
                  <c:v>2E-3</c:v>
                </c:pt>
                <c:pt idx="3">
                  <c:v>2.4E-2</c:v>
                </c:pt>
                <c:pt idx="4">
                  <c:v>2.1000000000000001E-2</c:v>
                </c:pt>
                <c:pt idx="5">
                  <c:v>0.46</c:v>
                </c:pt>
                <c:pt idx="6">
                  <c:v>0</c:v>
                </c:pt>
                <c:pt idx="7">
                  <c:v>1.2E-2</c:v>
                </c:pt>
                <c:pt idx="8">
                  <c:v>0.69</c:v>
                </c:pt>
                <c:pt idx="9">
                  <c:v>8.0000000000000002E-3</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5-8690-BF4B-A776-80195710EE38}"/>
            </c:ext>
          </c:extLst>
        </c:ser>
        <c:ser>
          <c:idx val="6"/>
          <c:order val="6"/>
          <c:tx>
            <c:strRef>
              <c:f>OCO_DoD_BA!$A$9</c:f>
              <c:strCache>
                <c:ptCount val="1"/>
                <c:pt idx="0">
                  <c:v>Revolving Funds &amp; Other</c:v>
                </c:pt>
              </c:strCache>
            </c:strRef>
          </c:tx>
          <c:spPr>
            <a:solidFill>
              <a:schemeClr val="accent1">
                <a:lumMod val="60000"/>
              </a:schemeClr>
            </a:solidFill>
            <a:ln>
              <a:noFill/>
            </a:ln>
            <a:effectLst/>
          </c:spPr>
          <c:invertIfNegative val="0"/>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OCO_DoD_BA!$G$42</c:f>
              <c:numCache>
                <c:formatCode>0.000</c:formatCode>
                <c:ptCount val="1"/>
                <c:pt idx="0">
                  <c:v>0.25058757742735704</c:v>
                </c:pt>
              </c:numCache>
            </c:numRef>
          </c:val>
          <c:extLst>
            <c:ext xmlns:c16="http://schemas.microsoft.com/office/drawing/2014/chart" uri="{C3380CC4-5D6E-409C-BE32-E72D297353CC}">
              <c16:uniqueId val="{00000006-8690-BF4B-A776-80195710EE38}"/>
            </c:ext>
          </c:extLst>
        </c:ser>
        <c:dLbls>
          <c:showLegendKey val="0"/>
          <c:showVal val="0"/>
          <c:showCatName val="0"/>
          <c:showSerName val="0"/>
          <c:showPercent val="0"/>
          <c:showBubbleSize val="0"/>
        </c:dLbls>
        <c:gapWidth val="150"/>
        <c:overlap val="100"/>
        <c:axId val="1758674880"/>
        <c:axId val="1758677200"/>
      </c:barChart>
      <c:lineChart>
        <c:grouping val="standard"/>
        <c:varyColors val="0"/>
        <c:ser>
          <c:idx val="8"/>
          <c:order val="7"/>
          <c:spPr>
            <a:ln w="3175" cap="rnd">
              <a:no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OCO_DoD_BA!$G$2:$Y$2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OCO_DoD_BA!$G$11:$Y$11</c:f>
              <c:numCache>
                <c:formatCode>#,##0.0</c:formatCode>
                <c:ptCount val="19"/>
                <c:pt idx="0">
                  <c:v>28.773999999999997</c:v>
                </c:pt>
                <c:pt idx="1">
                  <c:v>16.87</c:v>
                </c:pt>
                <c:pt idx="2">
                  <c:v>72.534999999999997</c:v>
                </c:pt>
                <c:pt idx="3">
                  <c:v>91.088000000000008</c:v>
                </c:pt>
                <c:pt idx="4">
                  <c:v>78.842999999999989</c:v>
                </c:pt>
                <c:pt idx="5">
                  <c:v>123.91699999999999</c:v>
                </c:pt>
                <c:pt idx="6">
                  <c:v>169.40899999999999</c:v>
                </c:pt>
                <c:pt idx="7">
                  <c:v>186.90800000000002</c:v>
                </c:pt>
                <c:pt idx="8">
                  <c:v>153.12499999999997</c:v>
                </c:pt>
                <c:pt idx="9">
                  <c:v>163.04400000000001</c:v>
                </c:pt>
                <c:pt idx="10">
                  <c:v>158.78800000000001</c:v>
                </c:pt>
                <c:pt idx="11">
                  <c:v>115.08199999999998</c:v>
                </c:pt>
                <c:pt idx="12">
                  <c:v>82.085000000000008</c:v>
                </c:pt>
                <c:pt idx="13">
                  <c:v>85.155000000000001</c:v>
                </c:pt>
                <c:pt idx="14">
                  <c:v>63.093999999999994</c:v>
                </c:pt>
                <c:pt idx="15">
                  <c:v>58.942</c:v>
                </c:pt>
                <c:pt idx="16">
                  <c:v>82.490000000000009</c:v>
                </c:pt>
                <c:pt idx="17">
                  <c:v>88.118000000000009</c:v>
                </c:pt>
                <c:pt idx="18">
                  <c:v>69.000000000000014</c:v>
                </c:pt>
              </c:numCache>
            </c:numRef>
          </c:val>
          <c:smooth val="0"/>
          <c:extLst>
            <c:ext xmlns:c16="http://schemas.microsoft.com/office/drawing/2014/chart" uri="{C3380CC4-5D6E-409C-BE32-E72D297353CC}">
              <c16:uniqueId val="{00000008-8690-BF4B-A776-80195710EE38}"/>
            </c:ext>
          </c:extLst>
        </c:ser>
        <c:dLbls>
          <c:showLegendKey val="0"/>
          <c:showVal val="0"/>
          <c:showCatName val="0"/>
          <c:showSerName val="0"/>
          <c:showPercent val="0"/>
          <c:showBubbleSize val="0"/>
        </c:dLbls>
        <c:marker val="1"/>
        <c:smooth val="0"/>
        <c:axId val="1758674880"/>
        <c:axId val="1758677200"/>
      </c:lineChart>
      <c:catAx>
        <c:axId val="175867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7200"/>
        <c:crosses val="autoZero"/>
        <c:auto val="1"/>
        <c:lblAlgn val="ctr"/>
        <c:lblOffset val="100"/>
        <c:noMultiLvlLbl val="0"/>
      </c:catAx>
      <c:valAx>
        <c:axId val="175867720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Appropriated OCO Funding [nominal $B]</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8674880"/>
        <c:crosses val="autoZero"/>
        <c:crossBetween val="between"/>
      </c:valAx>
      <c:spPr>
        <a:noFill/>
        <a:ln>
          <a:solidFill>
            <a:schemeClr val="tx1"/>
          </a:solidFill>
        </a:ln>
        <a:effectLst/>
      </c:spPr>
    </c:plotArea>
    <c:legend>
      <c:legendPos val="b"/>
      <c:legendEntry>
        <c:idx val="7"/>
        <c:delete val="1"/>
      </c:legendEntry>
      <c:layout>
        <c:manualLayout>
          <c:xMode val="edge"/>
          <c:yMode val="edge"/>
          <c:x val="8.9112483329375006E-2"/>
          <c:y val="6.0250938258885799E-2"/>
          <c:w val="0.20386728826990799"/>
          <c:h val="0.3480599937872260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51987426022196E-2"/>
          <c:y val="3.4337117744002901E-2"/>
          <c:w val="0.89224127785287899"/>
          <c:h val="0.89898602254242899"/>
        </c:manualLayout>
      </c:layout>
      <c:barChart>
        <c:barDir val="col"/>
        <c:grouping val="stacked"/>
        <c:varyColors val="0"/>
        <c:ser>
          <c:idx val="0"/>
          <c:order val="0"/>
          <c:tx>
            <c:strRef>
              <c:f>DoD_Overview_PB19!$A$11</c:f>
              <c:strCache>
                <c:ptCount val="1"/>
                <c:pt idx="0">
                  <c:v>Base</c:v>
                </c:pt>
              </c:strCache>
            </c:strRef>
          </c:tx>
          <c:spPr>
            <a:solidFill>
              <a:schemeClr val="accent6"/>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DoD_Overview_PB19!$B$11:$T$11</c:f>
              <c:numCache>
                <c:formatCode>0.0</c:formatCode>
                <c:ptCount val="19"/>
                <c:pt idx="0">
                  <c:v>404.60039186866521</c:v>
                </c:pt>
                <c:pt idx="1">
                  <c:v>454.71530326557365</c:v>
                </c:pt>
                <c:pt idx="2">
                  <c:v>496.07006482672318</c:v>
                </c:pt>
                <c:pt idx="3">
                  <c:v>499.47837844713547</c:v>
                </c:pt>
                <c:pt idx="4">
                  <c:v>514.59303835244793</c:v>
                </c:pt>
                <c:pt idx="5">
                  <c:v>511.49029194193554</c:v>
                </c:pt>
                <c:pt idx="6">
                  <c:v>523.28768669057683</c:v>
                </c:pt>
                <c:pt idx="7">
                  <c:v>569.11691421251567</c:v>
                </c:pt>
                <c:pt idx="8">
                  <c:v>602.71710225438619</c:v>
                </c:pt>
                <c:pt idx="9">
                  <c:v>614.59227817674423</c:v>
                </c:pt>
                <c:pt idx="10">
                  <c:v>602.70138026607538</c:v>
                </c:pt>
                <c:pt idx="11">
                  <c:v>594.31123975781657</c:v>
                </c:pt>
                <c:pt idx="12">
                  <c:v>545.98229365250802</c:v>
                </c:pt>
                <c:pt idx="13">
                  <c:v>537.10483656965766</c:v>
                </c:pt>
                <c:pt idx="14">
                  <c:v>531.77516103896107</c:v>
                </c:pt>
                <c:pt idx="15">
                  <c:v>551.04462588374133</c:v>
                </c:pt>
                <c:pt idx="16">
                  <c:v>543.52323778523271</c:v>
                </c:pt>
                <c:pt idx="17">
                  <c:v>534.3038639007309</c:v>
                </c:pt>
                <c:pt idx="18">
                  <c:v>617</c:v>
                </c:pt>
              </c:numCache>
            </c:numRef>
          </c:val>
          <c:extLst>
            <c:ext xmlns:c16="http://schemas.microsoft.com/office/drawing/2014/chart" uri="{C3380CC4-5D6E-409C-BE32-E72D297353CC}">
              <c16:uniqueId val="{00000000-C9F3-9643-B706-E1BF2B71A5AD}"/>
            </c:ext>
          </c:extLst>
        </c:ser>
        <c:ser>
          <c:idx val="1"/>
          <c:order val="1"/>
          <c:tx>
            <c:strRef>
              <c:f>DoD_Overview_PB19!$A$12</c:f>
              <c:strCache>
                <c:ptCount val="1"/>
                <c:pt idx="0">
                  <c:v>OCO</c:v>
                </c:pt>
              </c:strCache>
            </c:strRef>
          </c:tx>
          <c:spPr>
            <a:solidFill>
              <a:schemeClr val="tx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DoD_Overview_PB19!$B$12:$T$12</c:f>
              <c:numCache>
                <c:formatCode>0.0</c:formatCode>
                <c:ptCount val="19"/>
                <c:pt idx="0">
                  <c:v>32.238514174643122</c:v>
                </c:pt>
                <c:pt idx="1">
                  <c:v>23.414651508800105</c:v>
                </c:pt>
                <c:pt idx="2">
                  <c:v>98.561468073273318</c:v>
                </c:pt>
                <c:pt idx="3">
                  <c:v>120.45853057901699</c:v>
                </c:pt>
                <c:pt idx="4">
                  <c:v>97.233775804661491</c:v>
                </c:pt>
                <c:pt idx="5">
                  <c:v>144.25371604207533</c:v>
                </c:pt>
                <c:pt idx="6">
                  <c:v>201.67495317877854</c:v>
                </c:pt>
                <c:pt idx="7">
                  <c:v>222.06252873970598</c:v>
                </c:pt>
                <c:pt idx="8">
                  <c:v>171.11434489178498</c:v>
                </c:pt>
                <c:pt idx="9">
                  <c:v>189.0694941767442</c:v>
                </c:pt>
                <c:pt idx="10">
                  <c:v>181.19837028824833</c:v>
                </c:pt>
                <c:pt idx="11">
                  <c:v>128.96912461561971</c:v>
                </c:pt>
                <c:pt idx="12">
                  <c:v>90.354284721504854</c:v>
                </c:pt>
                <c:pt idx="13">
                  <c:v>91.880315584855808</c:v>
                </c:pt>
                <c:pt idx="14">
                  <c:v>65.22880519480519</c:v>
                </c:pt>
                <c:pt idx="15">
                  <c:v>60.146631906358884</c:v>
                </c:pt>
                <c:pt idx="16">
                  <c:v>82.100068422625981</c:v>
                </c:pt>
                <c:pt idx="17">
                  <c:v>78.51411740526008</c:v>
                </c:pt>
                <c:pt idx="18">
                  <c:v>61</c:v>
                </c:pt>
              </c:numCache>
            </c:numRef>
          </c:val>
          <c:extLst>
            <c:ext xmlns:c16="http://schemas.microsoft.com/office/drawing/2014/chart" uri="{C3380CC4-5D6E-409C-BE32-E72D297353CC}">
              <c16:uniqueId val="{00000001-C9F3-9643-B706-E1BF2B71A5AD}"/>
            </c:ext>
          </c:extLst>
        </c:ser>
        <c:ser>
          <c:idx val="2"/>
          <c:order val="2"/>
          <c:tx>
            <c:strRef>
              <c:f>DoD_Overview_PB19!$A$13</c:f>
              <c:strCache>
                <c:ptCount val="1"/>
                <c:pt idx="0">
                  <c:v>non-war supplemental funding</c:v>
                </c:pt>
              </c:strCache>
            </c:strRef>
          </c:tx>
          <c:spPr>
            <a:solidFill>
              <a:srgbClr val="C00000"/>
            </a:solidFill>
            <a:ln>
              <a:noFill/>
            </a:ln>
            <a:effectLst/>
          </c:spPr>
          <c:invertIfNegative val="0"/>
          <c:dLbls>
            <c:numFmt formatCode="#,##0;\ ;\ "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C00000"/>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DoD_Overview_PB19!$B$13:$T$13</c:f>
              <c:numCache>
                <c:formatCode>0.0</c:formatCode>
                <c:ptCount val="19"/>
                <c:pt idx="0">
                  <c:v>8.1652131970711839</c:v>
                </c:pt>
                <c:pt idx="1">
                  <c:v>0</c:v>
                </c:pt>
                <c:pt idx="2">
                  <c:v>0</c:v>
                </c:pt>
                <c:pt idx="3">
                  <c:v>0.39799073979851429</c:v>
                </c:pt>
                <c:pt idx="4">
                  <c:v>4.1157153779750901</c:v>
                </c:pt>
                <c:pt idx="5">
                  <c:v>10.214857267228131</c:v>
                </c:pt>
                <c:pt idx="6">
                  <c:v>3.7594248638256973</c:v>
                </c:pt>
                <c:pt idx="7">
                  <c:v>0</c:v>
                </c:pt>
                <c:pt idx="8">
                  <c:v>8.6907766108387712</c:v>
                </c:pt>
                <c:pt idx="9">
                  <c:v>0.81495471627906979</c:v>
                </c:pt>
                <c:pt idx="10">
                  <c:v>0</c:v>
                </c:pt>
                <c:pt idx="11">
                  <c:v>0</c:v>
                </c:pt>
                <c:pt idx="12">
                  <c:v>0.11018815209939617</c:v>
                </c:pt>
                <c:pt idx="13">
                  <c:v>0.2164436173965979</c:v>
                </c:pt>
                <c:pt idx="14">
                  <c:v>2.1386493506493509</c:v>
                </c:pt>
                <c:pt idx="15">
                  <c:v>2.1141171144590118</c:v>
                </c:pt>
                <c:pt idx="16">
                  <c:v>4.1569654897532144</c:v>
                </c:pt>
                <c:pt idx="17">
                  <c:v>11.216302486465725</c:v>
                </c:pt>
                <c:pt idx="18">
                  <c:v>8</c:v>
                </c:pt>
              </c:numCache>
            </c:numRef>
          </c:val>
          <c:extLst>
            <c:ext xmlns:c16="http://schemas.microsoft.com/office/drawing/2014/chart" uri="{C3380CC4-5D6E-409C-BE32-E72D297353CC}">
              <c16:uniqueId val="{00000002-C9F3-9643-B706-E1BF2B71A5AD}"/>
            </c:ext>
          </c:extLst>
        </c:ser>
        <c:dLbls>
          <c:showLegendKey val="0"/>
          <c:showVal val="0"/>
          <c:showCatName val="0"/>
          <c:showSerName val="0"/>
          <c:showPercent val="0"/>
          <c:showBubbleSize val="0"/>
        </c:dLbls>
        <c:gapWidth val="150"/>
        <c:overlap val="100"/>
        <c:axId val="1797438976"/>
        <c:axId val="1797441296"/>
      </c:barChart>
      <c:lineChart>
        <c:grouping val="standard"/>
        <c:varyColors val="0"/>
        <c:ser>
          <c:idx val="3"/>
          <c:order val="3"/>
          <c:tx>
            <c:strRef>
              <c:f>DoD_Overview_PB19!$A$14</c:f>
              <c:strCache>
                <c:ptCount val="1"/>
                <c:pt idx="0">
                  <c:v>Total</c:v>
                </c:pt>
              </c:strCache>
            </c:strRef>
          </c:tx>
          <c:spPr>
            <a:ln w="28575" cap="rnd">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DoD_Overview_PB19!$B$14:$T$14</c:f>
              <c:numCache>
                <c:formatCode>0.0</c:formatCode>
                <c:ptCount val="19"/>
                <c:pt idx="0">
                  <c:v>445.00411924037951</c:v>
                </c:pt>
                <c:pt idx="1">
                  <c:v>478.12995477437374</c:v>
                </c:pt>
                <c:pt idx="2">
                  <c:v>594.6315328999965</c:v>
                </c:pt>
                <c:pt idx="3">
                  <c:v>620.33489976595092</c:v>
                </c:pt>
                <c:pt idx="4">
                  <c:v>615.94252953508453</c:v>
                </c:pt>
                <c:pt idx="5">
                  <c:v>665.95886525123899</c:v>
                </c:pt>
                <c:pt idx="6">
                  <c:v>728.72206473318101</c:v>
                </c:pt>
                <c:pt idx="7">
                  <c:v>791.17944295222162</c:v>
                </c:pt>
                <c:pt idx="8">
                  <c:v>782.5222237570099</c:v>
                </c:pt>
                <c:pt idx="9">
                  <c:v>804.47672706976755</c:v>
                </c:pt>
                <c:pt idx="10">
                  <c:v>783.89975055432365</c:v>
                </c:pt>
                <c:pt idx="11">
                  <c:v>723.28036437343621</c:v>
                </c:pt>
                <c:pt idx="12">
                  <c:v>636.44676652611224</c:v>
                </c:pt>
                <c:pt idx="13">
                  <c:v>629.20159577191009</c:v>
                </c:pt>
                <c:pt idx="14">
                  <c:v>599.14261558441558</c:v>
                </c:pt>
                <c:pt idx="15">
                  <c:v>613.30537490455913</c:v>
                </c:pt>
                <c:pt idx="16">
                  <c:v>629.78027169761197</c:v>
                </c:pt>
                <c:pt idx="17">
                  <c:v>624.03428379245668</c:v>
                </c:pt>
                <c:pt idx="18">
                  <c:v>686</c:v>
                </c:pt>
              </c:numCache>
            </c:numRef>
          </c:val>
          <c:smooth val="0"/>
          <c:extLst>
            <c:ext xmlns:c16="http://schemas.microsoft.com/office/drawing/2014/chart" uri="{C3380CC4-5D6E-409C-BE32-E72D297353CC}">
              <c16:uniqueId val="{00000003-C9F3-9643-B706-E1BF2B71A5AD}"/>
            </c:ext>
          </c:extLst>
        </c:ser>
        <c:dLbls>
          <c:showLegendKey val="0"/>
          <c:showVal val="0"/>
          <c:showCatName val="0"/>
          <c:showSerName val="0"/>
          <c:showPercent val="0"/>
          <c:showBubbleSize val="0"/>
        </c:dLbls>
        <c:marker val="1"/>
        <c:smooth val="0"/>
        <c:axId val="1797438976"/>
        <c:axId val="1797441296"/>
      </c:lineChart>
      <c:lineChart>
        <c:grouping val="standard"/>
        <c:varyColors val="0"/>
        <c:ser>
          <c:idx val="4"/>
          <c:order val="4"/>
          <c:tx>
            <c:strRef>
              <c:f>DoD_Overview_PB19!$A$15</c:f>
              <c:strCache>
                <c:ptCount val="1"/>
                <c:pt idx="0">
                  <c:v>Sup Fraction of Total Budget</c:v>
                </c:pt>
              </c:strCache>
            </c:strRef>
          </c:tx>
          <c:spPr>
            <a:ln w="3175" cap="rnd">
              <a:solidFill>
                <a:schemeClr val="tx1">
                  <a:lumMod val="50000"/>
                  <a:lumOff val="50000"/>
                </a:schemeClr>
              </a:solidFill>
              <a:prstDash val="sys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DoD_Overview_PB19!$B$10:$T$10</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DoD_Overview_PB19!$B$15:$T$15</c:f>
              <c:numCache>
                <c:formatCode>0.00</c:formatCode>
                <c:ptCount val="19"/>
                <c:pt idx="0">
                  <c:v>9.0794052515026924E-2</c:v>
                </c:pt>
                <c:pt idx="1">
                  <c:v>4.8971312662996258E-2</c:v>
                </c:pt>
                <c:pt idx="2">
                  <c:v>0.16575217192501146</c:v>
                </c:pt>
                <c:pt idx="3">
                  <c:v>0.1948246364414028</c:v>
                </c:pt>
                <c:pt idx="4">
                  <c:v>0.16454374608477762</c:v>
                </c:pt>
                <c:pt idx="5">
                  <c:v>0.23194912083800967</c:v>
                </c:pt>
                <c:pt idx="6">
                  <c:v>0.28191046763188543</c:v>
                </c:pt>
                <c:pt idx="7">
                  <c:v>0.28067277368974319</c:v>
                </c:pt>
                <c:pt idx="8">
                  <c:v>0.22977637700735398</c:v>
                </c:pt>
                <c:pt idx="9">
                  <c:v>0.2360347322720695</c:v>
                </c:pt>
                <c:pt idx="10">
                  <c:v>0.2311499272197961</c:v>
                </c:pt>
                <c:pt idx="11">
                  <c:v>0.1783113865220759</c:v>
                </c:pt>
                <c:pt idx="12">
                  <c:v>0.14213988919667586</c:v>
                </c:pt>
                <c:pt idx="13">
                  <c:v>0.14637082903336773</c:v>
                </c:pt>
                <c:pt idx="14">
                  <c:v>0.11243976441192216</c:v>
                </c:pt>
                <c:pt idx="15">
                  <c:v>0.10151671837297471</c:v>
                </c:pt>
                <c:pt idx="16">
                  <c:v>0.13696369636963701</c:v>
                </c:pt>
                <c:pt idx="17">
                  <c:v>0.14379084967320255</c:v>
                </c:pt>
                <c:pt idx="18">
                  <c:v>0.1005830903790087</c:v>
                </c:pt>
              </c:numCache>
            </c:numRef>
          </c:val>
          <c:smooth val="0"/>
          <c:extLst>
            <c:ext xmlns:c16="http://schemas.microsoft.com/office/drawing/2014/chart" uri="{C3380CC4-5D6E-409C-BE32-E72D297353CC}">
              <c16:uniqueId val="{00000004-C9F3-9643-B706-E1BF2B71A5AD}"/>
            </c:ext>
          </c:extLst>
        </c:ser>
        <c:dLbls>
          <c:showLegendKey val="0"/>
          <c:showVal val="0"/>
          <c:showCatName val="0"/>
          <c:showSerName val="0"/>
          <c:showPercent val="0"/>
          <c:showBubbleSize val="0"/>
        </c:dLbls>
        <c:marker val="1"/>
        <c:smooth val="0"/>
        <c:axId val="1797447520"/>
        <c:axId val="1797445200"/>
      </c:lineChart>
      <c:catAx>
        <c:axId val="179743897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97441296"/>
        <c:crosses val="autoZero"/>
        <c:auto val="1"/>
        <c:lblAlgn val="ctr"/>
        <c:lblOffset val="100"/>
        <c:noMultiLvlLbl val="0"/>
      </c:catAx>
      <c:valAx>
        <c:axId val="1797441296"/>
        <c:scaling>
          <c:orientation val="minMax"/>
          <c:max val="1000"/>
          <c:min val="-5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DoD Funding [real,</a:t>
                </a:r>
                <a:r>
                  <a:rPr lang="en-US" baseline="0"/>
                  <a:t> FY18 $B]</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38976"/>
        <c:crosses val="autoZero"/>
        <c:crossBetween val="between"/>
      </c:valAx>
      <c:valAx>
        <c:axId val="1797445200"/>
        <c:scaling>
          <c:orientation val="minMax"/>
          <c:max val="1.5"/>
          <c:min val="0"/>
        </c:scaling>
        <c:delete val="0"/>
        <c:axPos val="r"/>
        <c:numFmt formatCode="0.00" sourceLinked="0"/>
        <c:majorTickMark val="out"/>
        <c:minorTickMark val="none"/>
        <c:tickLblPos val="none"/>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47520"/>
        <c:crosses val="max"/>
        <c:crossBetween val="between"/>
      </c:valAx>
      <c:catAx>
        <c:axId val="1797447520"/>
        <c:scaling>
          <c:orientation val="minMax"/>
        </c:scaling>
        <c:delete val="1"/>
        <c:axPos val="b"/>
        <c:numFmt formatCode="General" sourceLinked="1"/>
        <c:majorTickMark val="out"/>
        <c:minorTickMark val="none"/>
        <c:tickLblPos val="nextTo"/>
        <c:crossAx val="1797445200"/>
        <c:crosses val="autoZero"/>
        <c:auto val="1"/>
        <c:lblAlgn val="ctr"/>
        <c:lblOffset val="100"/>
        <c:noMultiLvlLbl val="0"/>
      </c:catAx>
      <c:spPr>
        <a:noFill/>
        <a:ln>
          <a:solidFill>
            <a:schemeClr val="tx1"/>
          </a:solidFill>
        </a:ln>
        <a:effectLst/>
      </c:spPr>
    </c:plotArea>
    <c:legend>
      <c:legendPos val="b"/>
      <c:legendEntry>
        <c:idx val="3"/>
        <c:delete val="1"/>
      </c:legendEntry>
      <c:layout>
        <c:manualLayout>
          <c:xMode val="edge"/>
          <c:yMode val="edge"/>
          <c:x val="0.10072947440274301"/>
          <c:y val="3.6136740221315099E-2"/>
          <c:w val="0.28983436539580798"/>
          <c:h val="0.13104645369875201"/>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186277102959004E-2"/>
          <c:y val="3.0033172128428501E-2"/>
          <c:w val="0.89695239645431901"/>
          <c:h val="0.89684794943869295"/>
        </c:manualLayout>
      </c:layout>
      <c:scatterChart>
        <c:scatterStyle val="lineMarker"/>
        <c:varyColors val="0"/>
        <c:ser>
          <c:idx val="8"/>
          <c:order val="0"/>
          <c:tx>
            <c:strRef>
              <c:f>OCO_Strength!$A$56</c:f>
              <c:strCache>
                <c:ptCount val="1"/>
                <c:pt idx="0">
                  <c:v>Total Forces</c:v>
                </c:pt>
              </c:strCache>
            </c:strRef>
          </c:tx>
          <c:spPr>
            <a:ln w="19050" cap="rnd">
              <a:solidFill>
                <a:schemeClr val="tx1"/>
              </a:solidFill>
              <a:prstDash val="dashDot"/>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OCO_Strength!$C$56:$U$56</c:f>
              <c:numCache>
                <c:formatCode>_(* #,##0_);_(* \(#,##0\);_(* "-"??_);_(@_)</c:formatCode>
                <c:ptCount val="19"/>
                <c:pt idx="0">
                  <c:v>0</c:v>
                </c:pt>
                <c:pt idx="1">
                  <c:v>5241.666666666667</c:v>
                </c:pt>
                <c:pt idx="2">
                  <c:v>78112.5</c:v>
                </c:pt>
                <c:pt idx="3">
                  <c:v>146292.30769230769</c:v>
                </c:pt>
                <c:pt idx="4">
                  <c:v>160948.84999999998</c:v>
                </c:pt>
                <c:pt idx="5">
                  <c:v>159078.56666666665</c:v>
                </c:pt>
                <c:pt idx="6">
                  <c:v>352517.33333333337</c:v>
                </c:pt>
                <c:pt idx="7">
                  <c:v>395906.25</c:v>
                </c:pt>
                <c:pt idx="8">
                  <c:v>505029.5</c:v>
                </c:pt>
                <c:pt idx="9">
                  <c:v>480171.25</c:v>
                </c:pt>
                <c:pt idx="10">
                  <c:v>419870.5</c:v>
                </c:pt>
                <c:pt idx="11">
                  <c:v>330731.75</c:v>
                </c:pt>
                <c:pt idx="12">
                  <c:v>262393</c:v>
                </c:pt>
                <c:pt idx="13">
                  <c:v>177258.5</c:v>
                </c:pt>
                <c:pt idx="14">
                  <c:v>117562.75</c:v>
                </c:pt>
                <c:pt idx="15">
                  <c:v>115564</c:v>
                </c:pt>
                <c:pt idx="16">
                  <c:v>90010</c:v>
                </c:pt>
                <c:pt idx="17">
                  <c:v>90644</c:v>
                </c:pt>
                <c:pt idx="18">
                  <c:v>93797</c:v>
                </c:pt>
              </c:numCache>
            </c:numRef>
          </c:yVal>
          <c:smooth val="0"/>
          <c:extLst>
            <c:ext xmlns:c16="http://schemas.microsoft.com/office/drawing/2014/chart" uri="{C3380CC4-5D6E-409C-BE32-E72D297353CC}">
              <c16:uniqueId val="{00000000-A9FF-1946-9B08-8CF5C89B9C7A}"/>
            </c:ext>
          </c:extLst>
        </c:ser>
        <c:ser>
          <c:idx val="5"/>
          <c:order val="1"/>
          <c:tx>
            <c:strRef>
              <c:f>OCO_Strength!$A$8</c:f>
              <c:strCache>
                <c:ptCount val="1"/>
                <c:pt idx="0">
                  <c:v>Total OCO Mil Forces</c:v>
                </c:pt>
              </c:strCache>
            </c:strRef>
          </c:tx>
          <c:spPr>
            <a:ln w="19050" cap="rnd">
              <a:solidFill>
                <a:schemeClr val="tx1"/>
              </a:solidFill>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OCO_Strength!$C$8:$U$8</c:f>
              <c:numCache>
                <c:formatCode>_(* #,##0_);_(* \(#,##0\);_(* "-"??_);_(@_)</c:formatCode>
                <c:ptCount val="19"/>
                <c:pt idx="0">
                  <c:v>0</c:v>
                </c:pt>
                <c:pt idx="1">
                  <c:v>5241.666666666667</c:v>
                </c:pt>
                <c:pt idx="2">
                  <c:v>78112.5</c:v>
                </c:pt>
                <c:pt idx="3">
                  <c:v>146292.30769230769</c:v>
                </c:pt>
                <c:pt idx="4">
                  <c:v>160948.84999999998</c:v>
                </c:pt>
                <c:pt idx="5">
                  <c:v>159078.56666666665</c:v>
                </c:pt>
                <c:pt idx="6">
                  <c:v>168219.33333333334</c:v>
                </c:pt>
                <c:pt idx="7">
                  <c:v>186610.5</c:v>
                </c:pt>
                <c:pt idx="8">
                  <c:v>297000</c:v>
                </c:pt>
                <c:pt idx="9">
                  <c:v>293500</c:v>
                </c:pt>
                <c:pt idx="10">
                  <c:v>264008</c:v>
                </c:pt>
                <c:pt idx="11">
                  <c:v>204430</c:v>
                </c:pt>
                <c:pt idx="12">
                  <c:v>153319</c:v>
                </c:pt>
                <c:pt idx="13">
                  <c:v>114918</c:v>
                </c:pt>
                <c:pt idx="14">
                  <c:v>85170</c:v>
                </c:pt>
                <c:pt idx="15">
                  <c:v>85109</c:v>
                </c:pt>
                <c:pt idx="16">
                  <c:v>90010</c:v>
                </c:pt>
                <c:pt idx="17">
                  <c:v>90644</c:v>
                </c:pt>
                <c:pt idx="18">
                  <c:v>93797</c:v>
                </c:pt>
              </c:numCache>
            </c:numRef>
          </c:yVal>
          <c:smooth val="0"/>
          <c:extLst>
            <c:ext xmlns:c16="http://schemas.microsoft.com/office/drawing/2014/chart" uri="{C3380CC4-5D6E-409C-BE32-E72D297353CC}">
              <c16:uniqueId val="{00000001-A9FF-1946-9B08-8CF5C89B9C7A}"/>
            </c:ext>
          </c:extLst>
        </c:ser>
        <c:ser>
          <c:idx val="0"/>
          <c:order val="2"/>
          <c:tx>
            <c:strRef>
              <c:f>OCO_Strength!$A$3</c:f>
              <c:strCache>
                <c:ptCount val="1"/>
                <c:pt idx="0">
                  <c:v>Afghanistan</c:v>
                </c:pt>
              </c:strCache>
            </c:strRef>
          </c:tx>
          <c:spPr>
            <a:ln w="19050" cap="rnd">
              <a:solidFill>
                <a:schemeClr val="accent2">
                  <a:lumMod val="50000"/>
                </a:schemeClr>
              </a:solidFill>
              <a:prstDash val="solid"/>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OCO_Strength!$C$3:$U$3</c:f>
              <c:numCache>
                <c:formatCode>#,##0</c:formatCode>
                <c:ptCount val="19"/>
                <c:pt idx="0">
                  <c:v>0</c:v>
                </c:pt>
                <c:pt idx="1">
                  <c:v>5241.666666666667</c:v>
                </c:pt>
                <c:pt idx="2">
                  <c:v>10387.5</c:v>
                </c:pt>
                <c:pt idx="3">
                  <c:v>15346.153846153846</c:v>
                </c:pt>
                <c:pt idx="4">
                  <c:v>18269.166666666668</c:v>
                </c:pt>
                <c:pt idx="5">
                  <c:v>20241.666666666668</c:v>
                </c:pt>
                <c:pt idx="6">
                  <c:v>23153.833333333332</c:v>
                </c:pt>
                <c:pt idx="7">
                  <c:v>30076.666666666668</c:v>
                </c:pt>
                <c:pt idx="8">
                  <c:v>44300</c:v>
                </c:pt>
                <c:pt idx="9">
                  <c:v>84000</c:v>
                </c:pt>
                <c:pt idx="10">
                  <c:v>98345</c:v>
                </c:pt>
                <c:pt idx="11" formatCode="_(* #,##0_);_(* \(#,##0\);_(* &quot;-&quot;??_);_(@_)">
                  <c:v>89446</c:v>
                </c:pt>
                <c:pt idx="12" formatCode="_(* #,##0_);_(* \(#,##0\);_(* &quot;-&quot;??_);_(@_)">
                  <c:v>62763</c:v>
                </c:pt>
                <c:pt idx="13" formatCode="_(* #,##0_);_(* \(#,##0\);_(* &quot;-&quot;??_);_(@_)">
                  <c:v>34813</c:v>
                </c:pt>
                <c:pt idx="14" formatCode="_(* #,##0_);_(* \(#,##0\);_(* &quot;-&quot;??_);_(@_)">
                  <c:v>10012</c:v>
                </c:pt>
                <c:pt idx="15">
                  <c:v>9737</c:v>
                </c:pt>
                <c:pt idx="16" formatCode="_(* #,##0_);_(* \(#,##0\);_(* &quot;-&quot;??_);_(@_)">
                  <c:v>8674</c:v>
                </c:pt>
                <c:pt idx="17" formatCode="_(* #,##0_);_(* \(#,##0\);_(* &quot;-&quot;??_);_(@_)">
                  <c:v>11958</c:v>
                </c:pt>
                <c:pt idx="18" formatCode="_(* #,##0_);_(* \(#,##0\);_(* &quot;-&quot;??_);_(@_)">
                  <c:v>11958</c:v>
                </c:pt>
              </c:numCache>
            </c:numRef>
          </c:yVal>
          <c:smooth val="0"/>
          <c:extLst>
            <c:ext xmlns:c16="http://schemas.microsoft.com/office/drawing/2014/chart" uri="{C3380CC4-5D6E-409C-BE32-E72D297353CC}">
              <c16:uniqueId val="{00000002-A9FF-1946-9B08-8CF5C89B9C7A}"/>
            </c:ext>
          </c:extLst>
        </c:ser>
        <c:ser>
          <c:idx val="6"/>
          <c:order val="3"/>
          <c:tx>
            <c:strRef>
              <c:f>OCO_Strength!$A$52</c:f>
              <c:strCache>
                <c:ptCount val="1"/>
                <c:pt idx="0">
                  <c:v>Afghanistan CTR</c:v>
                </c:pt>
              </c:strCache>
            </c:strRef>
          </c:tx>
          <c:spPr>
            <a:ln w="19050" cap="rnd">
              <a:solidFill>
                <a:schemeClr val="accent2">
                  <a:lumMod val="50000"/>
                </a:schemeClr>
              </a:solidFill>
              <a:prstDash val="sysDot"/>
              <a:round/>
            </a:ln>
            <a:effectLst/>
          </c:spPr>
          <c:marker>
            <c:symbol val="none"/>
          </c:marker>
          <c:xVal>
            <c:numRef>
              <c:f>OCO_Strength!$C$51:$U$51</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OCO_Strength!$C$52:$U$52</c:f>
              <c:numCache>
                <c:formatCode>#,##0</c:formatCode>
                <c:ptCount val="19"/>
                <c:pt idx="6">
                  <c:v>29473</c:v>
                </c:pt>
                <c:pt idx="7">
                  <c:v>49585</c:v>
                </c:pt>
                <c:pt idx="8">
                  <c:v>79505.25</c:v>
                </c:pt>
                <c:pt idx="9">
                  <c:v>99365.5</c:v>
                </c:pt>
                <c:pt idx="10">
                  <c:v>93182.25</c:v>
                </c:pt>
                <c:pt idx="11" formatCode="_(* #,##0_);_(* \(#,##0\);_(* &quot;-&quot;??_);_(@_)">
                  <c:v>113504.5</c:v>
                </c:pt>
                <c:pt idx="12" formatCode="_(* #,##0_);_(* \(#,##0\);_(* &quot;-&quot;??_);_(@_)">
                  <c:v>101395.75</c:v>
                </c:pt>
                <c:pt idx="13" formatCode="_(* #,##0_);_(* \(#,##0\);_(* &quot;-&quot;??_);_(@_)">
                  <c:v>59106.5</c:v>
                </c:pt>
                <c:pt idx="14" formatCode="_(* #,##0_);_(* \(#,##0\);_(* &quot;-&quot;??_);_(@_)">
                  <c:v>32392.75</c:v>
                </c:pt>
                <c:pt idx="15">
                  <c:v>30455</c:v>
                </c:pt>
              </c:numCache>
            </c:numRef>
          </c:yVal>
          <c:smooth val="0"/>
          <c:extLst>
            <c:ext xmlns:c16="http://schemas.microsoft.com/office/drawing/2014/chart" uri="{C3380CC4-5D6E-409C-BE32-E72D297353CC}">
              <c16:uniqueId val="{00000003-A9FF-1946-9B08-8CF5C89B9C7A}"/>
            </c:ext>
          </c:extLst>
        </c:ser>
        <c:ser>
          <c:idx val="1"/>
          <c:order val="4"/>
          <c:tx>
            <c:strRef>
              <c:f>OCO_Strength!$A$4</c:f>
              <c:strCache>
                <c:ptCount val="1"/>
                <c:pt idx="0">
                  <c:v>Iraq</c:v>
                </c:pt>
              </c:strCache>
            </c:strRef>
          </c:tx>
          <c:spPr>
            <a:ln w="19050" cap="rnd">
              <a:solidFill>
                <a:schemeClr val="accent2"/>
              </a:solidFill>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OCO_Strength!$C$4:$U$4</c:f>
              <c:numCache>
                <c:formatCode>#,##0</c:formatCode>
                <c:ptCount val="19"/>
                <c:pt idx="1">
                  <c:v>0</c:v>
                </c:pt>
                <c:pt idx="2">
                  <c:v>67725</c:v>
                </c:pt>
                <c:pt idx="3">
                  <c:v>130946.15384615384</c:v>
                </c:pt>
                <c:pt idx="4">
                  <c:v>142679.68333333332</c:v>
                </c:pt>
                <c:pt idx="5">
                  <c:v>138836.9</c:v>
                </c:pt>
                <c:pt idx="6">
                  <c:v>145065.5</c:v>
                </c:pt>
                <c:pt idx="7">
                  <c:v>156533.83333333334</c:v>
                </c:pt>
                <c:pt idx="8">
                  <c:v>140700</c:v>
                </c:pt>
                <c:pt idx="9">
                  <c:v>96000</c:v>
                </c:pt>
                <c:pt idx="10">
                  <c:v>46568</c:v>
                </c:pt>
                <c:pt idx="11" formatCode="_(* #,##0_);_(* \(#,##0\);_(* &quot;-&quot;??_);_(@_)">
                  <c:v>9176</c:v>
                </c:pt>
                <c:pt idx="12" formatCode="_(* #,##0_);_(* \(#,##0\);_(* &quot;-&quot;??_);_(@_)">
                  <c:v>0</c:v>
                </c:pt>
                <c:pt idx="13" formatCode="_(* #,##0_);_(* \(#,##0\);_(* &quot;-&quot;??_);_(@_)">
                  <c:v>0</c:v>
                </c:pt>
                <c:pt idx="14" formatCode="_(* #,##0_);_(* \(#,##0\);_(* &quot;-&quot;??_);_(@_)">
                  <c:v>3180</c:v>
                </c:pt>
                <c:pt idx="15">
                  <c:v>3550</c:v>
                </c:pt>
                <c:pt idx="16" formatCode="_(* #,##0_);_(* \(#,##0\);_(* &quot;-&quot;??_);_(@_)">
                  <c:v>5765</c:v>
                </c:pt>
                <c:pt idx="17" formatCode="_(* #,##0_);_(* \(#,##0\);_(* &quot;-&quot;??_);_(@_)">
                  <c:v>5765</c:v>
                </c:pt>
                <c:pt idx="18" formatCode="_(* #,##0_);_(* \(#,##0\);_(* &quot;-&quot;??_);_(@_)">
                  <c:v>5765</c:v>
                </c:pt>
              </c:numCache>
            </c:numRef>
          </c:yVal>
          <c:smooth val="0"/>
          <c:extLst>
            <c:ext xmlns:c16="http://schemas.microsoft.com/office/drawing/2014/chart" uri="{C3380CC4-5D6E-409C-BE32-E72D297353CC}">
              <c16:uniqueId val="{00000004-A9FF-1946-9B08-8CF5C89B9C7A}"/>
            </c:ext>
          </c:extLst>
        </c:ser>
        <c:ser>
          <c:idx val="7"/>
          <c:order val="5"/>
          <c:tx>
            <c:strRef>
              <c:f>OCO_Strength!$A$53</c:f>
              <c:strCache>
                <c:ptCount val="1"/>
                <c:pt idx="0">
                  <c:v>Iraq CTR</c:v>
                </c:pt>
              </c:strCache>
            </c:strRef>
          </c:tx>
          <c:spPr>
            <a:ln w="19050" cap="rnd">
              <a:solidFill>
                <a:schemeClr val="accent2"/>
              </a:solidFill>
              <a:prstDash val="sysDot"/>
              <a:round/>
            </a:ln>
            <a:effectLst/>
          </c:spPr>
          <c:marker>
            <c:symbol val="none"/>
          </c:marker>
          <c:xVal>
            <c:numRef>
              <c:f>OCO_Strength!$C$51:$U$51</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OCO_Strength!$C$53:$U$53</c:f>
              <c:numCache>
                <c:formatCode>#,##0</c:formatCode>
                <c:ptCount val="19"/>
                <c:pt idx="6">
                  <c:v>154825</c:v>
                </c:pt>
                <c:pt idx="7">
                  <c:v>159710.75</c:v>
                </c:pt>
                <c:pt idx="8">
                  <c:v>128524.25</c:v>
                </c:pt>
                <c:pt idx="9">
                  <c:v>87305.75</c:v>
                </c:pt>
                <c:pt idx="10">
                  <c:v>62680.25</c:v>
                </c:pt>
                <c:pt idx="11" formatCode="_(* #,##0_);_(* \(#,##0\);_(* &quot;-&quot;??_);_(@_)">
                  <c:v>12797.25</c:v>
                </c:pt>
                <c:pt idx="12" formatCode="_(* #,##0_);_(* \(#,##0\);_(* &quot;-&quot;??_);_(@_)">
                  <c:v>7678.25</c:v>
                </c:pt>
                <c:pt idx="13" formatCode="_(* #,##0_);_(* \(#,##0\);_(* &quot;-&quot;??_);_(@_)">
                  <c:v>3234</c:v>
                </c:pt>
                <c:pt idx="14" formatCode="_(* #,##0_);_(* \(#,##0\);_(* &quot;-&quot;??_);_(@_)">
                  <c:v>0</c:v>
                </c:pt>
                <c:pt idx="15" formatCode="_(* #,##0_);_(* \(#,##0\);_(* &quot;-&quot;??_);_(@_)">
                  <c:v>0</c:v>
                </c:pt>
              </c:numCache>
            </c:numRef>
          </c:yVal>
          <c:smooth val="0"/>
          <c:extLst>
            <c:ext xmlns:c16="http://schemas.microsoft.com/office/drawing/2014/chart" uri="{C3380CC4-5D6E-409C-BE32-E72D297353CC}">
              <c16:uniqueId val="{00000005-A9FF-1946-9B08-8CF5C89B9C7A}"/>
            </c:ext>
          </c:extLst>
        </c:ser>
        <c:ser>
          <c:idx val="4"/>
          <c:order val="6"/>
          <c:tx>
            <c:strRef>
              <c:f>OCO_Strength!$A$7</c:f>
              <c:strCache>
                <c:ptCount val="1"/>
                <c:pt idx="0">
                  <c:v>Enduring Total</c:v>
                </c:pt>
              </c:strCache>
            </c:strRef>
          </c:tx>
          <c:spPr>
            <a:ln w="19050" cap="rnd">
              <a:solidFill>
                <a:schemeClr val="accent5"/>
              </a:solidFill>
              <a:round/>
            </a:ln>
            <a:effectLst/>
          </c:spPr>
          <c:marker>
            <c:symbol val="none"/>
          </c:marker>
          <c:xVal>
            <c:numRef>
              <c:f>OCO_Strength!$C$2:$T$2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xVal>
          <c:yVal>
            <c:numRef>
              <c:f>OCO_Strength!$C$7:$T$7</c:f>
              <c:numCache>
                <c:formatCode>_(* #,##0_);_(* \(#,##0\);_(* "-"??_);_(@_)</c:formatCode>
                <c:ptCount val="18"/>
                <c:pt idx="8">
                  <c:v>112000</c:v>
                </c:pt>
                <c:pt idx="9">
                  <c:v>113500</c:v>
                </c:pt>
                <c:pt idx="10">
                  <c:v>119095</c:v>
                </c:pt>
                <c:pt idx="11">
                  <c:v>105808</c:v>
                </c:pt>
                <c:pt idx="12">
                  <c:v>90556</c:v>
                </c:pt>
                <c:pt idx="13">
                  <c:v>80105</c:v>
                </c:pt>
                <c:pt idx="14">
                  <c:v>71978</c:v>
                </c:pt>
                <c:pt idx="15">
                  <c:v>71822</c:v>
                </c:pt>
                <c:pt idx="16">
                  <c:v>75571</c:v>
                </c:pt>
                <c:pt idx="17">
                  <c:v>72921</c:v>
                </c:pt>
              </c:numCache>
            </c:numRef>
          </c:yVal>
          <c:smooth val="0"/>
          <c:extLst>
            <c:ext xmlns:c16="http://schemas.microsoft.com/office/drawing/2014/chart" uri="{C3380CC4-5D6E-409C-BE32-E72D297353CC}">
              <c16:uniqueId val="{00000006-A9FF-1946-9B08-8CF5C89B9C7A}"/>
            </c:ext>
          </c:extLst>
        </c:ser>
        <c:ser>
          <c:idx val="2"/>
          <c:order val="7"/>
          <c:tx>
            <c:strRef>
              <c:f>OCO_Strength!$A$5</c:f>
              <c:strCache>
                <c:ptCount val="1"/>
                <c:pt idx="0">
                  <c:v>In-Theater</c:v>
                </c:pt>
              </c:strCache>
            </c:strRef>
          </c:tx>
          <c:spPr>
            <a:ln w="19050" cap="rnd">
              <a:solidFill>
                <a:schemeClr val="accent3"/>
              </a:solidFill>
              <a:round/>
            </a:ln>
            <a:effectLst/>
          </c:spPr>
          <c:marker>
            <c:symbol val="none"/>
          </c:marker>
          <c:xVal>
            <c:numRef>
              <c:f>OCO_Strength!$C$2:$T$2</c:f>
              <c:numCache>
                <c:formatCode>General</c:formatCode>
                <c:ptCount val="18"/>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numCache>
            </c:numRef>
          </c:xVal>
          <c:yVal>
            <c:numRef>
              <c:f>OCO_Strength!$B$5:$T$5</c:f>
              <c:numCache>
                <c:formatCode>#,##0</c:formatCode>
                <c:ptCount val="19"/>
                <c:pt idx="9">
                  <c:v>48200</c:v>
                </c:pt>
                <c:pt idx="10">
                  <c:v>62500</c:v>
                </c:pt>
                <c:pt idx="11">
                  <c:v>70889</c:v>
                </c:pt>
                <c:pt idx="12" formatCode="_(* #,##0_);_(* \(#,##0\);_(* &quot;-&quot;??_);_(@_)">
                  <c:v>68240</c:v>
                </c:pt>
                <c:pt idx="13" formatCode="_(* #,##0_);_(* \(#,##0\);_(* &quot;-&quot;??_);_(@_)">
                  <c:v>64417</c:v>
                </c:pt>
                <c:pt idx="14" formatCode="_(* #,##0_);_(* \(#,##0\);_(* &quot;-&quot;??_);_(@_)">
                  <c:v>59738</c:v>
                </c:pt>
                <c:pt idx="15" formatCode="_(* #,##0_);_(* \(#,##0\);_(* &quot;-&quot;??_);_(@_)">
                  <c:v>55958</c:v>
                </c:pt>
                <c:pt idx="16">
                  <c:v>55831</c:v>
                </c:pt>
                <c:pt idx="17" formatCode="_(* #,##0_);_(* \(#,##0\);_(* &quot;-&quot;??_);_(@_)">
                  <c:v>62486</c:v>
                </c:pt>
                <c:pt idx="18" formatCode="_(* #,##0_);_(* \(#,##0\);_(* &quot;-&quot;??_);_(@_)">
                  <c:v>56310</c:v>
                </c:pt>
              </c:numCache>
            </c:numRef>
          </c:yVal>
          <c:smooth val="0"/>
          <c:extLst>
            <c:ext xmlns:c16="http://schemas.microsoft.com/office/drawing/2014/chart" uri="{C3380CC4-5D6E-409C-BE32-E72D297353CC}">
              <c16:uniqueId val="{00000007-A9FF-1946-9B08-8CF5C89B9C7A}"/>
            </c:ext>
          </c:extLst>
        </c:ser>
        <c:ser>
          <c:idx val="3"/>
          <c:order val="8"/>
          <c:tx>
            <c:strRef>
              <c:f>OCO_Strength!$A$6</c:f>
              <c:strCache>
                <c:ptCount val="1"/>
                <c:pt idx="0">
                  <c:v>In CONUS/Other Mobilization</c:v>
                </c:pt>
              </c:strCache>
            </c:strRef>
          </c:tx>
          <c:spPr>
            <a:ln w="19050" cap="rnd">
              <a:solidFill>
                <a:schemeClr val="accent6"/>
              </a:solidFill>
              <a:prstDash val="dash"/>
              <a:round/>
            </a:ln>
            <a:effectLst/>
          </c:spPr>
          <c:marker>
            <c:symbol val="none"/>
          </c:marker>
          <c:xVal>
            <c:numRef>
              <c:f>OCO_Strength!$C$2:$U$2</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xVal>
          <c:yVal>
            <c:numRef>
              <c:f>OCO_Strength!$C$6:$U$6</c:f>
              <c:numCache>
                <c:formatCode>General</c:formatCode>
                <c:ptCount val="19"/>
                <c:pt idx="8" formatCode="#,##0">
                  <c:v>63800</c:v>
                </c:pt>
                <c:pt idx="9" formatCode="#,##0">
                  <c:v>51000</c:v>
                </c:pt>
                <c:pt idx="10" formatCode="#,##0">
                  <c:v>48206</c:v>
                </c:pt>
                <c:pt idx="11" formatCode="_(* #,##0_);_(* \(#,##0\);_(* &quot;-&quot;??_);_(@_)">
                  <c:v>37568</c:v>
                </c:pt>
                <c:pt idx="12" formatCode="_(* #,##0_);_(* \(#,##0\);_(* &quot;-&quot;??_);_(@_)">
                  <c:v>26139</c:v>
                </c:pt>
                <c:pt idx="13" formatCode="_(* #,##0_);_(* \(#,##0\);_(* &quot;-&quot;??_);_(@_)">
                  <c:v>20367</c:v>
                </c:pt>
                <c:pt idx="14" formatCode="_(* #,##0_);_(* \(#,##0\);_(* &quot;-&quot;??_);_(@_)">
                  <c:v>16020</c:v>
                </c:pt>
                <c:pt idx="15" formatCode="#,##0">
                  <c:v>15991</c:v>
                </c:pt>
                <c:pt idx="16" formatCode="_(* #,##0_);_(* \(#,##0\);_(* &quot;-&quot;??_);_(@_)">
                  <c:v>13085</c:v>
                </c:pt>
                <c:pt idx="17" formatCode="_(* #,##0_);_(* \(#,##0\);_(* &quot;-&quot;??_);_(@_)">
                  <c:v>16611</c:v>
                </c:pt>
                <c:pt idx="18" formatCode="_(* #,##0_);_(* \(#,##0\);_(* &quot;-&quot;??_);_(@_)">
                  <c:v>16611</c:v>
                </c:pt>
              </c:numCache>
            </c:numRef>
          </c:yVal>
          <c:smooth val="0"/>
          <c:extLst>
            <c:ext xmlns:c16="http://schemas.microsoft.com/office/drawing/2014/chart" uri="{C3380CC4-5D6E-409C-BE32-E72D297353CC}">
              <c16:uniqueId val="{00000008-A9FF-1946-9B08-8CF5C89B9C7A}"/>
            </c:ext>
          </c:extLst>
        </c:ser>
        <c:dLbls>
          <c:showLegendKey val="0"/>
          <c:showVal val="0"/>
          <c:showCatName val="0"/>
          <c:showSerName val="0"/>
          <c:showPercent val="0"/>
          <c:showBubbleSize val="0"/>
        </c:dLbls>
        <c:axId val="1797420320"/>
        <c:axId val="1797422368"/>
      </c:scatterChart>
      <c:valAx>
        <c:axId val="1797420320"/>
        <c:scaling>
          <c:orientation val="minMax"/>
          <c:max val="2019"/>
          <c:min val="2001"/>
        </c:scaling>
        <c:delete val="0"/>
        <c:axPos val="b"/>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22368"/>
        <c:crosses val="autoZero"/>
        <c:crossBetween val="midCat"/>
        <c:majorUnit val="1"/>
      </c:valAx>
      <c:valAx>
        <c:axId val="1797422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OCO Forces [Average Strength, 1000s]</a:t>
                </a:r>
              </a:p>
            </c:rich>
          </c:tx>
          <c:layout>
            <c:manualLayout>
              <c:xMode val="edge"/>
              <c:yMode val="edge"/>
              <c:x val="1.28423772609819E-2"/>
              <c:y val="0.25627594121585001"/>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 \K;\ ;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97420320"/>
        <c:crosses val="autoZero"/>
        <c:crossBetween val="midCat"/>
      </c:valAx>
      <c:spPr>
        <a:noFill/>
        <a:ln>
          <a:solidFill>
            <a:schemeClr val="tx1"/>
          </a:solidFill>
        </a:ln>
        <a:effectLst/>
      </c:spPr>
    </c:plotArea>
    <c:legend>
      <c:legendPos val="r"/>
      <c:layout>
        <c:manualLayout>
          <c:xMode val="edge"/>
          <c:yMode val="edge"/>
          <c:x val="9.2390146968063094E-2"/>
          <c:y val="4.5607446842424001E-2"/>
          <c:w val="0.204767475770955"/>
          <c:h val="0.34616213459147599"/>
        </c:manualLayout>
      </c:layout>
      <c:overlay val="0"/>
      <c:spPr>
        <a:solidFill>
          <a:schemeClr val="bg1"/>
        </a:solid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2323125199755899E-2"/>
          <c:y val="2.9323621227887599E-2"/>
          <c:w val="0.91720639509544699"/>
          <c:h val="0.91095053544945803"/>
        </c:manualLayout>
      </c:layout>
      <c:scatterChart>
        <c:scatterStyle val="lineMarker"/>
        <c:varyColors val="0"/>
        <c:ser>
          <c:idx val="0"/>
          <c:order val="0"/>
          <c:tx>
            <c:v>Deployed Forces</c:v>
          </c:tx>
          <c:spPr>
            <a:ln w="15875" cap="rnd">
              <a:solidFill>
                <a:srgbClr val="C00000"/>
              </a:solidFill>
              <a:round/>
            </a:ln>
            <a:effectLst/>
          </c:spPr>
          <c:marker>
            <c:symbol val="none"/>
          </c:marker>
          <c:xVal>
            <c:numRef>
              <c:f>OCO_Strength_CRS!$M$3:$AC$3</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xVal>
          <c:yVal>
            <c:numRef>
              <c:f>OCO_Strength_CRS!$M$6:$AC$6</c:f>
              <c:numCache>
                <c:formatCode>General</c:formatCode>
                <c:ptCount val="17"/>
                <c:pt idx="0">
                  <c:v>0</c:v>
                </c:pt>
                <c:pt idx="1">
                  <c:v>5241.666666666667</c:v>
                </c:pt>
                <c:pt idx="2">
                  <c:v>78112.5</c:v>
                </c:pt>
                <c:pt idx="3">
                  <c:v>146292.30769230769</c:v>
                </c:pt>
                <c:pt idx="4">
                  <c:v>160948.84999999998</c:v>
                </c:pt>
                <c:pt idx="5">
                  <c:v>159078.56666666665</c:v>
                </c:pt>
                <c:pt idx="6">
                  <c:v>168219.33333333334</c:v>
                </c:pt>
                <c:pt idx="7">
                  <c:v>186610.5</c:v>
                </c:pt>
                <c:pt idx="8">
                  <c:v>183657.29166666666</c:v>
                </c:pt>
                <c:pt idx="9">
                  <c:v>176146.66666666669</c:v>
                </c:pt>
                <c:pt idx="10">
                  <c:v>144853.75</c:v>
                </c:pt>
                <c:pt idx="11">
                  <c:v>99453.846153846156</c:v>
                </c:pt>
                <c:pt idx="12">
                  <c:v>63375</c:v>
                </c:pt>
                <c:pt idx="13">
                  <c:v>35925</c:v>
                </c:pt>
                <c:pt idx="14">
                  <c:v>11094.166666666666</c:v>
                </c:pt>
                <c:pt idx="15">
                  <c:v>13287</c:v>
                </c:pt>
                <c:pt idx="16">
                  <c:v>14236</c:v>
                </c:pt>
              </c:numCache>
            </c:numRef>
          </c:yVal>
          <c:smooth val="0"/>
          <c:extLst>
            <c:ext xmlns:c16="http://schemas.microsoft.com/office/drawing/2014/chart" uri="{C3380CC4-5D6E-409C-BE32-E72D297353CC}">
              <c16:uniqueId val="{00000000-3469-5F4E-A70A-51BCE4E0E2AC}"/>
            </c:ext>
          </c:extLst>
        </c:ser>
        <c:ser>
          <c:idx val="1"/>
          <c:order val="1"/>
          <c:tx>
            <c:v>Mil in Afg</c:v>
          </c:tx>
          <c:spPr>
            <a:ln w="19050" cap="rnd">
              <a:solidFill>
                <a:schemeClr val="accent6"/>
              </a:solidFill>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OCO_Strength_CRS!$S$9:$AB$9</c:f>
              <c:numCache>
                <c:formatCode>General</c:formatCode>
                <c:ptCount val="10"/>
                <c:pt idx="0">
                  <c:v>24056</c:v>
                </c:pt>
                <c:pt idx="1">
                  <c:v>30195.5</c:v>
                </c:pt>
                <c:pt idx="2">
                  <c:v>47062.5</c:v>
                </c:pt>
                <c:pt idx="3">
                  <c:v>84625</c:v>
                </c:pt>
                <c:pt idx="4">
                  <c:v>98450</c:v>
                </c:pt>
                <c:pt idx="5">
                  <c:v>86100</c:v>
                </c:pt>
                <c:pt idx="6">
                  <c:v>62150</c:v>
                </c:pt>
                <c:pt idx="7">
                  <c:v>33925</c:v>
                </c:pt>
                <c:pt idx="8">
                  <c:v>9465</c:v>
                </c:pt>
                <c:pt idx="9">
                  <c:v>8930</c:v>
                </c:pt>
              </c:numCache>
            </c:numRef>
          </c:yVal>
          <c:smooth val="0"/>
          <c:extLst>
            <c:ext xmlns:c16="http://schemas.microsoft.com/office/drawing/2014/chart" uri="{C3380CC4-5D6E-409C-BE32-E72D297353CC}">
              <c16:uniqueId val="{00000001-3469-5F4E-A70A-51BCE4E0E2AC}"/>
            </c:ext>
          </c:extLst>
        </c:ser>
        <c:ser>
          <c:idx val="2"/>
          <c:order val="2"/>
          <c:tx>
            <c:v>Ctr in Afg</c:v>
          </c:tx>
          <c:spPr>
            <a:ln w="19050" cap="rnd">
              <a:solidFill>
                <a:schemeClr val="accent6"/>
              </a:solidFill>
              <a:prstDash val="dash"/>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OCO_Strength_CRS!$S$10:$AB$10</c:f>
              <c:numCache>
                <c:formatCode>General</c:formatCode>
                <c:ptCount val="10"/>
                <c:pt idx="0">
                  <c:v>29473</c:v>
                </c:pt>
                <c:pt idx="1">
                  <c:v>49585</c:v>
                </c:pt>
                <c:pt idx="2">
                  <c:v>79505.25</c:v>
                </c:pt>
                <c:pt idx="3">
                  <c:v>99365.5</c:v>
                </c:pt>
                <c:pt idx="4">
                  <c:v>93182.25</c:v>
                </c:pt>
                <c:pt idx="5">
                  <c:v>113504.5</c:v>
                </c:pt>
                <c:pt idx="6">
                  <c:v>101395.75</c:v>
                </c:pt>
                <c:pt idx="7">
                  <c:v>59106.5</c:v>
                </c:pt>
                <c:pt idx="8">
                  <c:v>32392.75</c:v>
                </c:pt>
                <c:pt idx="9">
                  <c:v>30455</c:v>
                </c:pt>
              </c:numCache>
            </c:numRef>
          </c:yVal>
          <c:smooth val="0"/>
          <c:extLst>
            <c:ext xmlns:c16="http://schemas.microsoft.com/office/drawing/2014/chart" uri="{C3380CC4-5D6E-409C-BE32-E72D297353CC}">
              <c16:uniqueId val="{00000002-3469-5F4E-A70A-51BCE4E0E2AC}"/>
            </c:ext>
          </c:extLst>
        </c:ser>
        <c:ser>
          <c:idx val="3"/>
          <c:order val="3"/>
          <c:tx>
            <c:v>Mil in Iraq</c:v>
          </c:tx>
          <c:spPr>
            <a:ln w="19050" cap="rnd">
              <a:solidFill>
                <a:schemeClr val="accent2"/>
              </a:solidFill>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OCO_Strength_CRS!$S$11:$AB$11</c:f>
              <c:numCache>
                <c:formatCode>General</c:formatCode>
                <c:ptCount val="10"/>
                <c:pt idx="0">
                  <c:v>145065.5</c:v>
                </c:pt>
                <c:pt idx="1">
                  <c:v>156575</c:v>
                </c:pt>
                <c:pt idx="2">
                  <c:v>138592.75</c:v>
                </c:pt>
                <c:pt idx="3">
                  <c:v>86732.5</c:v>
                </c:pt>
                <c:pt idx="4">
                  <c:v>45932.5</c:v>
                </c:pt>
                <c:pt idx="5">
                  <c:v>11445</c:v>
                </c:pt>
                <c:pt idx="6">
                  <c:v>0</c:v>
                </c:pt>
                <c:pt idx="7">
                  <c:v>0</c:v>
                </c:pt>
                <c:pt idx="8">
                  <c:v>0</c:v>
                </c:pt>
                <c:pt idx="9">
                  <c:v>0</c:v>
                </c:pt>
              </c:numCache>
            </c:numRef>
          </c:yVal>
          <c:smooth val="0"/>
          <c:extLst>
            <c:ext xmlns:c16="http://schemas.microsoft.com/office/drawing/2014/chart" uri="{C3380CC4-5D6E-409C-BE32-E72D297353CC}">
              <c16:uniqueId val="{00000003-3469-5F4E-A70A-51BCE4E0E2AC}"/>
            </c:ext>
          </c:extLst>
        </c:ser>
        <c:ser>
          <c:idx val="4"/>
          <c:order val="4"/>
          <c:tx>
            <c:v>Ctr in Iraq</c:v>
          </c:tx>
          <c:spPr>
            <a:ln w="19050" cap="rnd">
              <a:solidFill>
                <a:schemeClr val="accent2"/>
              </a:solidFill>
              <a:prstDash val="dash"/>
              <a:round/>
            </a:ln>
            <a:effectLst/>
          </c:spPr>
          <c:marker>
            <c:symbol val="none"/>
          </c:marker>
          <c:xVal>
            <c:numRef>
              <c:f>OCO_Strength_CRS!$S$8:$AB$8</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xVal>
          <c:yVal>
            <c:numRef>
              <c:f>OCO_Strength_CRS!$S$12:$AB$12</c:f>
              <c:numCache>
                <c:formatCode>General</c:formatCode>
                <c:ptCount val="10"/>
                <c:pt idx="0">
                  <c:v>154825</c:v>
                </c:pt>
                <c:pt idx="1">
                  <c:v>159710.75</c:v>
                </c:pt>
                <c:pt idx="2">
                  <c:v>128524.25</c:v>
                </c:pt>
                <c:pt idx="3">
                  <c:v>87305.75</c:v>
                </c:pt>
                <c:pt idx="4">
                  <c:v>62680.25</c:v>
                </c:pt>
                <c:pt idx="5">
                  <c:v>12797.25</c:v>
                </c:pt>
                <c:pt idx="6">
                  <c:v>7678.25</c:v>
                </c:pt>
                <c:pt idx="7">
                  <c:v>3234</c:v>
                </c:pt>
                <c:pt idx="8">
                  <c:v>0</c:v>
                </c:pt>
                <c:pt idx="9">
                  <c:v>0</c:v>
                </c:pt>
              </c:numCache>
            </c:numRef>
          </c:yVal>
          <c:smooth val="0"/>
          <c:extLst>
            <c:ext xmlns:c16="http://schemas.microsoft.com/office/drawing/2014/chart" uri="{C3380CC4-5D6E-409C-BE32-E72D297353CC}">
              <c16:uniqueId val="{00000004-3469-5F4E-A70A-51BCE4E0E2AC}"/>
            </c:ext>
          </c:extLst>
        </c:ser>
        <c:ser>
          <c:idx val="5"/>
          <c:order val="5"/>
          <c:tx>
            <c:v>Total Active</c:v>
          </c:tx>
          <c:spPr>
            <a:ln w="19050" cap="rnd">
              <a:solidFill>
                <a:schemeClr val="tx1"/>
              </a:solidFill>
              <a:round/>
            </a:ln>
            <a:effectLst/>
          </c:spPr>
          <c:marker>
            <c:symbol val="none"/>
          </c:marker>
          <c:xVal>
            <c:numRef>
              <c:f>OCO_Strength_CRS!$M$3:$AC$3</c:f>
              <c:numCache>
                <c:formatCode>General</c:formatCode>
                <c:ptCount val="1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numCache>
            </c:numRef>
          </c:xVal>
          <c:yVal>
            <c:numRef>
              <c:f>OCO_Strength_CRS!$L$50:$AB$50</c:f>
              <c:numCache>
                <c:formatCode>General</c:formatCode>
                <c:ptCount val="17"/>
                <c:pt idx="0">
                  <c:v>1387000</c:v>
                </c:pt>
                <c:pt idx="1">
                  <c:v>1416000</c:v>
                </c:pt>
                <c:pt idx="2">
                  <c:v>1434000</c:v>
                </c:pt>
                <c:pt idx="3">
                  <c:v>1428000</c:v>
                </c:pt>
                <c:pt idx="4">
                  <c:v>1390000</c:v>
                </c:pt>
                <c:pt idx="5">
                  <c:v>1388000</c:v>
                </c:pt>
                <c:pt idx="6">
                  <c:v>1340000</c:v>
                </c:pt>
                <c:pt idx="7">
                  <c:v>1402000</c:v>
                </c:pt>
                <c:pt idx="8">
                  <c:v>1419000</c:v>
                </c:pt>
                <c:pt idx="9">
                  <c:v>1431000</c:v>
                </c:pt>
                <c:pt idx="10">
                  <c:v>1425000</c:v>
                </c:pt>
                <c:pt idx="11">
                  <c:v>1400000</c:v>
                </c:pt>
                <c:pt idx="12">
                  <c:v>1382000</c:v>
                </c:pt>
                <c:pt idx="13">
                  <c:v>1338000</c:v>
                </c:pt>
                <c:pt idx="14">
                  <c:v>1314000</c:v>
                </c:pt>
                <c:pt idx="15">
                  <c:v>1301000</c:v>
                </c:pt>
                <c:pt idx="16">
                  <c:v>1282000</c:v>
                </c:pt>
              </c:numCache>
            </c:numRef>
          </c:yVal>
          <c:smooth val="0"/>
          <c:extLst>
            <c:ext xmlns:c16="http://schemas.microsoft.com/office/drawing/2014/chart" uri="{C3380CC4-5D6E-409C-BE32-E72D297353CC}">
              <c16:uniqueId val="{00000005-3469-5F4E-A70A-51BCE4E0E2AC}"/>
            </c:ext>
          </c:extLst>
        </c:ser>
        <c:dLbls>
          <c:showLegendKey val="0"/>
          <c:showVal val="0"/>
          <c:showCatName val="0"/>
          <c:showSerName val="0"/>
          <c:showPercent val="0"/>
          <c:showBubbleSize val="0"/>
        </c:dLbls>
        <c:axId val="1757669040"/>
        <c:axId val="1757671360"/>
      </c:scatterChart>
      <c:valAx>
        <c:axId val="1757669040"/>
        <c:scaling>
          <c:orientation val="minMax"/>
          <c:max val="2018"/>
          <c:min val="2001"/>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671360"/>
        <c:crosses val="autoZero"/>
        <c:crossBetween val="midCat"/>
        <c:majorUnit val="1"/>
      </c:valAx>
      <c:valAx>
        <c:axId val="175767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Personnel [1000s]</a:t>
                </a:r>
              </a:p>
              <a:p>
                <a:pPr>
                  <a:defRPr/>
                </a:pPr>
                <a:endParaRPr lang="en-US"/>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757669040"/>
        <c:crosses val="autoZero"/>
        <c:crossBetween val="midCat"/>
      </c:valAx>
      <c:spPr>
        <a:noFill/>
        <a:ln>
          <a:noFill/>
        </a:ln>
        <a:effectLst/>
      </c:spPr>
    </c:plotArea>
    <c:legend>
      <c:legendPos val="r"/>
      <c:layout>
        <c:manualLayout>
          <c:xMode val="edge"/>
          <c:yMode val="edge"/>
          <c:x val="6.8081108173286498E-2"/>
          <c:y val="0.29149262169492102"/>
          <c:w val="0.13739685329924201"/>
          <c:h val="0.24635918949257299"/>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absoluteAnchor>
    <xdr:pos x="17954625" y="22621875"/>
    <xdr:ext cx="10604500" cy="6826250"/>
    <xdr:graphicFrame macro="">
      <xdr:nvGraphicFramePr>
        <xdr:cNvPr id="5" name="Chart 4">
          <a:extLst>
            <a:ext uri="{FF2B5EF4-FFF2-40B4-BE49-F238E27FC236}">
              <a16:creationId xmlns:a16="http://schemas.microsoft.com/office/drawing/2014/main" id="{2AE2855A-B57D-9F47-A6E2-FEE3ADD6175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30</xdr:col>
      <xdr:colOff>98425</xdr:colOff>
      <xdr:row>33</xdr:row>
      <xdr:rowOff>50800</xdr:rowOff>
    </xdr:from>
    <xdr:to>
      <xdr:col>43</xdr:col>
      <xdr:colOff>723900</xdr:colOff>
      <xdr:row>70</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38325424" y="7937500"/>
    <xdr:ext cx="10658475" cy="7556500"/>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38300024" y="244474"/>
    <xdr:ext cx="10683875" cy="7591425"/>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absoluteAnchor>
    <xdr:pos x="26095324" y="206374"/>
    <xdr:ext cx="12017376" cy="7566026"/>
    <xdr:graphicFrame macro="">
      <xdr:nvGraphicFramePr>
        <xdr:cNvPr id="8" name="Chart 7">
          <a:extLst>
            <a:ext uri="{FF2B5EF4-FFF2-40B4-BE49-F238E27FC236}">
              <a16:creationId xmlns:a16="http://schemas.microsoft.com/office/drawing/2014/main" id="{EB631C28-C1DB-3248-8639-8CDBAEE718F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17954625" y="22621875"/>
    <xdr:ext cx="10604500" cy="6826250"/>
    <xdr:graphicFrame macro="">
      <xdr:nvGraphicFramePr>
        <xdr:cNvPr id="2" name="Chart 1">
          <a:extLst>
            <a:ext uri="{FF2B5EF4-FFF2-40B4-BE49-F238E27FC236}">
              <a16:creationId xmlns:a16="http://schemas.microsoft.com/office/drawing/2014/main" id="{BB53724B-0310-1540-94CF-FABDB9400D1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31</xdr:col>
      <xdr:colOff>318731</xdr:colOff>
      <xdr:row>32</xdr:row>
      <xdr:rowOff>1178249</xdr:rowOff>
    </xdr:from>
    <xdr:to>
      <xdr:col>45</xdr:col>
      <xdr:colOff>114819</xdr:colOff>
      <xdr:row>69</xdr:row>
      <xdr:rowOff>129333</xdr:rowOff>
    </xdr:to>
    <xdr:graphicFrame macro="">
      <xdr:nvGraphicFramePr>
        <xdr:cNvPr id="2" name="Chart 1">
          <a:extLst>
            <a:ext uri="{FF2B5EF4-FFF2-40B4-BE49-F238E27FC236}">
              <a16:creationId xmlns:a16="http://schemas.microsoft.com/office/drawing/2014/main" id="{02112941-B489-2148-930E-3E4272783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38325424" y="7937500"/>
    <xdr:ext cx="10658475" cy="7556500"/>
    <xdr:graphicFrame macro="">
      <xdr:nvGraphicFramePr>
        <xdr:cNvPr id="3" name="Chart 2">
          <a:extLst>
            <a:ext uri="{FF2B5EF4-FFF2-40B4-BE49-F238E27FC236}">
              <a16:creationId xmlns:a16="http://schemas.microsoft.com/office/drawing/2014/main" id="{4A6558EE-B09D-3149-B4C2-7E76610D09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absoluteAnchor>
    <xdr:pos x="27059229" y="219592"/>
    <xdr:ext cx="12017376" cy="7566026"/>
    <xdr:graphicFrame macro="">
      <xdr:nvGraphicFramePr>
        <xdr:cNvPr id="5" name="Chart 4">
          <a:extLst>
            <a:ext uri="{FF2B5EF4-FFF2-40B4-BE49-F238E27FC236}">
              <a16:creationId xmlns:a16="http://schemas.microsoft.com/office/drawing/2014/main" id="{4DB9C6A3-A6CC-234E-85D9-B018F386519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2286000" y="4064000"/>
    <xdr:ext cx="8666788" cy="6280727"/>
    <xdr:graphicFrame macro="">
      <xdr:nvGraphicFramePr>
        <xdr:cNvPr id="2" name="Chart 1">
          <a:extLst>
            <a:ext uri="{FF2B5EF4-FFF2-40B4-BE49-F238E27FC236}">
              <a16:creationId xmlns:a16="http://schemas.microsoft.com/office/drawing/2014/main" id="{2E4899E7-F89B-8042-85BB-1F315A6652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twoCellAnchor>
    <xdr:from>
      <xdr:col>2</xdr:col>
      <xdr:colOff>88900</xdr:colOff>
      <xdr:row>13</xdr:row>
      <xdr:rowOff>63500</xdr:rowOff>
    </xdr:from>
    <xdr:to>
      <xdr:col>19</xdr:col>
      <xdr:colOff>800100</xdr:colOff>
      <xdr:row>44</xdr:row>
      <xdr:rowOff>38100</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215900</xdr:colOff>
      <xdr:row>14</xdr:row>
      <xdr:rowOff>31750</xdr:rowOff>
    </xdr:from>
    <xdr:to>
      <xdr:col>30</xdr:col>
      <xdr:colOff>520700</xdr:colOff>
      <xdr:row>46</xdr:row>
      <xdr:rowOff>38100</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C174" totalsRowShown="0" headerRowDxfId="17" dataDxfId="16" tableBorderDxfId="15">
  <autoFilter ref="A1:C174" xr:uid="{00000000-0009-0000-0100-000001000000}"/>
  <tableColumns count="3">
    <tableColumn id="1" xr3:uid="{00000000-0010-0000-0000-000001000000}" name="Month" dataDxfId="14" dataCellStyle="Normal 4"/>
    <tableColumn id="2" xr3:uid="{00000000-0010-0000-0000-000002000000}" name="Afghanistan In-Country" dataDxfId="13" dataCellStyle="Normal 3"/>
    <tableColumn id="3" xr3:uid="{00000000-0010-0000-0000-000003000000}" name="Iraq In-Country" dataDxfId="12" dataCellStyle="Normal 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81:D215" totalsRowShown="0" headerRowDxfId="11" dataDxfId="10">
  <autoFilter ref="A181:D215" xr:uid="{00000000-0009-0000-0100-000002000000}"/>
  <tableColumns count="4">
    <tableColumn id="1" xr3:uid="{00000000-0010-0000-0100-000001000000}" name="Quarter" dataDxfId="9"/>
    <tableColumn id="2" xr3:uid="{00000000-0010-0000-0100-000002000000}" name="Uniformed Military" dataDxfId="8"/>
    <tableColumn id="3" xr3:uid="{00000000-0010-0000-0100-000003000000}" name=" Contractors" dataDxfId="7"/>
    <tableColumn id="4" xr3:uid="{00000000-0010-0000-0100-000004000000}" name="Column1" dataDxfId="6">
      <calculatedColumnFormula>Table1[[#This Row],[ Contractors]]/Table1[[#This Row],[Uniformed Military]]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218:D244" totalsRowShown="0" headerRowDxfId="5" dataDxfId="4">
  <autoFilter ref="A218:D244" xr:uid="{00000000-0009-0000-0100-000003000000}"/>
  <tableColumns count="4">
    <tableColumn id="1" xr3:uid="{00000000-0010-0000-0200-000001000000}" name="Quarter" dataDxfId="3"/>
    <tableColumn id="2" xr3:uid="{00000000-0010-0000-0200-000002000000}" name="Uniformed Military Personnel" dataDxfId="2"/>
    <tableColumn id="3" xr3:uid="{00000000-0010-0000-0200-000003000000}" name=" Contractors" dataDxfId="1"/>
    <tableColumn id="4" xr3:uid="{00000000-0010-0000-0200-000004000000}" name="Column1" dataDxfId="0">
      <calculatedColumnFormula>Table14[[#This Row],[ Contractors]]/Table14[[#This Row],[Uniformed Military Personnel]]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7.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
  <sheetViews>
    <sheetView zoomScalePageLayoutView="80" workbookViewId="0">
      <selection activeCell="F9" sqref="F9"/>
    </sheetView>
  </sheetViews>
  <sheetFormatPr baseColWidth="10" defaultRowHeight="16"/>
  <cols>
    <col min="1" max="1" width="33" bestFit="1" customWidth="1"/>
    <col min="2" max="2" width="6.1640625" bestFit="1" customWidth="1"/>
    <col min="3" max="3" width="7.1640625" bestFit="1" customWidth="1"/>
    <col min="4" max="4" width="6.1640625" bestFit="1" customWidth="1"/>
    <col min="5" max="8" width="6.6640625" bestFit="1" customWidth="1"/>
    <col min="9" max="13" width="7.1640625" bestFit="1" customWidth="1"/>
    <col min="14" max="15" width="7.6640625" bestFit="1" customWidth="1"/>
    <col min="16" max="16" width="7.1640625" bestFit="1" customWidth="1"/>
    <col min="17" max="23" width="6.6640625" bestFit="1" customWidth="1"/>
  </cols>
  <sheetData>
    <row r="1" spans="1:23" s="3" customFormat="1" ht="19">
      <c r="A1" s="3" t="s">
        <v>324</v>
      </c>
      <c r="B1" s="3">
        <v>1990</v>
      </c>
      <c r="C1" s="3">
        <v>1991</v>
      </c>
      <c r="D1" s="3">
        <v>1992</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c r="A2" t="s">
        <v>302</v>
      </c>
      <c r="B2">
        <f>'98GulfWar'!B4/1000</f>
        <v>0.28100000000000003</v>
      </c>
      <c r="C2">
        <f>'98GulfWar'!C4/1000</f>
        <v>5.8239999999999998</v>
      </c>
      <c r="D2">
        <f>'98GulfWar'!D4/1000</f>
        <v>2.4089999999999998</v>
      </c>
      <c r="E2" s="4">
        <f>OCO_CBO_TOA!G3</f>
        <v>0.51500000000000001</v>
      </c>
      <c r="F2" s="4">
        <f>OCO_CBO_TOA!H3</f>
        <v>3.9060000000000001</v>
      </c>
      <c r="G2" s="4">
        <f>OCO_CBO_TOA!I3</f>
        <v>15.87</v>
      </c>
      <c r="H2" s="4">
        <f>OCO_CBO_TOA!J3</f>
        <v>18.004403</v>
      </c>
      <c r="I2" s="4">
        <f>OCO_CBO_TOA!K3</f>
        <v>18.505597000000002</v>
      </c>
      <c r="J2" s="4">
        <f>OCO_CBO_TOA!L3</f>
        <v>18.427</v>
      </c>
      <c r="K2" s="4">
        <f>OCO_CBO_TOA!M3</f>
        <v>18.811</v>
      </c>
      <c r="L2" s="4">
        <f>OCO_CBO_TOA!N3</f>
        <v>19.14</v>
      </c>
      <c r="M2" s="4">
        <f>OCO_CBO_TOA!O3</f>
        <v>20.454000000000001</v>
      </c>
      <c r="N2" s="4">
        <f>OCO_CBO_TOA!P3</f>
        <v>16.797000000000001</v>
      </c>
      <c r="O2" s="4">
        <f>OCO_CBO_TOA!Q3</f>
        <v>16.251000000000001</v>
      </c>
      <c r="P2" s="4">
        <f>OCO_CBO_TOA!R3</f>
        <v>11.292999999999999</v>
      </c>
      <c r="Q2" s="4">
        <f>OCO_CBO_TOA!S3</f>
        <v>14.26</v>
      </c>
      <c r="R2" s="4">
        <f>OCO_CBO_TOA!T3</f>
        <v>8.0820000000000007</v>
      </c>
      <c r="S2" s="4">
        <f>OCO_CBO_TOA!U3</f>
        <v>5.0309999999999997</v>
      </c>
      <c r="T2" s="4">
        <f>OCO_CBO_TOA!V3</f>
        <v>3.222</v>
      </c>
      <c r="U2" s="4">
        <f>OCO_CBO_TOA!W3</f>
        <v>3.7519999999999998</v>
      </c>
      <c r="V2" s="4">
        <f>OCO_CBO_TOA!X3</f>
        <v>3.839</v>
      </c>
      <c r="W2" s="4">
        <f>OCO_CBO_TOA!Y3</f>
        <v>4.6609999999999996</v>
      </c>
    </row>
    <row r="3" spans="1:23">
      <c r="A3" t="s">
        <v>3</v>
      </c>
      <c r="B3">
        <f>'98GulfWar'!B5/1000</f>
        <v>1.3280000000000001</v>
      </c>
      <c r="C3">
        <f>'98GulfWar'!C5/1000</f>
        <v>24.366</v>
      </c>
      <c r="D3">
        <f>'98GulfWar'!D5/1000</f>
        <v>8.1319999999999997</v>
      </c>
      <c r="E3" s="4">
        <f>OCO_CBO_TOA!G4</f>
        <v>14.204000000000001</v>
      </c>
      <c r="F3" s="4">
        <f>OCO_CBO_TOA!H4</f>
        <v>23.937999999999999</v>
      </c>
      <c r="G3" s="4">
        <f>OCO_CBO_TOA!I4</f>
        <v>47.640999999999998</v>
      </c>
      <c r="H3" s="4">
        <f>OCO_CBO_TOA!J4</f>
        <v>43.411563999999998</v>
      </c>
      <c r="I3" s="4">
        <f>OCO_CBO_TOA!K4</f>
        <v>57.978436000000002</v>
      </c>
      <c r="J3" s="4">
        <f>OCO_CBO_TOA!L4</f>
        <v>73.186000000000007</v>
      </c>
      <c r="K3" s="4">
        <f>OCO_CBO_TOA!M4</f>
        <v>92.052999999999997</v>
      </c>
      <c r="L3" s="4">
        <f>OCO_CBO_TOA!N4</f>
        <v>94.230999999999995</v>
      </c>
      <c r="M3" s="4">
        <f>OCO_CBO_TOA!O4</f>
        <v>92.747</v>
      </c>
      <c r="N3" s="4">
        <f>OCO_CBO_TOA!P4</f>
        <v>109.449</v>
      </c>
      <c r="O3" s="4">
        <f>OCO_CBO_TOA!Q4</f>
        <v>111.652</v>
      </c>
      <c r="P3" s="4">
        <f>OCO_CBO_TOA!R4</f>
        <v>86.775999999999996</v>
      </c>
      <c r="Q3" s="4">
        <f>OCO_CBO_TOA!S4</f>
        <v>58.35</v>
      </c>
      <c r="R3" s="4">
        <f>OCO_CBO_TOA!T4</f>
        <v>69.683999999999997</v>
      </c>
      <c r="S3" s="4">
        <f>OCO_CBO_TOA!U4</f>
        <v>50.984000000000002</v>
      </c>
      <c r="T3" s="4">
        <f>OCO_CBO_TOA!V4</f>
        <v>46.968000000000004</v>
      </c>
      <c r="U3" s="4">
        <f>OCO_CBO_TOA!W4</f>
        <v>60.134999999999998</v>
      </c>
      <c r="V3" s="4">
        <f>OCO_CBO_TOA!X4</f>
        <v>61.973999999999997</v>
      </c>
      <c r="W3" s="4">
        <f>OCO_CBO_TOA!Y4</f>
        <v>49.313000000000002</v>
      </c>
    </row>
    <row r="4" spans="1:23">
      <c r="A4" t="s">
        <v>4</v>
      </c>
      <c r="B4">
        <f>'98GulfWar'!B6/1000</f>
        <v>0.01</v>
      </c>
      <c r="C4">
        <f>'98GulfWar'!C6/1000</f>
        <v>5.2779999999999996</v>
      </c>
      <c r="D4">
        <f>'98GulfWar'!D6/1000</f>
        <v>1.95</v>
      </c>
      <c r="E4" s="4">
        <f>OCO_CBO_TOA!G5</f>
        <v>0</v>
      </c>
      <c r="F4" s="4">
        <f>OCO_CBO_TOA!H5</f>
        <v>2.5920000000000001</v>
      </c>
      <c r="G4" s="4">
        <f>OCO_CBO_TOA!I5</f>
        <v>10.388999999999999</v>
      </c>
      <c r="H4" s="4">
        <f>OCO_CBO_TOA!J5</f>
        <v>5.8107520000000008</v>
      </c>
      <c r="I4" s="4">
        <f>OCO_CBO_TOA!K5</f>
        <v>18.698248</v>
      </c>
      <c r="J4" s="4">
        <f>OCO_CBO_TOA!L5</f>
        <v>27.698</v>
      </c>
      <c r="K4" s="4">
        <f>OCO_CBO_TOA!M5</f>
        <v>50.765000000000001</v>
      </c>
      <c r="L4" s="4">
        <f>OCO_CBO_TOA!N5</f>
        <v>64.798000000000002</v>
      </c>
      <c r="M4" s="4">
        <f>OCO_CBO_TOA!O5</f>
        <v>32.853999999999999</v>
      </c>
      <c r="N4" s="4">
        <f>OCO_CBO_TOA!P5</f>
        <v>31.581</v>
      </c>
      <c r="O4" s="4">
        <f>OCO_CBO_TOA!Q5</f>
        <v>28.341000000000001</v>
      </c>
      <c r="P4" s="4">
        <f>OCO_CBO_TOA!R5</f>
        <v>16.052</v>
      </c>
      <c r="Q4" s="4">
        <f>OCO_CBO_TOA!S5</f>
        <v>9.218</v>
      </c>
      <c r="R4" s="4">
        <f>OCO_CBO_TOA!T5</f>
        <v>7.0259999999999998</v>
      </c>
      <c r="S4" s="4">
        <f>OCO_CBO_TOA!U5</f>
        <v>7.6870000000000003</v>
      </c>
      <c r="T4" s="4">
        <f>OCO_CBO_TOA!V5</f>
        <v>8.1289999999999996</v>
      </c>
      <c r="U4" s="4">
        <f>OCO_CBO_TOA!W5</f>
        <v>16.271000000000001</v>
      </c>
      <c r="V4" s="4">
        <f>OCO_CBO_TOA!X5</f>
        <v>18.420999999999999</v>
      </c>
      <c r="W4" s="4">
        <f>OCO_CBO_TOA!Y5</f>
        <v>12.782</v>
      </c>
    </row>
    <row r="5" spans="1:23">
      <c r="A5" t="s">
        <v>5</v>
      </c>
      <c r="B5">
        <f>'98GulfWar'!B7/1000</f>
        <v>8.9999999999999993E-3</v>
      </c>
      <c r="C5">
        <f>'98GulfWar'!C7/1000</f>
        <v>6.9000000000000006E-2</v>
      </c>
      <c r="D5">
        <f>'98GulfWar'!D7/1000</f>
        <v>0.106</v>
      </c>
      <c r="E5" s="4">
        <f>OCO_CBO_TOA!G6</f>
        <v>0.48699999999999999</v>
      </c>
      <c r="F5" s="4">
        <f>OCO_CBO_TOA!H6</f>
        <v>0.14499999999999999</v>
      </c>
      <c r="G5" s="4">
        <f>OCO_CBO_TOA!I6</f>
        <v>2.62</v>
      </c>
      <c r="H5" s="4">
        <f>OCO_CBO_TOA!J6</f>
        <v>0.33400000000000002</v>
      </c>
      <c r="I5" s="4">
        <f>OCO_CBO_TOA!K6</f>
        <v>0.64700000000000002</v>
      </c>
      <c r="J5" s="4">
        <f>OCO_CBO_TOA!L6</f>
        <v>0.81599999999999995</v>
      </c>
      <c r="K5" s="4">
        <f>OCO_CBO_TOA!M6</f>
        <v>1.5069999999999999</v>
      </c>
      <c r="L5" s="4">
        <f>OCO_CBO_TOA!N6</f>
        <v>1.669</v>
      </c>
      <c r="M5" s="4">
        <f>OCO_CBO_TOA!O6</f>
        <v>0.61199999999999999</v>
      </c>
      <c r="N5" s="4">
        <f>OCO_CBO_TOA!P6</f>
        <v>0.52500000000000002</v>
      </c>
      <c r="O5" s="4">
        <f>OCO_CBO_TOA!Q6</f>
        <v>0.95499999999999996</v>
      </c>
      <c r="P5" s="4">
        <f>OCO_CBO_TOA!R6</f>
        <v>0.52700000000000002</v>
      </c>
      <c r="Q5" s="4">
        <f>OCO_CBO_TOA!S6</f>
        <v>0.18</v>
      </c>
      <c r="R5" s="4">
        <f>OCO_CBO_TOA!T6</f>
        <v>0.13500000000000001</v>
      </c>
      <c r="S5" s="4">
        <f>OCO_CBO_TOA!U6</f>
        <v>0.32300000000000001</v>
      </c>
      <c r="T5" s="4">
        <f>OCO_CBO_TOA!V6</f>
        <v>0.23200000000000001</v>
      </c>
      <c r="U5" s="4">
        <f>OCO_CBO_TOA!W6</f>
        <v>1.534</v>
      </c>
      <c r="V5" s="4">
        <f>OCO_CBO_TOA!X6</f>
        <v>2.8260000000000001</v>
      </c>
      <c r="W5" s="4">
        <f>OCO_CBO_TOA!Y6</f>
        <v>1.3080000000000001</v>
      </c>
    </row>
    <row r="6" spans="1:23">
      <c r="A6" t="s">
        <v>304</v>
      </c>
      <c r="B6">
        <f>'98GulfWar'!B8/1000</f>
        <v>0</v>
      </c>
      <c r="C6">
        <f>'98GulfWar'!C8/1000</f>
        <v>3.5000000000000003E-2</v>
      </c>
      <c r="E6" s="4">
        <f>OCO_CBO_TOA!G7</f>
        <v>6.3E-2</v>
      </c>
      <c r="F6" s="4">
        <f>OCO_CBO_TOA!H7</f>
        <v>0.105</v>
      </c>
      <c r="G6" s="4">
        <f>OCO_CBO_TOA!I7</f>
        <v>0.9</v>
      </c>
      <c r="H6" s="4">
        <f>OCO_CBO_TOA!J7</f>
        <v>0.501</v>
      </c>
      <c r="I6" s="4">
        <f>OCO_CBO_TOA!K7</f>
        <v>1.276</v>
      </c>
      <c r="J6" s="4">
        <f>OCO_CBO_TOA!L7</f>
        <v>1.486</v>
      </c>
      <c r="K6" s="4">
        <f>OCO_CBO_TOA!M7</f>
        <v>4.8129999999999997</v>
      </c>
      <c r="L6" s="4">
        <f>OCO_CBO_TOA!N7</f>
        <v>4.234</v>
      </c>
      <c r="M6" s="4">
        <f>OCO_CBO_TOA!O7</f>
        <v>4.9160000000000004</v>
      </c>
      <c r="N6" s="4">
        <f>OCO_CBO_TOA!P7</f>
        <v>1.548</v>
      </c>
      <c r="O6" s="4">
        <f>OCO_CBO_TOA!Q7</f>
        <v>1.2230000000000001</v>
      </c>
      <c r="P6" s="4">
        <f>OCO_CBO_TOA!R7</f>
        <v>0</v>
      </c>
      <c r="Q6" s="4">
        <f>OCO_CBO_TOA!S7</f>
        <v>6.0000000000000001E-3</v>
      </c>
      <c r="R6" s="4">
        <f>OCO_CBO_TOA!T7</f>
        <v>0</v>
      </c>
      <c r="S6" s="4">
        <f>OCO_CBO_TOA!U7</f>
        <v>0.221</v>
      </c>
      <c r="T6" s="4">
        <f>OCO_CBO_TOA!V7</f>
        <v>0</v>
      </c>
      <c r="U6" s="4">
        <f>OCO_CBO_TOA!W7</f>
        <v>0.42</v>
      </c>
      <c r="V6" s="4">
        <f>OCO_CBO_TOA!X7</f>
        <v>0.63200000000000001</v>
      </c>
      <c r="W6" s="4">
        <f>OCO_CBO_TOA!Y7</f>
        <v>0.92100000000000004</v>
      </c>
    </row>
    <row r="7" spans="1:23">
      <c r="A7" t="s">
        <v>19</v>
      </c>
      <c r="E7" s="4">
        <f>OCO_CBO_TOA!G8</f>
        <v>0.06</v>
      </c>
      <c r="F7" s="4">
        <f>OCO_CBO_TOA!H8</f>
        <v>0</v>
      </c>
      <c r="G7" s="4">
        <f>OCO_CBO_TOA!I8</f>
        <v>3.2000000000000001E-2</v>
      </c>
      <c r="H7" s="4">
        <f>OCO_CBO_TOA!J8</f>
        <v>2.4E-2</v>
      </c>
      <c r="I7" s="4">
        <f>OCO_CBO_TOA!K8</f>
        <v>2.1000000000000001E-2</v>
      </c>
      <c r="J7" s="4">
        <f>OCO_CBO_TOA!L8</f>
        <v>0.46</v>
      </c>
      <c r="K7" s="4">
        <f>OCO_CBO_TOA!M8</f>
        <v>0</v>
      </c>
      <c r="L7" s="4">
        <f>OCO_CBO_TOA!N8</f>
        <v>1.2E-2</v>
      </c>
      <c r="M7" s="4">
        <f>OCO_CBO_TOA!O8</f>
        <v>0.69</v>
      </c>
      <c r="N7" s="4">
        <f>OCO_CBO_TOA!P8</f>
        <v>8.0000000000000002E-3</v>
      </c>
      <c r="O7" s="4">
        <f>OCO_CBO_TOA!Q8</f>
        <v>0</v>
      </c>
      <c r="P7" s="4">
        <f>OCO_CBO_TOA!R8</f>
        <v>0</v>
      </c>
      <c r="Q7" s="4">
        <f>OCO_CBO_TOA!S8</f>
        <v>0</v>
      </c>
      <c r="R7" s="4">
        <f>OCO_CBO_TOA!T8</f>
        <v>0</v>
      </c>
      <c r="S7" s="4">
        <f>OCO_CBO_TOA!U8</f>
        <v>0</v>
      </c>
      <c r="T7" s="4">
        <f>OCO_CBO_TOA!V8</f>
        <v>0</v>
      </c>
      <c r="U7" s="4">
        <f>OCO_CBO_TOA!W8</f>
        <v>0</v>
      </c>
      <c r="V7" s="4">
        <f>OCO_CBO_TOA!X8</f>
        <v>0</v>
      </c>
      <c r="W7" s="4">
        <f>OCO_CBO_TOA!Y8</f>
        <v>0</v>
      </c>
    </row>
    <row r="8" spans="1:23">
      <c r="A8" t="s">
        <v>8</v>
      </c>
      <c r="B8">
        <f>'98GulfWar'!B9/1000</f>
        <v>0.4</v>
      </c>
      <c r="C8">
        <f>'98GulfWar'!C9/1000</f>
        <v>0.27100000000000002</v>
      </c>
      <c r="E8" s="4">
        <f>OCO_CBO_TOA!G9</f>
        <v>0.17799999999999999</v>
      </c>
      <c r="F8" s="4">
        <f>OCO_CBO_TOA!H9</f>
        <v>0</v>
      </c>
      <c r="G8" s="4">
        <f>OCO_CBO_TOA!I9</f>
        <v>1.1240000000000001</v>
      </c>
      <c r="H8" s="4">
        <f>OCO_CBO_TOA!J9</f>
        <v>1.125534</v>
      </c>
      <c r="I8" s="4">
        <f>OCO_CBO_TOA!K9</f>
        <v>4.3234659999999998</v>
      </c>
      <c r="J8" s="4">
        <f>OCO_CBO_TOA!L9</f>
        <v>1.6510000000000002</v>
      </c>
      <c r="K8" s="4">
        <f>OCO_CBO_TOA!M9</f>
        <v>1.121</v>
      </c>
      <c r="L8" s="4">
        <f>OCO_CBO_TOA!N9</f>
        <v>2.6970000000000001</v>
      </c>
      <c r="M8" s="4">
        <f>OCO_CBO_TOA!O9</f>
        <v>0.86199999999999999</v>
      </c>
      <c r="N8" s="4">
        <f>OCO_CBO_TOA!P9</f>
        <v>0.45199999999999996</v>
      </c>
      <c r="O8" s="4">
        <f>OCO_CBO_TOA!Q9</f>
        <v>0.48499999999999999</v>
      </c>
      <c r="P8" s="4">
        <f>OCO_CBO_TOA!R9</f>
        <v>0.435</v>
      </c>
      <c r="Q8" s="4">
        <f>OCO_CBO_TOA!S9</f>
        <v>0.26800000000000002</v>
      </c>
      <c r="R8" s="4">
        <f>OCO_CBO_TOA!T9</f>
        <v>0.26500000000000001</v>
      </c>
      <c r="S8" s="4">
        <f>OCO_CBO_TOA!U9</f>
        <v>9.0999999999999998E-2</v>
      </c>
      <c r="T8" s="4">
        <f>OCO_CBO_TOA!V9</f>
        <v>8.8999999999999996E-2</v>
      </c>
      <c r="U8" s="4">
        <f>OCO_CBO_TOA!W9</f>
        <v>0.378</v>
      </c>
      <c r="V8" s="4">
        <f>OCO_CBO_TOA!X9</f>
        <v>0.42599999999999999</v>
      </c>
      <c r="W8" s="4">
        <f>OCO_CBO_TOA!Y9</f>
        <v>1.4999999999999999E-2</v>
      </c>
    </row>
    <row r="9" spans="1:23" ht="21">
      <c r="A9" s="144" t="s">
        <v>633</v>
      </c>
      <c r="B9" s="145">
        <f t="shared" ref="B9:U9" si="0">SUM(B2:B8)</f>
        <v>2.028</v>
      </c>
      <c r="C9" s="145">
        <f t="shared" si="0"/>
        <v>35.842999999999996</v>
      </c>
      <c r="D9" s="145">
        <f t="shared" si="0"/>
        <v>12.597</v>
      </c>
      <c r="E9" s="145">
        <f t="shared" si="0"/>
        <v>15.507000000000003</v>
      </c>
      <c r="F9" s="145">
        <f t="shared" si="0"/>
        <v>30.685999999999996</v>
      </c>
      <c r="G9" s="145">
        <f t="shared" si="0"/>
        <v>78.575999999999993</v>
      </c>
      <c r="H9" s="145">
        <f t="shared" si="0"/>
        <v>69.211253000000013</v>
      </c>
      <c r="I9" s="145">
        <f t="shared" si="0"/>
        <v>101.44974700000002</v>
      </c>
      <c r="J9" s="145">
        <f t="shared" si="0"/>
        <v>123.724</v>
      </c>
      <c r="K9" s="145">
        <f t="shared" si="0"/>
        <v>169.07000000000002</v>
      </c>
      <c r="L9" s="145">
        <f t="shared" si="0"/>
        <v>186.78100000000001</v>
      </c>
      <c r="M9" s="145">
        <f t="shared" si="0"/>
        <v>153.13499999999999</v>
      </c>
      <c r="N9" s="145">
        <f t="shared" si="0"/>
        <v>160.36000000000001</v>
      </c>
      <c r="O9" s="145">
        <f t="shared" si="0"/>
        <v>158.90700000000004</v>
      </c>
      <c r="P9" s="145">
        <f t="shared" si="0"/>
        <v>115.08299999999998</v>
      </c>
      <c r="Q9" s="145">
        <f t="shared" si="0"/>
        <v>82.282000000000011</v>
      </c>
      <c r="R9" s="145">
        <f t="shared" si="0"/>
        <v>85.191999999999993</v>
      </c>
      <c r="S9" s="145">
        <f t="shared" si="0"/>
        <v>64.336999999999989</v>
      </c>
      <c r="T9" s="145">
        <f t="shared" si="0"/>
        <v>58.64</v>
      </c>
      <c r="U9" s="145">
        <f t="shared" si="0"/>
        <v>82.490000000000009</v>
      </c>
      <c r="V9" s="145">
        <f>SUM(V2:V8)</f>
        <v>88.118000000000009</v>
      </c>
      <c r="W9" s="145">
        <f>SUM(W2:W8)</f>
        <v>69.000000000000014</v>
      </c>
    </row>
    <row r="10" spans="1:23">
      <c r="E10" s="89"/>
      <c r="F10" s="89"/>
      <c r="G10" s="89"/>
      <c r="H10" s="89"/>
      <c r="I10" s="89"/>
      <c r="J10" s="89"/>
      <c r="K10" s="89"/>
      <c r="L10" s="89"/>
      <c r="M10" s="89"/>
      <c r="N10" s="89"/>
      <c r="O10" s="89"/>
      <c r="P10" s="89"/>
      <c r="Q10" s="89"/>
      <c r="R10" s="89"/>
      <c r="S10" s="89"/>
      <c r="T10" s="89"/>
      <c r="U10" s="89"/>
      <c r="V10" s="89"/>
      <c r="W10" s="89"/>
    </row>
  </sheetData>
  <pageMargins left="0.7" right="0.7" top="0.75" bottom="0.75" header="0.3" footer="0.3"/>
  <pageSetup orientation="portrait" horizontalDpi="0" verticalDpi="0"/>
  <ignoredErrors>
    <ignoredError sqref="B9:V9" formulaRange="1"/>
  </ignoredError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59"/>
  <sheetViews>
    <sheetView zoomScaleNormal="100" zoomScalePageLayoutView="80" workbookViewId="0">
      <selection activeCell="K14" sqref="K14"/>
    </sheetView>
  </sheetViews>
  <sheetFormatPr baseColWidth="10" defaultRowHeight="16"/>
  <cols>
    <col min="1" max="1" width="38.6640625" bestFit="1" customWidth="1"/>
    <col min="2" max="2" width="1.6640625" bestFit="1" customWidth="1"/>
    <col min="3" max="3" width="5.83203125" bestFit="1" customWidth="1"/>
    <col min="4" max="5" width="6.6640625" bestFit="1" customWidth="1"/>
    <col min="6" max="6" width="1.6640625" bestFit="1" customWidth="1"/>
    <col min="7" max="13" width="12.1640625" bestFit="1" customWidth="1"/>
    <col min="14" max="14" width="14.6640625" bestFit="1" customWidth="1"/>
    <col min="15" max="24" width="12.1640625" bestFit="1" customWidth="1"/>
    <col min="25" max="25" width="11.33203125" customWidth="1"/>
    <col min="26" max="29" width="12.1640625" bestFit="1" customWidth="1"/>
    <col min="30" max="30" width="1.6640625" bestFit="1" customWidth="1"/>
  </cols>
  <sheetData>
    <row r="1" spans="1:30">
      <c r="B1" t="s">
        <v>18</v>
      </c>
      <c r="F1" t="s">
        <v>18</v>
      </c>
      <c r="AD1" t="s">
        <v>18</v>
      </c>
    </row>
    <row r="2" spans="1:30" s="3" customFormat="1" ht="19">
      <c r="A2" s="3" t="s">
        <v>324</v>
      </c>
      <c r="C2" s="3">
        <v>1990</v>
      </c>
      <c r="D2" s="3">
        <v>1991</v>
      </c>
      <c r="E2" s="3">
        <v>1992</v>
      </c>
      <c r="G2" s="3">
        <v>2001</v>
      </c>
      <c r="H2" s="3">
        <v>2002</v>
      </c>
      <c r="I2" s="3">
        <v>2003</v>
      </c>
      <c r="J2" s="3">
        <v>2004</v>
      </c>
      <c r="K2" s="3">
        <v>2005</v>
      </c>
      <c r="L2" s="3">
        <v>2006</v>
      </c>
      <c r="M2" s="3">
        <v>2007</v>
      </c>
      <c r="N2" s="3">
        <v>2008</v>
      </c>
      <c r="O2" s="3">
        <v>2009</v>
      </c>
      <c r="P2" s="3">
        <v>2010</v>
      </c>
      <c r="Q2" s="3">
        <v>2011</v>
      </c>
      <c r="R2" s="3">
        <v>2012</v>
      </c>
      <c r="S2" s="3">
        <v>2013</v>
      </c>
      <c r="T2" s="3">
        <v>2014</v>
      </c>
      <c r="U2" s="3">
        <v>2015</v>
      </c>
      <c r="V2" s="3">
        <v>2016</v>
      </c>
      <c r="W2" s="3">
        <v>2017</v>
      </c>
      <c r="X2" s="3">
        <v>2018</v>
      </c>
      <c r="Y2" s="3">
        <v>2019</v>
      </c>
      <c r="Z2" s="3">
        <v>2020</v>
      </c>
      <c r="AA2" s="3">
        <v>2021</v>
      </c>
      <c r="AB2" s="3">
        <v>2022</v>
      </c>
      <c r="AC2" s="3">
        <v>2023</v>
      </c>
    </row>
    <row r="3" spans="1:30">
      <c r="A3" t="s">
        <v>302</v>
      </c>
      <c r="C3" s="2">
        <f>'98GulfWar'!B4/1000</f>
        <v>0.28100000000000003</v>
      </c>
      <c r="D3" s="2">
        <f>'98GulfWar'!C4/1000</f>
        <v>5.8239999999999998</v>
      </c>
      <c r="E3" s="2">
        <f>'98GulfWar'!D4/1000</f>
        <v>2.4089999999999998</v>
      </c>
      <c r="F3" s="11"/>
      <c r="G3" s="4">
        <f>CBO_Enacted_PB16!G37/1000</f>
        <v>0.51500000000000001</v>
      </c>
      <c r="H3" s="4">
        <f>CBO_Enacted_PB16!H37/1000</f>
        <v>3.9060000000000001</v>
      </c>
      <c r="I3" s="4">
        <f>CBO_Enacted_PB16!I37/1000</f>
        <v>15.87</v>
      </c>
      <c r="J3" s="4">
        <f>CBO_Enacted_PB16!J37/1000</f>
        <v>18.004403</v>
      </c>
      <c r="K3" s="4">
        <f>CBO_Enacted_PB16!K37/1000</f>
        <v>18.505597000000002</v>
      </c>
      <c r="L3" s="4">
        <f>CBO_Enacted_PB16!L37/1000</f>
        <v>18.427</v>
      </c>
      <c r="M3" s="4">
        <f>CBO_Enacted_PB16!M37/1000</f>
        <v>18.811</v>
      </c>
      <c r="N3" s="4">
        <f>CBO_Enacted_PB16!N37/1000</f>
        <v>19.14</v>
      </c>
      <c r="O3" s="4">
        <f>CBO_Enacted_PB16!O37/1000</f>
        <v>20.454000000000001</v>
      </c>
      <c r="P3" s="4">
        <f>CBO_Enacted_PB16!P37/1000</f>
        <v>16.797000000000001</v>
      </c>
      <c r="Q3" s="4">
        <f>CBO_Enacted_PB16!Q37/1000</f>
        <v>16.251000000000001</v>
      </c>
      <c r="R3" s="4">
        <f>CBO_Enacted_PB16!R37/1000</f>
        <v>11.292999999999999</v>
      </c>
      <c r="S3" s="4">
        <f>CBO_Enacted_PB16!S37/1000</f>
        <v>14.26</v>
      </c>
      <c r="T3" s="4">
        <f>CBO_Enacted_PB16!T37/1000</f>
        <v>8.0820000000000007</v>
      </c>
      <c r="U3" s="4">
        <f>CBO_Enacted_PB16!U37/1000</f>
        <v>5.0309999999999997</v>
      </c>
      <c r="V3" s="4">
        <f>CBO_Enacted_PB16!V37/1000</f>
        <v>3.222</v>
      </c>
      <c r="W3" s="4">
        <f>OCO_DoD_BA!W3</f>
        <v>3.7519999999999998</v>
      </c>
      <c r="X3" s="4">
        <f>OCO_DoD_BA!X3</f>
        <v>3.839</v>
      </c>
      <c r="Y3" s="4">
        <f>OCO_DoD_BA!Y3</f>
        <v>4.6609999999999996</v>
      </c>
      <c r="Z3" s="4">
        <f>OCO_DoD_BA!Z3</f>
        <v>4.6609999999999996</v>
      </c>
      <c r="AA3" s="4">
        <f>OCO_DoD_BA!AA3</f>
        <v>4.6609999999999996</v>
      </c>
      <c r="AB3" s="4">
        <f>OCO_DoD_BA!AB3</f>
        <v>4.6609999999999996</v>
      </c>
      <c r="AC3" s="4">
        <f>OCO_DoD_BA!AC3</f>
        <v>4.6609999999999996</v>
      </c>
    </row>
    <row r="4" spans="1:30">
      <c r="A4" t="s">
        <v>3</v>
      </c>
      <c r="C4" s="2">
        <f>'98GulfWar'!B5/1000</f>
        <v>1.3280000000000001</v>
      </c>
      <c r="D4" s="2">
        <f>'98GulfWar'!C5/1000</f>
        <v>24.366</v>
      </c>
      <c r="E4" s="2">
        <f>'98GulfWar'!D5/1000</f>
        <v>8.1319999999999997</v>
      </c>
      <c r="F4" s="11"/>
      <c r="G4" s="4">
        <f>CBO_Enacted_PB16!G38/1000</f>
        <v>14.204000000000001</v>
      </c>
      <c r="H4" s="4">
        <f>CBO_Enacted_PB16!H38/1000</f>
        <v>23.937999999999999</v>
      </c>
      <c r="I4" s="4">
        <f>CBO_Enacted_PB16!I38/1000</f>
        <v>47.640999999999998</v>
      </c>
      <c r="J4" s="4">
        <f>CBO_Enacted_PB16!J38/1000</f>
        <v>43.411563999999998</v>
      </c>
      <c r="K4" s="4">
        <f>CBO_Enacted_PB16!K38/1000</f>
        <v>57.978436000000002</v>
      </c>
      <c r="L4" s="4">
        <f>CBO_Enacted_PB16!L38/1000</f>
        <v>73.186000000000007</v>
      </c>
      <c r="M4" s="4">
        <f>CBO_Enacted_PB16!M38/1000</f>
        <v>92.052999999999997</v>
      </c>
      <c r="N4" s="4">
        <f>CBO_Enacted_PB16!N38/1000</f>
        <v>94.230999999999995</v>
      </c>
      <c r="O4" s="4">
        <f>CBO_Enacted_PB16!O38/1000</f>
        <v>92.747</v>
      </c>
      <c r="P4" s="4">
        <f>CBO_Enacted_PB16!P38/1000</f>
        <v>109.449</v>
      </c>
      <c r="Q4" s="4">
        <f>CBO_Enacted_PB16!Q38/1000</f>
        <v>111.652</v>
      </c>
      <c r="R4" s="4">
        <f>CBO_Enacted_PB16!R38/1000</f>
        <v>86.775999999999996</v>
      </c>
      <c r="S4" s="4">
        <f>CBO_Enacted_PB16!S38/1000</f>
        <v>58.35</v>
      </c>
      <c r="T4" s="4">
        <f>CBO_Enacted_PB16!T38/1000</f>
        <v>69.683999999999997</v>
      </c>
      <c r="U4" s="4">
        <f>CBO_Enacted_PB16!U38/1000</f>
        <v>50.984000000000002</v>
      </c>
      <c r="V4" s="4">
        <f>CBO_Enacted_PB16!V38/1000</f>
        <v>46.968000000000004</v>
      </c>
      <c r="W4" s="4">
        <f>OCO_DoD_BA!W4</f>
        <v>60.134999999999998</v>
      </c>
      <c r="X4" s="4">
        <f>OCO_DoD_BA!X4</f>
        <v>61.973999999999997</v>
      </c>
      <c r="Y4" s="4">
        <f>OCO_DoD_BA!Y4</f>
        <v>49.313000000000002</v>
      </c>
      <c r="Z4" s="4">
        <f>OCO_DoD_BA!Z4</f>
        <v>15.339</v>
      </c>
      <c r="AA4" s="4">
        <f>OCO_DoD_BA!AA4</f>
        <v>15.339</v>
      </c>
      <c r="AB4" s="4">
        <f>OCO_DoD_BA!AB4</f>
        <v>15.339</v>
      </c>
      <c r="AC4" s="4">
        <f>OCO_DoD_BA!AC4</f>
        <v>15.339</v>
      </c>
    </row>
    <row r="5" spans="1:30">
      <c r="A5" t="s">
        <v>4</v>
      </c>
      <c r="C5" s="2">
        <f>'98GulfWar'!B6/1000</f>
        <v>0.01</v>
      </c>
      <c r="D5" s="2">
        <f>'98GulfWar'!C6/1000</f>
        <v>5.2779999999999996</v>
      </c>
      <c r="E5" s="2">
        <f>'98GulfWar'!D6/1000</f>
        <v>1.95</v>
      </c>
      <c r="F5" s="11"/>
      <c r="G5" s="4">
        <f>CBO_Enacted_PB16!G39/1000</f>
        <v>0</v>
      </c>
      <c r="H5" s="4">
        <f>CBO_Enacted_PB16!H39/1000</f>
        <v>2.5920000000000001</v>
      </c>
      <c r="I5" s="4">
        <f>CBO_Enacted_PB16!I39/1000</f>
        <v>10.388999999999999</v>
      </c>
      <c r="J5" s="4">
        <f>CBO_Enacted_PB16!J39/1000</f>
        <v>5.8107520000000008</v>
      </c>
      <c r="K5" s="4">
        <f>CBO_Enacted_PB16!K39/1000</f>
        <v>18.698248</v>
      </c>
      <c r="L5" s="4">
        <f>CBO_Enacted_PB16!L39/1000</f>
        <v>27.698</v>
      </c>
      <c r="M5" s="4">
        <f>CBO_Enacted_PB16!M39/1000</f>
        <v>50.765000000000001</v>
      </c>
      <c r="N5" s="4">
        <f>CBO_Enacted_PB16!N39/1000</f>
        <v>64.798000000000002</v>
      </c>
      <c r="O5" s="4">
        <f>CBO_Enacted_PB16!O39/1000</f>
        <v>32.853999999999999</v>
      </c>
      <c r="P5" s="4">
        <f>CBO_Enacted_PB16!P39/1000</f>
        <v>31.581</v>
      </c>
      <c r="Q5" s="4">
        <f>CBO_Enacted_PB16!Q39/1000</f>
        <v>28.341000000000001</v>
      </c>
      <c r="R5" s="4">
        <f>CBO_Enacted_PB16!R39/1000</f>
        <v>16.052</v>
      </c>
      <c r="S5" s="4">
        <f>CBO_Enacted_PB16!S39/1000</f>
        <v>9.218</v>
      </c>
      <c r="T5" s="4">
        <f>CBO_Enacted_PB16!T39/1000</f>
        <v>7.0259999999999998</v>
      </c>
      <c r="U5" s="4">
        <f>CBO_Enacted_PB16!U39/1000</f>
        <v>7.6870000000000003</v>
      </c>
      <c r="V5" s="4">
        <f>CBO_Enacted_PB16!V39/1000</f>
        <v>8.1289999999999996</v>
      </c>
      <c r="W5" s="4">
        <f>OCO_DoD_BA!W5</f>
        <v>16.271000000000001</v>
      </c>
      <c r="X5" s="4">
        <f>OCO_DoD_BA!X5</f>
        <v>18.420999999999999</v>
      </c>
      <c r="Y5" s="4">
        <f>OCO_DoD_BA!Y5</f>
        <v>12.782</v>
      </c>
      <c r="Z5" s="4">
        <f>OCO_DoD_BA!Z5</f>
        <v>0</v>
      </c>
      <c r="AA5" s="4">
        <f>OCO_DoD_BA!AA5</f>
        <v>0</v>
      </c>
      <c r="AB5" s="4">
        <f>OCO_DoD_BA!AB5</f>
        <v>0</v>
      </c>
      <c r="AC5" s="4">
        <f>OCO_DoD_BA!AC5</f>
        <v>0</v>
      </c>
    </row>
    <row r="6" spans="1:30">
      <c r="A6" t="s">
        <v>5</v>
      </c>
      <c r="C6" s="2">
        <f>'98GulfWar'!B7/1000</f>
        <v>8.9999999999999993E-3</v>
      </c>
      <c r="D6" s="2">
        <f>'98GulfWar'!C7/1000</f>
        <v>6.9000000000000006E-2</v>
      </c>
      <c r="E6" s="2">
        <f>'98GulfWar'!D7/1000</f>
        <v>0.106</v>
      </c>
      <c r="F6" s="11"/>
      <c r="G6" s="4">
        <f>CBO_Enacted_PB16!G40/1000</f>
        <v>0.48699999999999999</v>
      </c>
      <c r="H6" s="4">
        <f>CBO_Enacted_PB16!H40/1000</f>
        <v>0.14499999999999999</v>
      </c>
      <c r="I6" s="4">
        <f>CBO_Enacted_PB16!I40/1000</f>
        <v>2.62</v>
      </c>
      <c r="J6" s="4">
        <f>CBO_Enacted_PB16!J40/1000</f>
        <v>0.33400000000000002</v>
      </c>
      <c r="K6" s="4">
        <f>CBO_Enacted_PB16!K40/1000</f>
        <v>0.64700000000000002</v>
      </c>
      <c r="L6" s="4">
        <f>CBO_Enacted_PB16!L40/1000</f>
        <v>0.81599999999999995</v>
      </c>
      <c r="M6" s="4">
        <f>CBO_Enacted_PB16!M40/1000</f>
        <v>1.5069999999999999</v>
      </c>
      <c r="N6" s="4">
        <f>CBO_Enacted_PB16!N40/1000</f>
        <v>1.669</v>
      </c>
      <c r="O6" s="4">
        <f>CBO_Enacted_PB16!O40/1000</f>
        <v>0.61199999999999999</v>
      </c>
      <c r="P6" s="4">
        <f>CBO_Enacted_PB16!P40/1000</f>
        <v>0.52500000000000002</v>
      </c>
      <c r="Q6" s="4">
        <f>CBO_Enacted_PB16!Q40/1000</f>
        <v>0.95499999999999996</v>
      </c>
      <c r="R6" s="4">
        <f>CBO_Enacted_PB16!R40/1000</f>
        <v>0.52700000000000002</v>
      </c>
      <c r="S6" s="4">
        <f>CBO_Enacted_PB16!S40/1000</f>
        <v>0.18</v>
      </c>
      <c r="T6" s="4">
        <f>CBO_Enacted_PB16!T40/1000</f>
        <v>0.13500000000000001</v>
      </c>
      <c r="U6" s="4">
        <f>CBO_Enacted_PB16!U40/1000</f>
        <v>0.32300000000000001</v>
      </c>
      <c r="V6" s="4">
        <f>CBO_Enacted_PB16!V40/1000</f>
        <v>0.23200000000000001</v>
      </c>
      <c r="W6" s="4">
        <f>OCO_DoD_BA!W6</f>
        <v>1.534</v>
      </c>
      <c r="X6" s="4">
        <f>OCO_DoD_BA!X6</f>
        <v>2.8260000000000001</v>
      </c>
      <c r="Y6" s="4">
        <f>OCO_DoD_BA!Y6</f>
        <v>1.3080000000000001</v>
      </c>
      <c r="Z6" s="4">
        <f>OCO_DoD_BA!Z6</f>
        <v>0</v>
      </c>
      <c r="AA6" s="4">
        <f>OCO_DoD_BA!AA6</f>
        <v>0</v>
      </c>
      <c r="AB6" s="4">
        <f>OCO_DoD_BA!AB6</f>
        <v>0</v>
      </c>
      <c r="AC6" s="4">
        <f>OCO_DoD_BA!AC6</f>
        <v>0</v>
      </c>
    </row>
    <row r="7" spans="1:30">
      <c r="A7" t="s">
        <v>304</v>
      </c>
      <c r="C7" s="2">
        <f>'98GulfWar'!B8/1000</f>
        <v>0</v>
      </c>
      <c r="D7" s="2">
        <f>'98GulfWar'!C8/1000</f>
        <v>3.5000000000000003E-2</v>
      </c>
      <c r="E7" s="2">
        <f>'98GulfWar'!D8/1000</f>
        <v>0</v>
      </c>
      <c r="F7" s="11"/>
      <c r="G7" s="4">
        <f>CBO_Enacted_PB16!G41/1000</f>
        <v>6.3E-2</v>
      </c>
      <c r="H7" s="4">
        <f>CBO_Enacted_PB16!H41/1000</f>
        <v>0.105</v>
      </c>
      <c r="I7" s="4">
        <f>CBO_Enacted_PB16!I41/1000</f>
        <v>0.9</v>
      </c>
      <c r="J7" s="4">
        <f>CBO_Enacted_PB16!J41/1000</f>
        <v>0.501</v>
      </c>
      <c r="K7" s="4">
        <f>CBO_Enacted_PB16!K41/1000</f>
        <v>1.276</v>
      </c>
      <c r="L7" s="4">
        <f>CBO_Enacted_PB16!L41/1000</f>
        <v>1.486</v>
      </c>
      <c r="M7" s="4">
        <f>CBO_Enacted_PB16!M41/1000</f>
        <v>4.8129999999999997</v>
      </c>
      <c r="N7" s="4">
        <f>CBO_Enacted_PB16!N41/1000</f>
        <v>4.234</v>
      </c>
      <c r="O7" s="4">
        <f>CBO_Enacted_PB16!O41/1000</f>
        <v>4.9160000000000004</v>
      </c>
      <c r="P7" s="4">
        <f>CBO_Enacted_PB16!P41/1000</f>
        <v>1.548</v>
      </c>
      <c r="Q7" s="4">
        <f>CBO_Enacted_PB16!Q41/1000</f>
        <v>1.2230000000000001</v>
      </c>
      <c r="R7" s="4">
        <f>CBO_Enacted_PB16!R41/1000</f>
        <v>0</v>
      </c>
      <c r="S7" s="4">
        <f>CBO_Enacted_PB16!S41/1000</f>
        <v>6.0000000000000001E-3</v>
      </c>
      <c r="T7" s="4">
        <f>CBO_Enacted_PB16!T41/1000</f>
        <v>0</v>
      </c>
      <c r="U7" s="4">
        <f>CBO_Enacted_PB16!U41/1000</f>
        <v>0.221</v>
      </c>
      <c r="V7" s="4">
        <f>CBO_Enacted_PB16!V41/1000</f>
        <v>0</v>
      </c>
      <c r="W7" s="4">
        <f>OCO_DoD_BA!W7</f>
        <v>0.42</v>
      </c>
      <c r="X7" s="4">
        <f>OCO_DoD_BA!X7</f>
        <v>0.63200000000000001</v>
      </c>
      <c r="Y7" s="4">
        <f>OCO_DoD_BA!Y7</f>
        <v>0.92100000000000004</v>
      </c>
      <c r="Z7" s="4">
        <f>OCO_DoD_BA!Z7</f>
        <v>0</v>
      </c>
      <c r="AA7" s="4">
        <f>OCO_DoD_BA!AA7</f>
        <v>0</v>
      </c>
      <c r="AB7" s="4">
        <f>OCO_DoD_BA!AB7</f>
        <v>0</v>
      </c>
      <c r="AC7" s="4">
        <f>OCO_DoD_BA!AC7</f>
        <v>0</v>
      </c>
    </row>
    <row r="8" spans="1:30">
      <c r="A8" t="s">
        <v>19</v>
      </c>
      <c r="C8" s="2"/>
      <c r="D8" s="2"/>
      <c r="E8" s="2"/>
      <c r="F8" s="11"/>
      <c r="G8" s="4">
        <f>CBO_Enacted_PB16!G42/1000</f>
        <v>0.06</v>
      </c>
      <c r="H8" s="4">
        <f>CBO_Enacted_PB16!H42/1000</f>
        <v>0</v>
      </c>
      <c r="I8" s="4">
        <f>CBO_Enacted_PB16!I42/1000</f>
        <v>3.2000000000000001E-2</v>
      </c>
      <c r="J8" s="4">
        <f>CBO_Enacted_PB16!J42/1000</f>
        <v>2.4E-2</v>
      </c>
      <c r="K8" s="4">
        <f>CBO_Enacted_PB16!K42/1000</f>
        <v>2.1000000000000001E-2</v>
      </c>
      <c r="L8" s="4">
        <f>CBO_Enacted_PB16!L42/1000</f>
        <v>0.46</v>
      </c>
      <c r="M8" s="4">
        <f>CBO_Enacted_PB16!M42/1000</f>
        <v>0</v>
      </c>
      <c r="N8" s="4">
        <f>CBO_Enacted_PB16!N42/1000</f>
        <v>1.2E-2</v>
      </c>
      <c r="O8" s="4">
        <f>CBO_Enacted_PB16!O42/1000</f>
        <v>0.69</v>
      </c>
      <c r="P8" s="4">
        <f>CBO_Enacted_PB16!P42/1000</f>
        <v>8.0000000000000002E-3</v>
      </c>
      <c r="Q8" s="4">
        <f>CBO_Enacted_PB16!Q42/1000</f>
        <v>0</v>
      </c>
      <c r="R8" s="4">
        <f>CBO_Enacted_PB16!R42/1000</f>
        <v>0</v>
      </c>
      <c r="S8" s="4">
        <f>CBO_Enacted_PB16!S42/1000</f>
        <v>0</v>
      </c>
      <c r="T8" s="4">
        <f>CBO_Enacted_PB16!T42/1000</f>
        <v>0</v>
      </c>
      <c r="U8" s="4">
        <f>CBO_Enacted_PB16!U42/1000</f>
        <v>0</v>
      </c>
      <c r="V8" s="4">
        <f>CBO_Enacted_PB16!V42/1000</f>
        <v>0</v>
      </c>
      <c r="W8" s="4">
        <f>OCO_DoD_BA!W8</f>
        <v>0</v>
      </c>
      <c r="X8" s="4">
        <f>OCO_DoD_BA!X8</f>
        <v>0</v>
      </c>
      <c r="Y8" s="4">
        <f>OCO_DoD_BA!Y8</f>
        <v>0</v>
      </c>
      <c r="Z8" s="4">
        <f>OCO_DoD_BA!Z8</f>
        <v>0</v>
      </c>
      <c r="AA8" s="4">
        <f>OCO_DoD_BA!AA8</f>
        <v>0</v>
      </c>
      <c r="AB8" s="4">
        <f>OCO_DoD_BA!AB8</f>
        <v>0</v>
      </c>
      <c r="AC8" s="4">
        <f>OCO_DoD_BA!AC8</f>
        <v>0</v>
      </c>
    </row>
    <row r="9" spans="1:30">
      <c r="A9" t="s">
        <v>8</v>
      </c>
      <c r="C9" s="2">
        <f>'98GulfWar'!B9/1000</f>
        <v>0.4</v>
      </c>
      <c r="D9" s="2">
        <f>'98GulfWar'!C9/1000</f>
        <v>0.27100000000000002</v>
      </c>
      <c r="E9" s="2">
        <f>'98GulfWar'!D9/1000</f>
        <v>0</v>
      </c>
      <c r="F9" s="11"/>
      <c r="G9" s="4">
        <f>CBO_Enacted_PB16!G43/1000+CBO_Enacted_PB16!G44/1000</f>
        <v>0.17799999999999999</v>
      </c>
      <c r="H9" s="4">
        <f>CBO_Enacted_PB16!H43/1000+CBO_Enacted_PB16!H44/1000</f>
        <v>0</v>
      </c>
      <c r="I9" s="4">
        <f>CBO_Enacted_PB16!I43/1000+CBO_Enacted_PB16!I44/1000</f>
        <v>1.1240000000000001</v>
      </c>
      <c r="J9" s="4">
        <f>CBO_Enacted_PB16!J43/1000+CBO_Enacted_PB16!J44/1000</f>
        <v>1.125534</v>
      </c>
      <c r="K9" s="4">
        <f>CBO_Enacted_PB16!K43/1000+CBO_Enacted_PB16!K44/1000</f>
        <v>4.3234659999999998</v>
      </c>
      <c r="L9" s="4">
        <f>CBO_Enacted_PB16!L43/1000+CBO_Enacted_PB16!L44/1000</f>
        <v>1.6510000000000002</v>
      </c>
      <c r="M9" s="4">
        <f>CBO_Enacted_PB16!M43/1000+CBO_Enacted_PB16!M44/1000</f>
        <v>1.121</v>
      </c>
      <c r="N9" s="4">
        <f>CBO_Enacted_PB16!N43/1000+CBO_Enacted_PB16!N44/1000</f>
        <v>2.6970000000000001</v>
      </c>
      <c r="O9" s="4">
        <f>CBO_Enacted_PB16!O43/1000+CBO_Enacted_PB16!O44/1000</f>
        <v>0.86199999999999999</v>
      </c>
      <c r="P9" s="4">
        <f>CBO_Enacted_PB16!P43/1000+CBO_Enacted_PB16!P44/1000</f>
        <v>0.45199999999999996</v>
      </c>
      <c r="Q9" s="4">
        <f>CBO_Enacted_PB16!Q43/1000+CBO_Enacted_PB16!Q44/1000</f>
        <v>0.48499999999999999</v>
      </c>
      <c r="R9" s="4">
        <f>CBO_Enacted_PB16!R43/1000+CBO_Enacted_PB16!R44/1000</f>
        <v>0.435</v>
      </c>
      <c r="S9" s="4">
        <f>CBO_Enacted_PB16!S43/1000+CBO_Enacted_PB16!S44/1000</f>
        <v>0.26800000000000002</v>
      </c>
      <c r="T9" s="4">
        <f>CBO_Enacted_PB16!T43/1000+CBO_Enacted_PB16!T44/1000</f>
        <v>0.26500000000000001</v>
      </c>
      <c r="U9" s="4">
        <f>CBO_Enacted_PB16!U43/1000+CBO_Enacted_PB16!U44/1000</f>
        <v>9.0999999999999998E-2</v>
      </c>
      <c r="V9" s="4">
        <f>CBO_Enacted_PB16!V43/1000+CBO_Enacted_PB16!V44/1000</f>
        <v>8.8999999999999996E-2</v>
      </c>
      <c r="W9" s="4">
        <f>OCO_DoD_BA!W9</f>
        <v>0.378</v>
      </c>
      <c r="X9" s="4">
        <f>OCO_DoD_BA!X9</f>
        <v>0.42599999999999999</v>
      </c>
      <c r="Y9" s="4">
        <f>OCO_DoD_BA!Y9</f>
        <v>1.4999999999999999E-2</v>
      </c>
      <c r="Z9" s="4">
        <f>OCO_DoD_BA!Z9</f>
        <v>0</v>
      </c>
      <c r="AA9" s="4">
        <f>OCO_DoD_BA!AA9</f>
        <v>0</v>
      </c>
      <c r="AB9" s="4">
        <f>OCO_DoD_BA!AB9</f>
        <v>0</v>
      </c>
      <c r="AC9" s="4">
        <f>OCO_DoD_BA!AC9</f>
        <v>0</v>
      </c>
    </row>
    <row r="10" spans="1:30" s="5" customFormat="1" ht="11">
      <c r="E10" s="12"/>
      <c r="F10" s="12"/>
      <c r="G10" s="6"/>
      <c r="H10" s="6"/>
      <c r="I10" s="6"/>
      <c r="J10" s="6"/>
      <c r="K10" s="6"/>
      <c r="L10" s="6"/>
      <c r="M10" s="6"/>
      <c r="N10" s="6"/>
      <c r="O10" s="6"/>
      <c r="P10" s="6"/>
      <c r="Q10" s="6"/>
      <c r="R10" s="6"/>
      <c r="S10" s="6"/>
      <c r="T10" s="6"/>
      <c r="U10" s="6"/>
      <c r="V10" s="6"/>
      <c r="W10" s="6"/>
      <c r="X10" s="6"/>
      <c r="Y10" s="6"/>
      <c r="Z10" s="6"/>
      <c r="AA10" s="6"/>
      <c r="AB10" s="6"/>
      <c r="AC10" s="6"/>
    </row>
    <row r="11" spans="1:30" ht="21">
      <c r="A11" s="144" t="s">
        <v>633</v>
      </c>
      <c r="B11" s="144"/>
      <c r="C11" s="145">
        <f t="shared" ref="C11:E11" si="0">SUM(C3:C9)</f>
        <v>2.028</v>
      </c>
      <c r="D11" s="145">
        <f t="shared" si="0"/>
        <v>35.842999999999996</v>
      </c>
      <c r="E11" s="145">
        <f t="shared" si="0"/>
        <v>12.597</v>
      </c>
      <c r="F11" s="145"/>
      <c r="G11" s="145">
        <f t="shared" ref="G11:W11" si="1">SUM(G3:G9)</f>
        <v>15.507000000000003</v>
      </c>
      <c r="H11" s="145">
        <f t="shared" si="1"/>
        <v>30.685999999999996</v>
      </c>
      <c r="I11" s="145">
        <f t="shared" si="1"/>
        <v>78.575999999999993</v>
      </c>
      <c r="J11" s="145">
        <f t="shared" si="1"/>
        <v>69.211253000000013</v>
      </c>
      <c r="K11" s="145">
        <f t="shared" si="1"/>
        <v>101.44974700000002</v>
      </c>
      <c r="L11" s="145">
        <f t="shared" si="1"/>
        <v>123.724</v>
      </c>
      <c r="M11" s="145">
        <f t="shared" si="1"/>
        <v>169.07000000000002</v>
      </c>
      <c r="N11" s="145">
        <f t="shared" si="1"/>
        <v>186.78100000000001</v>
      </c>
      <c r="O11" s="145">
        <f t="shared" si="1"/>
        <v>153.13499999999999</v>
      </c>
      <c r="P11" s="145">
        <f t="shared" si="1"/>
        <v>160.36000000000001</v>
      </c>
      <c r="Q11" s="145">
        <f t="shared" si="1"/>
        <v>158.90700000000004</v>
      </c>
      <c r="R11" s="145">
        <f t="shared" si="1"/>
        <v>115.08299999999998</v>
      </c>
      <c r="S11" s="145">
        <f t="shared" si="1"/>
        <v>82.282000000000011</v>
      </c>
      <c r="T11" s="145">
        <f t="shared" si="1"/>
        <v>85.191999999999993</v>
      </c>
      <c r="U11" s="145">
        <f t="shared" si="1"/>
        <v>64.336999999999989</v>
      </c>
      <c r="V11" s="145">
        <f t="shared" si="1"/>
        <v>58.64</v>
      </c>
      <c r="W11" s="145">
        <f t="shared" si="1"/>
        <v>82.490000000000009</v>
      </c>
      <c r="X11" s="145">
        <f>SUM(X3:X9)</f>
        <v>88.118000000000009</v>
      </c>
      <c r="Y11" s="145">
        <f>SUM(Y3:Y9)</f>
        <v>69.000000000000014</v>
      </c>
      <c r="Z11" s="145">
        <f t="shared" ref="Z11:AC11" si="2">SUM(Z3:Z9)</f>
        <v>20</v>
      </c>
      <c r="AA11" s="145">
        <f t="shared" si="2"/>
        <v>20</v>
      </c>
      <c r="AB11" s="145">
        <f t="shared" si="2"/>
        <v>20</v>
      </c>
      <c r="AC11" s="145">
        <f t="shared" si="2"/>
        <v>20</v>
      </c>
    </row>
    <row r="12" spans="1:30" s="5" customFormat="1">
      <c r="A12" s="98" t="s">
        <v>634</v>
      </c>
      <c r="B12" s="98"/>
      <c r="C12" s="98"/>
      <c r="D12" s="98"/>
      <c r="E12" s="12"/>
      <c r="F12" s="12"/>
      <c r="G12" s="6"/>
      <c r="H12" s="6"/>
      <c r="I12" s="6"/>
      <c r="J12" s="6"/>
      <c r="K12" s="6"/>
      <c r="L12" s="6"/>
      <c r="M12" s="6"/>
      <c r="N12" s="6"/>
      <c r="O12" s="6"/>
      <c r="P12" s="6"/>
      <c r="Q12" s="6"/>
      <c r="R12" s="6"/>
      <c r="S12" s="6"/>
      <c r="T12" s="6"/>
      <c r="U12" s="6"/>
      <c r="V12" s="6"/>
      <c r="W12" s="6"/>
      <c r="X12" s="6"/>
      <c r="Y12" s="6"/>
      <c r="Z12" s="6"/>
      <c r="AA12" s="6"/>
      <c r="AB12" s="6"/>
      <c r="AC12" s="6"/>
    </row>
    <row r="13" spans="1:30">
      <c r="A13" t="s">
        <v>323</v>
      </c>
      <c r="E13" s="11"/>
      <c r="F13" s="11"/>
      <c r="G13" s="4">
        <f>G4+G9</f>
        <v>14.382000000000001</v>
      </c>
      <c r="H13" s="4">
        <f t="shared" ref="H13:W13" si="3">H4+H9</f>
        <v>23.937999999999999</v>
      </c>
      <c r="I13" s="4">
        <f t="shared" si="3"/>
        <v>48.765000000000001</v>
      </c>
      <c r="J13" s="4">
        <f t="shared" si="3"/>
        <v>44.537098</v>
      </c>
      <c r="K13" s="4">
        <f t="shared" si="3"/>
        <v>62.301901999999998</v>
      </c>
      <c r="L13" s="4">
        <f t="shared" si="3"/>
        <v>74.837000000000003</v>
      </c>
      <c r="M13" s="4">
        <f t="shared" si="3"/>
        <v>93.173999999999992</v>
      </c>
      <c r="N13" s="4">
        <f t="shared" si="3"/>
        <v>96.927999999999997</v>
      </c>
      <c r="O13" s="4">
        <f t="shared" si="3"/>
        <v>93.608999999999995</v>
      </c>
      <c r="P13" s="4">
        <f t="shared" si="3"/>
        <v>109.901</v>
      </c>
      <c r="Q13" s="4">
        <f t="shared" si="3"/>
        <v>112.137</v>
      </c>
      <c r="R13" s="4">
        <f t="shared" si="3"/>
        <v>87.210999999999999</v>
      </c>
      <c r="S13" s="4">
        <f t="shared" si="3"/>
        <v>58.618000000000002</v>
      </c>
      <c r="T13" s="4">
        <f t="shared" si="3"/>
        <v>69.948999999999998</v>
      </c>
      <c r="U13" s="4">
        <f t="shared" si="3"/>
        <v>51.075000000000003</v>
      </c>
      <c r="V13" s="4">
        <f t="shared" si="3"/>
        <v>47.057000000000002</v>
      </c>
      <c r="W13" s="4">
        <f t="shared" si="3"/>
        <v>60.512999999999998</v>
      </c>
      <c r="X13" s="4">
        <f>X4+X7</f>
        <v>62.605999999999995</v>
      </c>
      <c r="Y13" s="4">
        <f>Y4+Y7</f>
        <v>50.234000000000002</v>
      </c>
      <c r="Z13" s="4">
        <f t="shared" ref="Z13:AC13" si="4">Z4+Z7</f>
        <v>15.339</v>
      </c>
      <c r="AA13" s="4">
        <f t="shared" si="4"/>
        <v>15.339</v>
      </c>
      <c r="AB13" s="4">
        <f t="shared" si="4"/>
        <v>15.339</v>
      </c>
      <c r="AC13" s="4">
        <f t="shared" si="4"/>
        <v>15.339</v>
      </c>
    </row>
    <row r="14" spans="1:30">
      <c r="E14" s="11"/>
      <c r="F14" s="11"/>
      <c r="G14" s="2">
        <f>G5/G11</f>
        <v>0</v>
      </c>
      <c r="H14" s="2">
        <f t="shared" ref="H14:S14" si="5">H5/H11</f>
        <v>8.4468487258032993E-2</v>
      </c>
      <c r="I14" s="2">
        <f t="shared" si="5"/>
        <v>0.13221594379963347</v>
      </c>
      <c r="J14" s="2">
        <f t="shared" si="5"/>
        <v>8.3956751946103331E-2</v>
      </c>
      <c r="K14" s="2">
        <f t="shared" si="5"/>
        <v>0.18431044485502754</v>
      </c>
      <c r="L14" s="2">
        <f t="shared" si="5"/>
        <v>0.22386925737932817</v>
      </c>
      <c r="M14" s="2">
        <f t="shared" si="5"/>
        <v>0.3002602472348731</v>
      </c>
      <c r="N14" s="2">
        <f t="shared" si="5"/>
        <v>0.34691965456871954</v>
      </c>
      <c r="O14" s="2">
        <f t="shared" si="5"/>
        <v>0.21454272374049044</v>
      </c>
      <c r="P14" s="2">
        <f t="shared" si="5"/>
        <v>0.19693813918682962</v>
      </c>
      <c r="Q14" s="2">
        <f t="shared" si="5"/>
        <v>0.17834960070984912</v>
      </c>
      <c r="R14" s="2">
        <f t="shared" si="5"/>
        <v>0.13948193912219878</v>
      </c>
      <c r="S14" s="2">
        <f t="shared" si="5"/>
        <v>0.11202936243649886</v>
      </c>
    </row>
    <row r="15" spans="1:30" ht="19">
      <c r="A15" t="s">
        <v>683</v>
      </c>
      <c r="C15" s="3"/>
      <c r="D15" s="3"/>
      <c r="E15" s="3"/>
      <c r="G15" s="13">
        <v>0</v>
      </c>
      <c r="H15" s="13">
        <v>5241.666666666667</v>
      </c>
      <c r="I15" s="13">
        <v>78112.5</v>
      </c>
      <c r="J15" s="13">
        <v>146292.30769230769</v>
      </c>
      <c r="K15" s="13">
        <v>160948.84999999998</v>
      </c>
      <c r="L15" s="13">
        <v>159078.56666666665</v>
      </c>
      <c r="M15" s="13">
        <v>168219.33333333334</v>
      </c>
      <c r="N15" s="13">
        <v>186610.5</v>
      </c>
      <c r="O15" s="13">
        <v>183657.29166666666</v>
      </c>
      <c r="P15" s="13">
        <v>176146.66666666669</v>
      </c>
      <c r="Q15" s="13">
        <v>144853.75</v>
      </c>
      <c r="R15" s="13">
        <v>99453.846153846156</v>
      </c>
      <c r="S15" s="13">
        <v>63375</v>
      </c>
      <c r="T15" s="13">
        <v>35925</v>
      </c>
      <c r="U15" s="13">
        <v>11094.166666666666</v>
      </c>
      <c r="V15" s="13">
        <v>8938</v>
      </c>
    </row>
    <row r="17" spans="1:29" ht="19">
      <c r="A17" s="14" t="s">
        <v>385</v>
      </c>
      <c r="B17" s="14"/>
      <c r="C17" s="14"/>
      <c r="D17" s="14"/>
      <c r="E17" s="3"/>
      <c r="F17" s="3"/>
      <c r="G17" s="3">
        <v>2001</v>
      </c>
      <c r="H17" s="3">
        <v>2002</v>
      </c>
      <c r="I17" s="3">
        <v>2003</v>
      </c>
      <c r="J17" s="3">
        <v>2004</v>
      </c>
      <c r="K17" s="3">
        <v>2005</v>
      </c>
      <c r="L17" s="3">
        <v>2006</v>
      </c>
      <c r="M17" s="3">
        <v>2007</v>
      </c>
      <c r="N17" s="3">
        <v>2008</v>
      </c>
      <c r="O17" s="3">
        <v>2009</v>
      </c>
      <c r="P17" s="3">
        <v>2010</v>
      </c>
      <c r="Q17" s="3">
        <v>2011</v>
      </c>
      <c r="R17" s="3">
        <v>2012</v>
      </c>
      <c r="S17" s="3">
        <v>2013</v>
      </c>
      <c r="T17" s="3">
        <v>2014</v>
      </c>
      <c r="U17" s="3">
        <v>2015</v>
      </c>
      <c r="V17" s="3">
        <v>2016</v>
      </c>
      <c r="W17" s="3">
        <v>2017</v>
      </c>
      <c r="X17" s="3">
        <v>2017</v>
      </c>
      <c r="Y17" s="3">
        <v>2018</v>
      </c>
      <c r="Z17" s="3">
        <v>2019</v>
      </c>
      <c r="AA17" s="3">
        <v>2020</v>
      </c>
      <c r="AB17" s="3">
        <v>2021</v>
      </c>
      <c r="AC17" s="3">
        <v>2022</v>
      </c>
    </row>
    <row r="18" spans="1:29">
      <c r="A18" t="s">
        <v>3</v>
      </c>
      <c r="V18">
        <v>7.02</v>
      </c>
      <c r="W18">
        <v>3.5554999999999999</v>
      </c>
    </row>
    <row r="19" spans="1:29">
      <c r="A19" t="s">
        <v>4</v>
      </c>
      <c r="V19">
        <f>7.75-V18</f>
        <v>0.73000000000000043</v>
      </c>
      <c r="W19">
        <f>5.2-W18</f>
        <v>1.6445000000000003</v>
      </c>
    </row>
    <row r="21" spans="1:29">
      <c r="A21" s="99" t="s">
        <v>583</v>
      </c>
      <c r="B21" s="99"/>
      <c r="C21" s="147">
        <v>1990</v>
      </c>
      <c r="D21" s="147">
        <v>1990</v>
      </c>
      <c r="E21" s="147">
        <v>1990</v>
      </c>
      <c r="F21" s="146"/>
      <c r="G21" s="147">
        <v>2001</v>
      </c>
      <c r="H21" s="147">
        <v>2002</v>
      </c>
      <c r="I21" s="147">
        <v>2003</v>
      </c>
      <c r="J21" s="147">
        <v>2004</v>
      </c>
      <c r="K21" s="147">
        <v>2005</v>
      </c>
      <c r="L21" s="147">
        <v>2006</v>
      </c>
      <c r="M21" s="147">
        <v>2007</v>
      </c>
      <c r="N21" s="147">
        <v>2008</v>
      </c>
      <c r="O21" s="147">
        <v>2009</v>
      </c>
      <c r="P21" s="147">
        <v>2010</v>
      </c>
      <c r="Q21" s="147">
        <v>2011</v>
      </c>
      <c r="R21" s="147">
        <v>2012</v>
      </c>
      <c r="S21" s="147">
        <v>2013</v>
      </c>
      <c r="T21" s="147">
        <v>2014</v>
      </c>
      <c r="U21" s="147">
        <v>2015</v>
      </c>
      <c r="V21" s="147">
        <v>2016</v>
      </c>
      <c r="W21" s="147">
        <v>2017</v>
      </c>
      <c r="X21" s="147">
        <v>2018</v>
      </c>
      <c r="Y21" s="147">
        <v>2019</v>
      </c>
      <c r="Z21" s="147">
        <v>2020</v>
      </c>
      <c r="AA21" s="147">
        <v>2021</v>
      </c>
      <c r="AB21" s="147">
        <v>2022</v>
      </c>
      <c r="AC21" s="147">
        <v>2023</v>
      </c>
    </row>
    <row r="22" spans="1:29">
      <c r="A22" s="146"/>
      <c r="B22" s="146"/>
      <c r="C22" s="146"/>
      <c r="D22" s="146"/>
      <c r="E22" s="146"/>
      <c r="F22" s="146"/>
      <c r="G22" s="146">
        <f>'GB_Tab2-1'!C41/1000</f>
        <v>28.774000000000001</v>
      </c>
      <c r="H22" s="146">
        <f>'GB_Tab2-1'!D41/1000</f>
        <v>16.87</v>
      </c>
      <c r="I22" s="146">
        <f>'GB_Tab2-1'!E41/1000</f>
        <v>72.536000000000001</v>
      </c>
      <c r="J22" s="146">
        <f>'GB_Tab2-1'!F41/1000</f>
        <v>91.088999999999999</v>
      </c>
      <c r="K22" s="146">
        <f>'GB_Tab2-1'!G41/1000</f>
        <v>78.841999999999999</v>
      </c>
      <c r="L22" s="146">
        <f>'GB_Tab2-1'!H41/1000</f>
        <v>123.916</v>
      </c>
      <c r="M22" s="146">
        <f>'GB_Tab2-1'!I41/1000</f>
        <v>169.40899999999999</v>
      </c>
      <c r="N22" s="146">
        <f>'GB_Tab2-1'!J41/1000</f>
        <v>186.90799999999999</v>
      </c>
      <c r="O22" s="146">
        <f>'GB_Tab2-1'!K41/1000</f>
        <v>153.124</v>
      </c>
      <c r="P22" s="146">
        <f>'GB_Tab2-1'!L41/1000</f>
        <v>163.04499999999999</v>
      </c>
      <c r="Q22" s="146">
        <f>'GB_Tab2-1'!M41/1000</f>
        <v>158.78800000000001</v>
      </c>
      <c r="R22" s="146">
        <f>'GB_Tab2-1'!N41/1000</f>
        <v>115.083</v>
      </c>
      <c r="S22" s="146">
        <f>'GB_Tab2-1'!O41/1000</f>
        <v>82.085999999999999</v>
      </c>
      <c r="T22" s="146">
        <f>'GB_Tab2-1'!P41/1000</f>
        <v>85.153999999999996</v>
      </c>
      <c r="U22" s="146">
        <f>'GB_Tab2-1'!Q41/1000</f>
        <v>63.094999999999999</v>
      </c>
      <c r="V22" s="146">
        <f>'GB_Tab2-1'!R41/1000</f>
        <v>58.942</v>
      </c>
      <c r="W22" s="146">
        <f>'GB_Tab2-1'!S41/1000</f>
        <v>82.49</v>
      </c>
      <c r="X22" s="148">
        <f>X11</f>
        <v>88.118000000000009</v>
      </c>
      <c r="Y22" s="148">
        <f>Y11</f>
        <v>69.000000000000014</v>
      </c>
      <c r="Z22" s="148">
        <f t="shared" ref="Z22:AC22" si="6">Z11</f>
        <v>20</v>
      </c>
      <c r="AA22" s="148">
        <f t="shared" si="6"/>
        <v>20</v>
      </c>
      <c r="AB22" s="148">
        <f t="shared" si="6"/>
        <v>20</v>
      </c>
      <c r="AC22" s="148">
        <f t="shared" si="6"/>
        <v>20</v>
      </c>
    </row>
    <row r="23" spans="1:29">
      <c r="A23" s="149" t="s">
        <v>632</v>
      </c>
      <c r="B23" s="149"/>
      <c r="C23" s="149"/>
      <c r="D23" s="149"/>
      <c r="E23" s="149"/>
      <c r="F23" s="149"/>
      <c r="G23" s="150">
        <f>G11-G22</f>
        <v>-13.266999999999998</v>
      </c>
      <c r="H23" s="150">
        <f t="shared" ref="H23:W23" si="7">H11-H22</f>
        <v>13.815999999999995</v>
      </c>
      <c r="I23" s="150">
        <f t="shared" si="7"/>
        <v>6.039999999999992</v>
      </c>
      <c r="J23" s="150">
        <f t="shared" si="7"/>
        <v>-21.877746999999985</v>
      </c>
      <c r="K23" s="150">
        <f t="shared" si="7"/>
        <v>22.607747000000018</v>
      </c>
      <c r="L23" s="150">
        <f t="shared" si="7"/>
        <v>-0.19199999999999307</v>
      </c>
      <c r="M23" s="150">
        <f t="shared" si="7"/>
        <v>-0.33899999999997021</v>
      </c>
      <c r="N23" s="150">
        <f t="shared" si="7"/>
        <v>-0.12699999999998113</v>
      </c>
      <c r="O23" s="150">
        <f t="shared" si="7"/>
        <v>1.099999999999568E-2</v>
      </c>
      <c r="P23" s="150">
        <f t="shared" si="7"/>
        <v>-2.6849999999999739</v>
      </c>
      <c r="Q23" s="150">
        <f t="shared" si="7"/>
        <v>0.11900000000002819</v>
      </c>
      <c r="R23" s="150">
        <f t="shared" si="7"/>
        <v>0</v>
      </c>
      <c r="S23" s="150">
        <f t="shared" si="7"/>
        <v>0.19600000000001216</v>
      </c>
      <c r="T23" s="150">
        <f t="shared" si="7"/>
        <v>3.7999999999996703E-2</v>
      </c>
      <c r="U23" s="150">
        <f t="shared" si="7"/>
        <v>1.2419999999999902</v>
      </c>
      <c r="V23" s="150">
        <f t="shared" si="7"/>
        <v>-0.3019999999999996</v>
      </c>
      <c r="W23" s="150">
        <f t="shared" si="7"/>
        <v>0</v>
      </c>
      <c r="X23" s="150">
        <f t="shared" ref="X23:Y23" si="8">X11-X22</f>
        <v>0</v>
      </c>
      <c r="Y23" s="150">
        <f t="shared" si="8"/>
        <v>0</v>
      </c>
      <c r="Z23" s="150">
        <f t="shared" ref="Z23:AC23" si="9">Z11-Z22</f>
        <v>0</v>
      </c>
      <c r="AA23" s="150">
        <f t="shared" si="9"/>
        <v>0</v>
      </c>
      <c r="AB23" s="150">
        <f t="shared" si="9"/>
        <v>0</v>
      </c>
      <c r="AC23" s="150">
        <f t="shared" si="9"/>
        <v>0</v>
      </c>
    </row>
    <row r="24" spans="1:29">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row>
    <row r="25" spans="1:29">
      <c r="A25" s="99" t="s">
        <v>587</v>
      </c>
      <c r="B25" s="99"/>
      <c r="C25" s="147">
        <v>1990</v>
      </c>
      <c r="D25" s="147">
        <v>1990</v>
      </c>
      <c r="E25" s="147">
        <v>1990</v>
      </c>
      <c r="F25" s="146"/>
      <c r="G25" s="147">
        <v>2001</v>
      </c>
      <c r="H25" s="147">
        <v>2002</v>
      </c>
      <c r="I25" s="147">
        <v>2003</v>
      </c>
      <c r="J25" s="147">
        <v>2004</v>
      </c>
      <c r="K25" s="147">
        <v>2005</v>
      </c>
      <c r="L25" s="147">
        <v>2006</v>
      </c>
      <c r="M25" s="147">
        <v>2007</v>
      </c>
      <c r="N25" s="147">
        <v>2008</v>
      </c>
      <c r="O25" s="147">
        <v>2009</v>
      </c>
      <c r="P25" s="147">
        <v>2010</v>
      </c>
      <c r="Q25" s="147">
        <v>2011</v>
      </c>
      <c r="R25" s="147">
        <v>2012</v>
      </c>
      <c r="S25" s="147">
        <v>2013</v>
      </c>
      <c r="T25" s="147">
        <v>2014</v>
      </c>
      <c r="U25" s="147">
        <v>2015</v>
      </c>
      <c r="V25" s="147">
        <v>2016</v>
      </c>
      <c r="W25" s="147">
        <v>2017</v>
      </c>
      <c r="X25" s="147">
        <v>2018</v>
      </c>
      <c r="Y25" s="147">
        <v>2019</v>
      </c>
      <c r="Z25" s="147">
        <v>2020</v>
      </c>
      <c r="AA25" s="147">
        <v>2021</v>
      </c>
      <c r="AB25" s="147">
        <v>2022</v>
      </c>
      <c r="AC25" s="147">
        <v>2023</v>
      </c>
    </row>
    <row r="26" spans="1:29">
      <c r="A26" s="146" t="s">
        <v>588</v>
      </c>
      <c r="B26" s="146"/>
      <c r="C26" s="146"/>
      <c r="D26" s="146"/>
      <c r="E26" s="146"/>
      <c r="F26" s="146"/>
      <c r="G26" s="146">
        <f>GB_Tab6_1!BC18/1000</f>
        <v>316.54000000000002</v>
      </c>
      <c r="H26" s="146">
        <f>GB_Tab6_1!BD18/1000</f>
        <v>355.37799999999999</v>
      </c>
      <c r="I26" s="146">
        <f>GB_Tab6_1!BE18/1000</f>
        <v>433.024</v>
      </c>
      <c r="J26" s="146">
        <f>GB_Tab6_1!BF18/1000</f>
        <v>456.05200000000002</v>
      </c>
      <c r="K26" s="146">
        <f>GB_Tab6_1!BG18/1000</f>
        <v>502.476</v>
      </c>
      <c r="L26" s="146">
        <f>GB_Tab6_1!BH18/1000</f>
        <v>536.27200000000005</v>
      </c>
      <c r="M26" s="146">
        <f>GB_Tab6_1!BI18/1000</f>
        <v>603.87199999999996</v>
      </c>
      <c r="N26" s="146">
        <f>GB_Tab6_1!BJ18/1000</f>
        <v>669.279</v>
      </c>
      <c r="O26" s="146">
        <f>GB_Tab6_1!BK18/1000</f>
        <v>665.86099999999999</v>
      </c>
      <c r="P26" s="146">
        <f>GB_Tab6_1!BL18/1000</f>
        <v>691.79100000000005</v>
      </c>
      <c r="Q26" s="146">
        <f>GB_Tab6_1!BM18/1000</f>
        <v>689.09199999999998</v>
      </c>
      <c r="R26" s="146">
        <f>GB_Tab6_1!BN18/1000</f>
        <v>652.28800000000001</v>
      </c>
      <c r="S26" s="146">
        <f>GB_Tab6_1!BO18/1000</f>
        <v>585.39300000000003</v>
      </c>
      <c r="T26" s="146">
        <f>GB_Tab6_1!BP18/1000</f>
        <v>581.18799999999999</v>
      </c>
      <c r="U26" s="146">
        <f>GB_Tab6_1!BQ18/1000</f>
        <v>565.40300000000002</v>
      </c>
      <c r="V26" s="146">
        <f>GB_Tab6_1!BR18/1000</f>
        <v>587.97799999999995</v>
      </c>
      <c r="W26" s="146">
        <f>GB_Tab6_1!BS18/1000+W11</f>
        <v>691.77700000000004</v>
      </c>
      <c r="X26" s="146">
        <f>GB_Tab6_1!BT18/1000+X11</f>
        <v>700.58300000000008</v>
      </c>
      <c r="Y26" s="146">
        <f>GB_Tab6_1!BU18/1000+Y11</f>
        <v>755.35599999999999</v>
      </c>
      <c r="Z26" s="146">
        <f>GB_Tab6_1!BV18/1000+Z11</f>
        <v>701.31551879999995</v>
      </c>
      <c r="AA26" s="146">
        <f>GB_Tab6_1!BW18/1000+AA11</f>
        <v>713.97451087999991</v>
      </c>
      <c r="AB26" s="146">
        <f>GB_Tab6_1!BX18/1000+AB11</f>
        <v>727.39870987999973</v>
      </c>
      <c r="AC26" s="146">
        <f>GB_Tab6_1!BY18/1000+AC11</f>
        <v>741.79476287999989</v>
      </c>
    </row>
    <row r="27" spans="1:29">
      <c r="A27" s="146" t="s">
        <v>594</v>
      </c>
      <c r="B27" s="146"/>
      <c r="C27" s="146"/>
      <c r="D27" s="146"/>
      <c r="E27" s="146"/>
      <c r="F27" s="146"/>
      <c r="G27" s="148">
        <f>G26-G11</f>
        <v>301.03300000000002</v>
      </c>
      <c r="H27" s="148">
        <f t="shared" ref="H27:W27" si="10">H26-H11</f>
        <v>324.69200000000001</v>
      </c>
      <c r="I27" s="148">
        <f t="shared" si="10"/>
        <v>354.44799999999998</v>
      </c>
      <c r="J27" s="148">
        <f t="shared" si="10"/>
        <v>386.84074700000002</v>
      </c>
      <c r="K27" s="148">
        <f t="shared" si="10"/>
        <v>401.026253</v>
      </c>
      <c r="L27" s="148">
        <f t="shared" si="10"/>
        <v>412.54800000000006</v>
      </c>
      <c r="M27" s="148">
        <f t="shared" si="10"/>
        <v>434.80199999999991</v>
      </c>
      <c r="N27" s="148">
        <f t="shared" si="10"/>
        <v>482.49799999999999</v>
      </c>
      <c r="O27" s="148">
        <f t="shared" si="10"/>
        <v>512.726</v>
      </c>
      <c r="P27" s="148">
        <f t="shared" si="10"/>
        <v>531.43100000000004</v>
      </c>
      <c r="Q27" s="148">
        <f t="shared" si="10"/>
        <v>530.18499999999995</v>
      </c>
      <c r="R27" s="148">
        <f t="shared" si="10"/>
        <v>537.20500000000004</v>
      </c>
      <c r="S27" s="148">
        <f t="shared" si="10"/>
        <v>503.11099999999999</v>
      </c>
      <c r="T27" s="148">
        <f t="shared" si="10"/>
        <v>495.99599999999998</v>
      </c>
      <c r="U27" s="148">
        <f t="shared" si="10"/>
        <v>501.06600000000003</v>
      </c>
      <c r="V27" s="148">
        <f t="shared" si="10"/>
        <v>529.33799999999997</v>
      </c>
      <c r="W27" s="148">
        <f t="shared" si="10"/>
        <v>609.28700000000003</v>
      </c>
      <c r="X27" s="148">
        <f t="shared" ref="X27:Y27" si="11">X26-X11</f>
        <v>612.46500000000003</v>
      </c>
      <c r="Y27" s="148">
        <f t="shared" si="11"/>
        <v>686.35599999999999</v>
      </c>
      <c r="Z27" s="148">
        <f t="shared" ref="Z27:AB27" si="12">Z26-Z11</f>
        <v>681.31551879999995</v>
      </c>
      <c r="AA27" s="148">
        <f t="shared" si="12"/>
        <v>693.97451087999991</v>
      </c>
      <c r="AB27" s="148">
        <f t="shared" si="12"/>
        <v>707.39870987999973</v>
      </c>
      <c r="AC27" s="148">
        <f t="shared" ref="AC27" si="13">AC26-AC11</f>
        <v>721.79476287999989</v>
      </c>
    </row>
    <row r="28" spans="1:29">
      <c r="A28" s="146" t="s">
        <v>595</v>
      </c>
      <c r="B28" s="146"/>
      <c r="C28" s="146"/>
      <c r="D28" s="146"/>
      <c r="E28" s="146"/>
      <c r="F28" s="146"/>
      <c r="G28" s="151">
        <f t="shared" ref="G28:V28" si="14">G11/(G26)</f>
        <v>4.8989069311935307E-2</v>
      </c>
      <c r="H28" s="151">
        <f t="shared" si="14"/>
        <v>8.6347494780205855E-2</v>
      </c>
      <c r="I28" s="151">
        <f t="shared" si="14"/>
        <v>0.18145876441028672</v>
      </c>
      <c r="J28" s="151">
        <f t="shared" si="14"/>
        <v>0.15176175743117015</v>
      </c>
      <c r="K28" s="151">
        <f t="shared" si="14"/>
        <v>0.20189968675120806</v>
      </c>
      <c r="L28" s="151">
        <f t="shared" si="14"/>
        <v>0.23071128084255749</v>
      </c>
      <c r="M28" s="151">
        <f t="shared" si="14"/>
        <v>0.27997655132213456</v>
      </c>
      <c r="N28" s="151">
        <f t="shared" si="14"/>
        <v>0.27907793311907292</v>
      </c>
      <c r="O28" s="151">
        <f t="shared" si="14"/>
        <v>0.22998043135128801</v>
      </c>
      <c r="P28" s="151">
        <f t="shared" si="14"/>
        <v>0.23180411424837849</v>
      </c>
      <c r="Q28" s="151">
        <f t="shared" si="14"/>
        <v>0.23060346078607796</v>
      </c>
      <c r="R28" s="151">
        <f t="shared" si="14"/>
        <v>0.17642973655808475</v>
      </c>
      <c r="S28" s="151">
        <f t="shared" si="14"/>
        <v>0.14055856492988472</v>
      </c>
      <c r="T28" s="151">
        <f t="shared" si="14"/>
        <v>0.14658251718893026</v>
      </c>
      <c r="U28" s="151">
        <f t="shared" si="14"/>
        <v>0.11378963323505532</v>
      </c>
      <c r="V28" s="151">
        <f t="shared" si="14"/>
        <v>9.9731622611730381E-2</v>
      </c>
      <c r="W28" s="151">
        <f>(W11)/(W26)</f>
        <v>0.11924362908856467</v>
      </c>
      <c r="X28" s="151">
        <f>(X11)/(X26)</f>
        <v>0.12577810195223121</v>
      </c>
      <c r="Y28" s="151">
        <f>(Y11)/(Y26)</f>
        <v>9.1347655939715861E-2</v>
      </c>
      <c r="Z28" s="151">
        <f t="shared" ref="Z28:AB28" si="15">(Z11)/(Z26)</f>
        <v>2.851783464626792E-2</v>
      </c>
      <c r="AA28" s="151">
        <f t="shared" si="15"/>
        <v>2.8012204490814752E-2</v>
      </c>
      <c r="AB28" s="151">
        <f t="shared" si="15"/>
        <v>2.7495237107719693E-2</v>
      </c>
      <c r="AC28" s="151">
        <f t="shared" ref="AC28" si="16">(AC11)/(AC26)</f>
        <v>2.6961635483041823E-2</v>
      </c>
    </row>
    <row r="33" spans="1:29" ht="102">
      <c r="A33" s="10" t="s">
        <v>682</v>
      </c>
    </row>
    <row r="34" spans="1:29">
      <c r="A34" s="143" t="s">
        <v>330</v>
      </c>
      <c r="B34" s="143"/>
      <c r="C34" s="11">
        <f>pgdp!AP3</f>
        <v>0.56428721491600942</v>
      </c>
      <c r="D34" s="11">
        <f>pgdp!AQ3</f>
        <v>0.5843159113504327</v>
      </c>
      <c r="E34" s="11">
        <f>pgdp!AR3</f>
        <v>0.59862364502672549</v>
      </c>
      <c r="F34" s="2"/>
      <c r="G34" s="2">
        <f>pgdp!BA3</f>
        <v>0.71033050332114134</v>
      </c>
      <c r="H34" s="2">
        <f>pgdp!BB3</f>
        <v>0.72177029812501559</v>
      </c>
      <c r="I34" s="2">
        <f>pgdp!BC3</f>
        <v>0.73558157581522121</v>
      </c>
      <c r="J34" s="2">
        <f>pgdp!BD3</f>
        <v>0.75378638244667995</v>
      </c>
      <c r="K34" s="2">
        <f>pgdp!BE3</f>
        <v>0.77750760344715164</v>
      </c>
      <c r="L34" s="2">
        <f>pgdp!BF3</f>
        <v>0.80275228380407149</v>
      </c>
      <c r="M34" s="2">
        <f>pgdp!BG3</f>
        <v>0.82459421647952613</v>
      </c>
      <c r="N34" s="2">
        <f>pgdp!BH3</f>
        <v>0.84165483055935886</v>
      </c>
      <c r="O34" s="2">
        <f>pgdp!BI3</f>
        <v>0.85147741466177274</v>
      </c>
      <c r="P34" s="2">
        <f>pgdp!BJ3</f>
        <v>0.85894343086456204</v>
      </c>
      <c r="Q34" s="2">
        <f>pgdp!BK3</f>
        <v>0.87638757317399019</v>
      </c>
      <c r="R34" s="2">
        <f>pgdp!BL3</f>
        <v>0.89246166741880806</v>
      </c>
      <c r="S34" s="2">
        <f>pgdp!BM3</f>
        <v>0.9075385882666781</v>
      </c>
      <c r="T34" s="2">
        <f>pgdp!BN3</f>
        <v>0.9240281714268912</v>
      </c>
      <c r="U34" s="2">
        <f>pgdp!BO3</f>
        <v>0.9351696664966358</v>
      </c>
      <c r="V34" s="2">
        <f>pgdp!BP3</f>
        <v>0.94602138468179731</v>
      </c>
      <c r="W34" s="2">
        <f>pgdp!BQ3</f>
        <v>0.96224036736890672</v>
      </c>
      <c r="X34" s="2">
        <f>pgdp!BR3</f>
        <v>0.9807153483309915</v>
      </c>
      <c r="Y34" s="2">
        <f>pgdp!BS3</f>
        <v>1</v>
      </c>
      <c r="Z34" s="2">
        <f>pgdp!BT3</f>
        <v>1.0210420632455099</v>
      </c>
      <c r="AA34" s="2">
        <f>pgdp!BU3</f>
        <v>1.043176968874127</v>
      </c>
      <c r="AB34" s="2">
        <f>pgdp!BV3</f>
        <v>1.065750801254393</v>
      </c>
      <c r="AC34" s="2">
        <f>pgdp!BW3</f>
        <v>1.0890130668067819</v>
      </c>
    </row>
    <row r="35" spans="1:29" s="3" customFormat="1" ht="19">
      <c r="A35" s="3" t="s">
        <v>599</v>
      </c>
      <c r="C35" s="3">
        <v>1990</v>
      </c>
      <c r="D35" s="3">
        <v>1991</v>
      </c>
      <c r="E35" s="3">
        <v>1992</v>
      </c>
      <c r="G35" s="3">
        <v>2001</v>
      </c>
      <c r="H35" s="3">
        <v>2002</v>
      </c>
      <c r="I35" s="3">
        <v>2003</v>
      </c>
      <c r="J35" s="3">
        <v>2004</v>
      </c>
      <c r="K35" s="3">
        <v>2005</v>
      </c>
      <c r="L35" s="3">
        <v>2006</v>
      </c>
      <c r="M35" s="3">
        <v>2007</v>
      </c>
      <c r="N35" s="3">
        <v>2008</v>
      </c>
      <c r="O35" s="3">
        <v>2009</v>
      </c>
      <c r="P35" s="3">
        <v>2010</v>
      </c>
      <c r="Q35" s="3">
        <v>2011</v>
      </c>
      <c r="R35" s="3">
        <v>2012</v>
      </c>
      <c r="S35" s="3">
        <v>2013</v>
      </c>
      <c r="T35" s="3">
        <v>2014</v>
      </c>
      <c r="U35" s="3">
        <v>2015</v>
      </c>
      <c r="V35" s="3">
        <v>2016</v>
      </c>
      <c r="W35" s="3">
        <v>2017</v>
      </c>
      <c r="X35" s="3">
        <v>2018</v>
      </c>
      <c r="Y35" s="3">
        <v>2019</v>
      </c>
      <c r="Z35" s="3">
        <v>2020</v>
      </c>
      <c r="AA35" s="3">
        <v>2021</v>
      </c>
      <c r="AB35" s="3">
        <v>2022</v>
      </c>
      <c r="AC35" s="3">
        <v>2023</v>
      </c>
    </row>
    <row r="36" spans="1:29">
      <c r="A36" t="s">
        <v>302</v>
      </c>
      <c r="C36" s="11">
        <f t="shared" ref="C36:C42" si="17">C3/C$34</f>
        <v>0.497973359261427</v>
      </c>
      <c r="D36" s="11">
        <f t="shared" ref="D36:E36" si="18">D3/D$34</f>
        <v>9.9672110357904717</v>
      </c>
      <c r="E36" s="11">
        <f t="shared" si="18"/>
        <v>4.0242312845702077</v>
      </c>
      <c r="F36" s="11"/>
      <c r="G36" s="11">
        <f t="shared" ref="G36:Y36" si="19">G3/G$34</f>
        <v>0.72501462008476902</v>
      </c>
      <c r="H36" s="11">
        <f t="shared" si="19"/>
        <v>5.4116940114422025</v>
      </c>
      <c r="I36" s="11">
        <f t="shared" si="19"/>
        <v>21.574765494108242</v>
      </c>
      <c r="J36" s="11">
        <f t="shared" si="19"/>
        <v>23.885285565335302</v>
      </c>
      <c r="K36" s="11">
        <f t="shared" si="19"/>
        <v>23.801178172346781</v>
      </c>
      <c r="L36" s="11">
        <f t="shared" si="19"/>
        <v>22.954777422343025</v>
      </c>
      <c r="M36" s="11">
        <f t="shared" si="19"/>
        <v>22.812432617233931</v>
      </c>
      <c r="N36" s="11">
        <f t="shared" si="19"/>
        <v>22.740913858095091</v>
      </c>
      <c r="O36" s="11">
        <f t="shared" si="19"/>
        <v>24.021776324067059</v>
      </c>
      <c r="P36" s="11">
        <f t="shared" si="19"/>
        <v>19.555420527627909</v>
      </c>
      <c r="Q36" s="11">
        <f t="shared" si="19"/>
        <v>18.543165715077606</v>
      </c>
      <c r="R36" s="11">
        <f t="shared" si="19"/>
        <v>12.653764763546421</v>
      </c>
      <c r="S36" s="11">
        <f t="shared" si="19"/>
        <v>15.712830489373893</v>
      </c>
      <c r="T36" s="11">
        <f t="shared" si="19"/>
        <v>8.7464865789965209</v>
      </c>
      <c r="U36" s="11">
        <f t="shared" si="19"/>
        <v>5.3797724415584414</v>
      </c>
      <c r="V36" s="11">
        <f t="shared" si="19"/>
        <v>3.4058426713934677</v>
      </c>
      <c r="W36" s="11">
        <f t="shared" si="19"/>
        <v>3.8992336293885148</v>
      </c>
      <c r="X36" s="11">
        <f t="shared" si="19"/>
        <v>3.9144895677765383</v>
      </c>
      <c r="Y36" s="11">
        <f t="shared" si="19"/>
        <v>4.6609999999999996</v>
      </c>
      <c r="Z36" s="11">
        <f t="shared" ref="Z36:AC42" si="20">Z3/Z$34</f>
        <v>4.5649441563498643</v>
      </c>
      <c r="AA36" s="11">
        <f t="shared" si="20"/>
        <v>4.4680817723866086</v>
      </c>
      <c r="AB36" s="11">
        <f t="shared" si="20"/>
        <v>4.3734426420453856</v>
      </c>
      <c r="AC36" s="11">
        <f t="shared" si="20"/>
        <v>4.2800221063159913</v>
      </c>
    </row>
    <row r="37" spans="1:29">
      <c r="A37" t="s">
        <v>3</v>
      </c>
      <c r="C37" s="11">
        <f t="shared" si="17"/>
        <v>2.3534114629863878</v>
      </c>
      <c r="D37" s="11">
        <f t="shared" ref="D37:E37" si="21">D4/D$34</f>
        <v>41.700045346509384</v>
      </c>
      <c r="E37" s="11">
        <f t="shared" si="21"/>
        <v>13.584495145755472</v>
      </c>
      <c r="F37" s="11"/>
      <c r="G37" s="11">
        <f t="shared" ref="G37:Y37" si="22">G4/G$34</f>
        <v>19.996325560551572</v>
      </c>
      <c r="H37" s="11">
        <f t="shared" si="22"/>
        <v>33.165676202228219</v>
      </c>
      <c r="I37" s="11">
        <f t="shared" si="22"/>
        <v>64.766440006604327</v>
      </c>
      <c r="J37" s="11">
        <f t="shared" si="22"/>
        <v>57.591334907235172</v>
      </c>
      <c r="K37" s="11">
        <f t="shared" si="22"/>
        <v>74.56960644879517</v>
      </c>
      <c r="L37" s="11">
        <f t="shared" si="22"/>
        <v>91.16884682431197</v>
      </c>
      <c r="M37" s="11">
        <f t="shared" si="22"/>
        <v>111.63430225475706</v>
      </c>
      <c r="N37" s="11">
        <f t="shared" si="22"/>
        <v>111.95919821118905</v>
      </c>
      <c r="O37" s="11">
        <f t="shared" si="22"/>
        <v>108.92479166560317</v>
      </c>
      <c r="P37" s="11">
        <f t="shared" si="22"/>
        <v>127.42282677432559</v>
      </c>
      <c r="Q37" s="11">
        <f t="shared" si="22"/>
        <v>127.40025465631929</v>
      </c>
      <c r="R37" s="11">
        <f t="shared" si="22"/>
        <v>97.232187294917594</v>
      </c>
      <c r="S37" s="11">
        <f t="shared" si="22"/>
        <v>64.29478674999767</v>
      </c>
      <c r="T37" s="11">
        <f t="shared" si="22"/>
        <v>75.413285173322635</v>
      </c>
      <c r="U37" s="11">
        <f t="shared" si="22"/>
        <v>54.518449246753249</v>
      </c>
      <c r="V37" s="11">
        <f t="shared" si="22"/>
        <v>49.647926315955431</v>
      </c>
      <c r="W37" s="11">
        <f t="shared" si="22"/>
        <v>62.494779931577384</v>
      </c>
      <c r="X37" s="11">
        <f t="shared" si="22"/>
        <v>63.192648208747897</v>
      </c>
      <c r="Y37" s="11">
        <f t="shared" si="22"/>
        <v>49.313000000000002</v>
      </c>
      <c r="Z37" s="11">
        <f t="shared" si="20"/>
        <v>15.022887452102678</v>
      </c>
      <c r="AA37" s="11">
        <f t="shared" si="20"/>
        <v>14.704120640771979</v>
      </c>
      <c r="AB37" s="11">
        <f t="shared" si="20"/>
        <v>14.392670389687659</v>
      </c>
      <c r="AC37" s="11">
        <f t="shared" si="20"/>
        <v>14.085230441703709</v>
      </c>
    </row>
    <row r="38" spans="1:29">
      <c r="A38" t="s">
        <v>4</v>
      </c>
      <c r="C38" s="11">
        <f t="shared" si="17"/>
        <v>1.7721471859837259E-2</v>
      </c>
      <c r="D38" s="11">
        <f t="shared" ref="D38:E38" si="23">D5/D$34</f>
        <v>9.0327850011851147</v>
      </c>
      <c r="E38" s="11">
        <f t="shared" si="23"/>
        <v>3.2574723972237054</v>
      </c>
      <c r="F38" s="11"/>
      <c r="G38" s="11">
        <f t="shared" ref="G38:Y38" si="24">G5/G$34</f>
        <v>0</v>
      </c>
      <c r="H38" s="11">
        <f t="shared" si="24"/>
        <v>3.5911702195745492</v>
      </c>
      <c r="I38" s="11">
        <f t="shared" si="24"/>
        <v>14.123518507768779</v>
      </c>
      <c r="J38" s="11">
        <f t="shared" si="24"/>
        <v>7.7087516242189897</v>
      </c>
      <c r="K38" s="11">
        <f t="shared" si="24"/>
        <v>24.048958385872488</v>
      </c>
      <c r="L38" s="11">
        <f t="shared" si="24"/>
        <v>34.503794705815224</v>
      </c>
      <c r="M38" s="11">
        <f t="shared" si="24"/>
        <v>61.563613939390812</v>
      </c>
      <c r="N38" s="11">
        <f t="shared" si="24"/>
        <v>76.988805442886402</v>
      </c>
      <c r="O38" s="11">
        <f t="shared" si="24"/>
        <v>38.58469929358067</v>
      </c>
      <c r="P38" s="11">
        <f t="shared" si="24"/>
        <v>36.767264135441863</v>
      </c>
      <c r="Q38" s="11">
        <f t="shared" si="24"/>
        <v>32.338432067627494</v>
      </c>
      <c r="R38" s="11">
        <f t="shared" si="24"/>
        <v>17.986206675325171</v>
      </c>
      <c r="S38" s="11">
        <f t="shared" si="24"/>
        <v>10.157143860522339</v>
      </c>
      <c r="T38" s="11">
        <f t="shared" si="24"/>
        <v>7.6036642791424836</v>
      </c>
      <c r="U38" s="11">
        <f t="shared" si="24"/>
        <v>8.2198987792207792</v>
      </c>
      <c r="V38" s="11">
        <f t="shared" si="24"/>
        <v>8.5928290117186528</v>
      </c>
      <c r="W38" s="11">
        <f t="shared" si="24"/>
        <v>16.909496370943639</v>
      </c>
      <c r="X38" s="11">
        <f t="shared" si="24"/>
        <v>18.783228009380466</v>
      </c>
      <c r="Y38" s="11">
        <f t="shared" si="24"/>
        <v>12.782</v>
      </c>
      <c r="Z38" s="11">
        <f t="shared" si="20"/>
        <v>0</v>
      </c>
      <c r="AA38" s="11">
        <f t="shared" si="20"/>
        <v>0</v>
      </c>
      <c r="AB38" s="11">
        <f t="shared" si="20"/>
        <v>0</v>
      </c>
      <c r="AC38" s="11">
        <f t="shared" si="20"/>
        <v>0</v>
      </c>
    </row>
    <row r="39" spans="1:29">
      <c r="A39" t="s">
        <v>5</v>
      </c>
      <c r="C39" s="11">
        <f t="shared" si="17"/>
        <v>1.5949324673853533E-2</v>
      </c>
      <c r="D39" s="11">
        <f t="shared" ref="D39:E39" si="25">D6/D$34</f>
        <v>0.11808680657100663</v>
      </c>
      <c r="E39" s="11">
        <f t="shared" si="25"/>
        <v>0.17707285851575014</v>
      </c>
      <c r="F39" s="11"/>
      <c r="G39" s="11">
        <f t="shared" ref="G39:Y39" si="26">G6/G$34</f>
        <v>0.68559634947821835</v>
      </c>
      <c r="H39" s="11">
        <f t="shared" si="26"/>
        <v>0.20089493898082933</v>
      </c>
      <c r="I39" s="11">
        <f t="shared" si="26"/>
        <v>3.5618075358893253</v>
      </c>
      <c r="J39" s="11">
        <f t="shared" si="26"/>
        <v>0.44309635697567928</v>
      </c>
      <c r="K39" s="11">
        <f t="shared" si="26"/>
        <v>0.8321462029843385</v>
      </c>
      <c r="L39" s="11">
        <f t="shared" si="26"/>
        <v>1.0165028695192873</v>
      </c>
      <c r="M39" s="11">
        <f t="shared" si="26"/>
        <v>1.8275655708984919</v>
      </c>
      <c r="N39" s="11">
        <f t="shared" si="26"/>
        <v>1.9829981833417298</v>
      </c>
      <c r="O39" s="11">
        <f t="shared" si="26"/>
        <v>0.71875071430180104</v>
      </c>
      <c r="P39" s="11">
        <f t="shared" si="26"/>
        <v>0.6112160372093024</v>
      </c>
      <c r="Q39" s="11">
        <f t="shared" si="26"/>
        <v>1.0897005266075388</v>
      </c>
      <c r="R39" s="11">
        <f t="shared" si="26"/>
        <v>0.59050155232347168</v>
      </c>
      <c r="S39" s="11">
        <f t="shared" si="26"/>
        <v>0.19833867377891309</v>
      </c>
      <c r="T39" s="11">
        <f t="shared" si="26"/>
        <v>0.14609944174270359</v>
      </c>
      <c r="U39" s="11">
        <f t="shared" si="26"/>
        <v>0.34539187012987016</v>
      </c>
      <c r="V39" s="11">
        <f t="shared" si="26"/>
        <v>0.24523758527724537</v>
      </c>
      <c r="W39" s="11">
        <f t="shared" si="26"/>
        <v>1.5941962653203576</v>
      </c>
      <c r="X39" s="11">
        <f t="shared" si="26"/>
        <v>2.8815700751592854</v>
      </c>
      <c r="Y39" s="11">
        <f t="shared" si="26"/>
        <v>1.3080000000000001</v>
      </c>
      <c r="Z39" s="11">
        <f t="shared" si="20"/>
        <v>0</v>
      </c>
      <c r="AA39" s="11">
        <f t="shared" si="20"/>
        <v>0</v>
      </c>
      <c r="AB39" s="11">
        <f t="shared" si="20"/>
        <v>0</v>
      </c>
      <c r="AC39" s="11">
        <f t="shared" si="20"/>
        <v>0</v>
      </c>
    </row>
    <row r="40" spans="1:29">
      <c r="A40" t="s">
        <v>304</v>
      </c>
      <c r="C40" s="11">
        <f t="shared" si="17"/>
        <v>0</v>
      </c>
      <c r="D40" s="11">
        <f t="shared" ref="D40:E40" si="27">D7/D$34</f>
        <v>5.9899104782394672E-2</v>
      </c>
      <c r="E40" s="11">
        <f t="shared" si="27"/>
        <v>0</v>
      </c>
      <c r="F40" s="11"/>
      <c r="G40" s="11">
        <f t="shared" ref="G40:Y40" si="28">G7/G$34</f>
        <v>8.869110886473873E-2</v>
      </c>
      <c r="H40" s="11">
        <f t="shared" si="28"/>
        <v>0.1454756454688764</v>
      </c>
      <c r="I40" s="11">
        <f t="shared" si="28"/>
        <v>1.2235216726337377</v>
      </c>
      <c r="J40" s="11">
        <f t="shared" si="28"/>
        <v>0.66464453546351887</v>
      </c>
      <c r="K40" s="11">
        <f t="shared" si="28"/>
        <v>1.6411415069675672</v>
      </c>
      <c r="L40" s="11">
        <f t="shared" si="28"/>
        <v>1.8511314511098786</v>
      </c>
      <c r="M40" s="11">
        <f t="shared" si="28"/>
        <v>5.8368102805138964</v>
      </c>
      <c r="N40" s="11">
        <f t="shared" si="28"/>
        <v>5.0305657928513385</v>
      </c>
      <c r="O40" s="11">
        <f t="shared" si="28"/>
        <v>5.7734942998491086</v>
      </c>
      <c r="P40" s="11">
        <f t="shared" si="28"/>
        <v>1.8022141440000001</v>
      </c>
      <c r="Q40" s="11">
        <f t="shared" si="28"/>
        <v>1.3955013026607539</v>
      </c>
      <c r="R40" s="11">
        <f t="shared" si="28"/>
        <v>0</v>
      </c>
      <c r="S40" s="11">
        <f t="shared" si="28"/>
        <v>6.61128912596377E-3</v>
      </c>
      <c r="T40" s="11">
        <f t="shared" si="28"/>
        <v>0</v>
      </c>
      <c r="U40" s="11">
        <f t="shared" si="28"/>
        <v>0.23632075324675325</v>
      </c>
      <c r="V40" s="11">
        <f t="shared" si="28"/>
        <v>0</v>
      </c>
      <c r="W40" s="11">
        <f t="shared" si="28"/>
        <v>0.43648137642408746</v>
      </c>
      <c r="X40" s="11">
        <f t="shared" si="28"/>
        <v>0.64442756104057619</v>
      </c>
      <c r="Y40" s="11">
        <f t="shared" si="28"/>
        <v>0.92100000000000004</v>
      </c>
      <c r="Z40" s="11">
        <f t="shared" si="20"/>
        <v>0</v>
      </c>
      <c r="AA40" s="11">
        <f t="shared" si="20"/>
        <v>0</v>
      </c>
      <c r="AB40" s="11">
        <f t="shared" si="20"/>
        <v>0</v>
      </c>
      <c r="AC40" s="11">
        <f t="shared" si="20"/>
        <v>0</v>
      </c>
    </row>
    <row r="41" spans="1:29">
      <c r="A41" t="s">
        <v>19</v>
      </c>
      <c r="C41" s="11">
        <f t="shared" si="17"/>
        <v>0</v>
      </c>
      <c r="D41" s="11">
        <f t="shared" ref="D41:E41" si="29">D8/D$34</f>
        <v>0</v>
      </c>
      <c r="E41" s="11">
        <f t="shared" si="29"/>
        <v>0</v>
      </c>
      <c r="F41" s="11"/>
      <c r="G41" s="11">
        <f t="shared" ref="G41:Y41" si="30">G8/G$34</f>
        <v>8.4467722728322592E-2</v>
      </c>
      <c r="H41" s="11">
        <f t="shared" si="30"/>
        <v>0</v>
      </c>
      <c r="I41" s="11">
        <f t="shared" si="30"/>
        <v>4.3502992804755121E-2</v>
      </c>
      <c r="J41" s="11">
        <f t="shared" si="30"/>
        <v>3.1839259183881148E-2</v>
      </c>
      <c r="K41" s="11">
        <f t="shared" si="30"/>
        <v>2.7009382167961529E-2</v>
      </c>
      <c r="L41" s="11">
        <f t="shared" si="30"/>
        <v>0.5730285784054806</v>
      </c>
      <c r="M41" s="11">
        <f t="shared" si="30"/>
        <v>0</v>
      </c>
      <c r="N41" s="11">
        <f t="shared" si="30"/>
        <v>1.4257626243319808E-2</v>
      </c>
      <c r="O41" s="11">
        <f t="shared" si="30"/>
        <v>0.81035619749712862</v>
      </c>
      <c r="P41" s="11">
        <f t="shared" si="30"/>
        <v>9.3137681860465133E-3</v>
      </c>
      <c r="Q41" s="11">
        <f t="shared" si="30"/>
        <v>0</v>
      </c>
      <c r="R41" s="11">
        <f t="shared" si="30"/>
        <v>0</v>
      </c>
      <c r="S41" s="11">
        <f t="shared" si="30"/>
        <v>0</v>
      </c>
      <c r="T41" s="11">
        <f t="shared" si="30"/>
        <v>0</v>
      </c>
      <c r="U41" s="11">
        <f t="shared" si="30"/>
        <v>0</v>
      </c>
      <c r="V41" s="11">
        <f t="shared" si="30"/>
        <v>0</v>
      </c>
      <c r="W41" s="11">
        <f t="shared" si="30"/>
        <v>0</v>
      </c>
      <c r="X41" s="11">
        <f t="shared" si="30"/>
        <v>0</v>
      </c>
      <c r="Y41" s="11">
        <f t="shared" si="30"/>
        <v>0</v>
      </c>
      <c r="Z41" s="11">
        <f t="shared" si="20"/>
        <v>0</v>
      </c>
      <c r="AA41" s="11">
        <f t="shared" si="20"/>
        <v>0</v>
      </c>
      <c r="AB41" s="11">
        <f t="shared" si="20"/>
        <v>0</v>
      </c>
      <c r="AC41" s="11">
        <f t="shared" si="20"/>
        <v>0</v>
      </c>
    </row>
    <row r="42" spans="1:29">
      <c r="A42" t="s">
        <v>8</v>
      </c>
      <c r="C42" s="11">
        <f t="shared" si="17"/>
        <v>0.70885887439349038</v>
      </c>
      <c r="D42" s="11">
        <f t="shared" ref="D42:E42" si="31">D9/D$34</f>
        <v>0.463790211315113</v>
      </c>
      <c r="E42" s="11">
        <f t="shared" si="31"/>
        <v>0</v>
      </c>
      <c r="F42" s="11"/>
      <c r="G42" s="11">
        <f t="shared" ref="G42:Y42" si="32">G9/G$34</f>
        <v>0.25058757742735704</v>
      </c>
      <c r="H42" s="11">
        <f t="shared" si="32"/>
        <v>0</v>
      </c>
      <c r="I42" s="11">
        <f t="shared" si="32"/>
        <v>1.5280426222670236</v>
      </c>
      <c r="J42" s="11">
        <f t="shared" si="32"/>
        <v>1.4931736977612702</v>
      </c>
      <c r="K42" s="11">
        <f t="shared" si="32"/>
        <v>5.5606735944851406</v>
      </c>
      <c r="L42" s="11">
        <f t="shared" si="32"/>
        <v>2.0566743107553229</v>
      </c>
      <c r="M42" s="11">
        <f t="shared" si="32"/>
        <v>1.3594565394672924</v>
      </c>
      <c r="N42" s="11">
        <f t="shared" si="32"/>
        <v>3.2044014981861264</v>
      </c>
      <c r="O42" s="11">
        <f t="shared" si="32"/>
        <v>1.0123580322355432</v>
      </c>
      <c r="P42" s="11">
        <f t="shared" si="32"/>
        <v>0.52622790251162788</v>
      </c>
      <c r="Q42" s="11">
        <f t="shared" si="32"/>
        <v>0.55340812084257207</v>
      </c>
      <c r="R42" s="11">
        <f t="shared" si="32"/>
        <v>0.48741589233531335</v>
      </c>
      <c r="S42" s="11">
        <f t="shared" si="32"/>
        <v>0.29530424762638174</v>
      </c>
      <c r="T42" s="11">
        <f t="shared" si="32"/>
        <v>0.28678779305049223</v>
      </c>
      <c r="U42" s="11">
        <f t="shared" si="32"/>
        <v>9.7308545454545453E-2</v>
      </c>
      <c r="V42" s="11">
        <f t="shared" si="32"/>
        <v>9.4078211593426012E-2</v>
      </c>
      <c r="W42" s="11">
        <f t="shared" si="32"/>
        <v>0.39283323878167875</v>
      </c>
      <c r="X42" s="11">
        <f t="shared" si="32"/>
        <v>0.43437680538494533</v>
      </c>
      <c r="Y42" s="11">
        <f t="shared" si="32"/>
        <v>1.4999999999999999E-2</v>
      </c>
      <c r="Z42" s="11">
        <f t="shared" si="20"/>
        <v>0</v>
      </c>
      <c r="AA42" s="11">
        <f t="shared" si="20"/>
        <v>0</v>
      </c>
      <c r="AB42" s="11">
        <f t="shared" si="20"/>
        <v>0</v>
      </c>
      <c r="AC42" s="11">
        <f t="shared" si="20"/>
        <v>0</v>
      </c>
    </row>
    <row r="43" spans="1:29" s="5" customFormat="1" ht="11">
      <c r="E43" s="12"/>
      <c r="F43" s="12"/>
      <c r="G43" s="6"/>
      <c r="H43" s="6"/>
      <c r="I43" s="6"/>
      <c r="J43" s="6"/>
      <c r="K43" s="6"/>
      <c r="L43" s="6"/>
      <c r="M43" s="6"/>
      <c r="N43" s="6"/>
      <c r="O43" s="6"/>
      <c r="P43" s="6"/>
      <c r="Q43" s="6"/>
      <c r="R43" s="6"/>
      <c r="S43" s="6"/>
      <c r="T43" s="6"/>
      <c r="U43" s="6"/>
      <c r="V43" s="6"/>
      <c r="W43" s="6"/>
      <c r="X43" s="6"/>
      <c r="Y43" s="6"/>
      <c r="Z43" s="6"/>
      <c r="AA43" s="6"/>
      <c r="AB43" s="6"/>
      <c r="AC43" s="6"/>
    </row>
    <row r="44" spans="1:29" ht="19">
      <c r="A44" s="7" t="s">
        <v>9</v>
      </c>
      <c r="B44" s="7"/>
      <c r="C44" s="8">
        <f t="shared" ref="C44:E44" si="33">SUM(C36:C42)</f>
        <v>3.5939144931749958</v>
      </c>
      <c r="D44" s="8">
        <f t="shared" si="33"/>
        <v>61.34181750615349</v>
      </c>
      <c r="E44" s="8">
        <f t="shared" si="33"/>
        <v>21.043271686065136</v>
      </c>
      <c r="F44" s="8"/>
      <c r="G44" s="8">
        <f t="shared" ref="G44:W44" si="34">SUM(G36:G42)</f>
        <v>21.830682939134977</v>
      </c>
      <c r="H44" s="8">
        <f t="shared" si="34"/>
        <v>42.514911017694679</v>
      </c>
      <c r="I44" s="8">
        <f t="shared" si="34"/>
        <v>106.82159883207619</v>
      </c>
      <c r="J44" s="8">
        <f t="shared" si="34"/>
        <v>91.818125946173808</v>
      </c>
      <c r="K44" s="8">
        <f t="shared" si="34"/>
        <v>130.48071369361944</v>
      </c>
      <c r="L44" s="8">
        <f t="shared" si="34"/>
        <v>154.12475616226018</v>
      </c>
      <c r="M44" s="8">
        <f t="shared" si="34"/>
        <v>205.03418120226149</v>
      </c>
      <c r="N44" s="8">
        <f t="shared" si="34"/>
        <v>221.92114061279301</v>
      </c>
      <c r="O44" s="8">
        <f t="shared" si="34"/>
        <v>179.84622652713446</v>
      </c>
      <c r="P44" s="8">
        <f t="shared" si="34"/>
        <v>186.69448328930233</v>
      </c>
      <c r="Q44" s="8">
        <f t="shared" si="34"/>
        <v>181.32046238913523</v>
      </c>
      <c r="R44" s="8">
        <f t="shared" si="34"/>
        <v>128.95007617844797</v>
      </c>
      <c r="S44" s="8">
        <f t="shared" si="34"/>
        <v>90.665015310425161</v>
      </c>
      <c r="T44" s="8">
        <f t="shared" si="34"/>
        <v>92.196323266254836</v>
      </c>
      <c r="U44" s="8">
        <f t="shared" si="34"/>
        <v>68.797141636363648</v>
      </c>
      <c r="V44" s="8">
        <f t="shared" si="34"/>
        <v>61.985913795938224</v>
      </c>
      <c r="W44" s="8">
        <f t="shared" si="34"/>
        <v>85.727020812435669</v>
      </c>
      <c r="X44" s="8">
        <f t="shared" ref="X44:Y44" si="35">SUM(X36:X42)</f>
        <v>89.850740227489709</v>
      </c>
      <c r="Y44" s="8">
        <f t="shared" si="35"/>
        <v>69.000000000000014</v>
      </c>
      <c r="Z44" s="8">
        <f t="shared" ref="Z44:AC44" si="36">SUM(Z36:Z42)</f>
        <v>19.587831608452543</v>
      </c>
      <c r="AA44" s="8">
        <f t="shared" si="36"/>
        <v>19.172202413158587</v>
      </c>
      <c r="AB44" s="8">
        <f t="shared" si="36"/>
        <v>18.766113031733045</v>
      </c>
      <c r="AC44" s="8">
        <f t="shared" si="36"/>
        <v>18.365252548019701</v>
      </c>
    </row>
    <row r="45" spans="1:29" s="5" customFormat="1" ht="11">
      <c r="E45" s="12"/>
      <c r="F45" s="12"/>
      <c r="G45" s="6"/>
      <c r="H45" s="6"/>
      <c r="I45" s="6"/>
      <c r="J45" s="6"/>
      <c r="K45" s="6"/>
      <c r="L45" s="6"/>
      <c r="M45" s="6"/>
      <c r="N45" s="6"/>
      <c r="O45" s="6"/>
      <c r="P45" s="6"/>
      <c r="Q45" s="6"/>
      <c r="R45" s="6"/>
      <c r="S45" s="6"/>
      <c r="T45" s="6"/>
      <c r="U45" s="6"/>
      <c r="V45" s="6"/>
      <c r="W45" s="6"/>
      <c r="X45" s="6"/>
      <c r="Y45" s="6"/>
      <c r="Z45" s="6"/>
      <c r="AA45" s="6"/>
      <c r="AB45" s="6"/>
      <c r="AC45" s="6"/>
    </row>
    <row r="46" spans="1:29">
      <c r="A46" t="s">
        <v>323</v>
      </c>
      <c r="C46" s="4">
        <f>C37+C42</f>
        <v>3.0622703373798781</v>
      </c>
      <c r="D46" s="4">
        <f t="shared" ref="D46:E46" si="37">D37+D42</f>
        <v>42.163835557824498</v>
      </c>
      <c r="E46" s="4">
        <f t="shared" si="37"/>
        <v>13.584495145755472</v>
      </c>
      <c r="F46" s="11"/>
      <c r="G46" s="4">
        <f>G37+G42</f>
        <v>20.246913137978929</v>
      </c>
      <c r="H46" s="4">
        <f t="shared" ref="H46:W46" si="38">H37+H42</f>
        <v>33.165676202228219</v>
      </c>
      <c r="I46" s="4">
        <f t="shared" si="38"/>
        <v>66.29448262887135</v>
      </c>
      <c r="J46" s="4">
        <f t="shared" si="38"/>
        <v>59.084508604996444</v>
      </c>
      <c r="K46" s="4">
        <f t="shared" si="38"/>
        <v>80.130280043280308</v>
      </c>
      <c r="L46" s="4">
        <f t="shared" si="38"/>
        <v>93.225521135067297</v>
      </c>
      <c r="M46" s="4">
        <f t="shared" si="38"/>
        <v>112.99375879422435</v>
      </c>
      <c r="N46" s="4">
        <f t="shared" si="38"/>
        <v>115.16359970937518</v>
      </c>
      <c r="O46" s="4">
        <f t="shared" si="38"/>
        <v>109.93714969783871</v>
      </c>
      <c r="P46" s="4">
        <f t="shared" si="38"/>
        <v>127.94905467683721</v>
      </c>
      <c r="Q46" s="4">
        <f t="shared" si="38"/>
        <v>127.95366277716187</v>
      </c>
      <c r="R46" s="4">
        <f t="shared" si="38"/>
        <v>97.719603187252901</v>
      </c>
      <c r="S46" s="4">
        <f t="shared" si="38"/>
        <v>64.590090997624046</v>
      </c>
      <c r="T46" s="4">
        <f t="shared" si="38"/>
        <v>75.700072966373128</v>
      </c>
      <c r="U46" s="4">
        <f t="shared" si="38"/>
        <v>54.615757792207795</v>
      </c>
      <c r="V46" s="4">
        <f t="shared" si="38"/>
        <v>49.742004527548858</v>
      </c>
      <c r="W46" s="4">
        <f t="shared" si="38"/>
        <v>62.88761317035906</v>
      </c>
      <c r="X46" s="4">
        <f t="shared" ref="X46:Y46" si="39">X37+X42</f>
        <v>63.62702501413284</v>
      </c>
      <c r="Y46" s="4">
        <f t="shared" si="39"/>
        <v>49.328000000000003</v>
      </c>
      <c r="Z46" s="4">
        <f t="shared" ref="Z46:AC46" si="40">Z37+Z42</f>
        <v>15.022887452102678</v>
      </c>
      <c r="AA46" s="4">
        <f t="shared" si="40"/>
        <v>14.704120640771979</v>
      </c>
      <c r="AB46" s="4">
        <f t="shared" si="40"/>
        <v>14.392670389687659</v>
      </c>
      <c r="AC46" s="4">
        <f t="shared" si="40"/>
        <v>14.085230441703709</v>
      </c>
    </row>
    <row r="47" spans="1:29">
      <c r="F47" s="11"/>
    </row>
    <row r="48" spans="1:29">
      <c r="A48" t="s">
        <v>325</v>
      </c>
      <c r="C48">
        <v>0</v>
      </c>
      <c r="D48">
        <v>0</v>
      </c>
      <c r="E48">
        <v>0</v>
      </c>
      <c r="F48" s="11"/>
      <c r="G48">
        <v>0</v>
      </c>
      <c r="H48">
        <v>5200</v>
      </c>
      <c r="I48">
        <v>78100</v>
      </c>
      <c r="J48">
        <v>145800</v>
      </c>
      <c r="K48">
        <v>161000</v>
      </c>
      <c r="L48">
        <v>159100</v>
      </c>
      <c r="M48">
        <v>181500</v>
      </c>
      <c r="N48">
        <v>186600</v>
      </c>
      <c r="O48">
        <v>184000</v>
      </c>
      <c r="P48">
        <v>175800</v>
      </c>
      <c r="Q48">
        <v>144900</v>
      </c>
      <c r="R48">
        <v>95800</v>
      </c>
      <c r="S48">
        <v>63400</v>
      </c>
      <c r="T48">
        <v>37200</v>
      </c>
      <c r="U48">
        <v>11740</v>
      </c>
    </row>
    <row r="50" spans="1:29" ht="19">
      <c r="A50" s="1" t="s">
        <v>587</v>
      </c>
      <c r="B50" s="1"/>
      <c r="C50" s="3">
        <v>1990</v>
      </c>
      <c r="D50" s="3">
        <v>1991</v>
      </c>
      <c r="E50" s="3">
        <v>1992</v>
      </c>
      <c r="G50" s="3">
        <v>2001</v>
      </c>
      <c r="H50" s="3">
        <v>2002</v>
      </c>
      <c r="I50" s="3">
        <v>2003</v>
      </c>
      <c r="J50" s="3">
        <v>2004</v>
      </c>
      <c r="K50" s="3">
        <v>2005</v>
      </c>
      <c r="L50" s="3">
        <v>2006</v>
      </c>
      <c r="M50" s="3">
        <v>2007</v>
      </c>
      <c r="N50" s="3">
        <v>2008</v>
      </c>
      <c r="O50" s="3">
        <v>2009</v>
      </c>
      <c r="P50" s="3">
        <v>2010</v>
      </c>
      <c r="Q50" s="3">
        <v>2011</v>
      </c>
      <c r="R50" s="3">
        <v>2012</v>
      </c>
      <c r="S50" s="3">
        <v>2013</v>
      </c>
      <c r="T50" s="3">
        <v>2014</v>
      </c>
      <c r="U50" s="3">
        <v>2015</v>
      </c>
      <c r="V50" s="3">
        <v>2016</v>
      </c>
      <c r="W50" s="3">
        <v>2017</v>
      </c>
      <c r="X50" s="3">
        <v>2018</v>
      </c>
      <c r="Y50" s="3">
        <v>2019</v>
      </c>
      <c r="Z50" s="3">
        <v>2020</v>
      </c>
      <c r="AA50" s="3">
        <v>2021</v>
      </c>
      <c r="AB50" s="3">
        <v>2022</v>
      </c>
      <c r="AC50" s="3">
        <v>2023</v>
      </c>
    </row>
    <row r="51" spans="1:29">
      <c r="A51" t="s">
        <v>596</v>
      </c>
      <c r="C51">
        <f>C26/C34</f>
        <v>0</v>
      </c>
      <c r="D51">
        <f t="shared" ref="D51:E51" si="41">D26/D34</f>
        <v>0</v>
      </c>
      <c r="E51">
        <f t="shared" si="41"/>
        <v>0</v>
      </c>
      <c r="G51">
        <f t="shared" ref="G51:Y51" si="42">G26/G34</f>
        <v>445.62354920705394</v>
      </c>
      <c r="H51">
        <f t="shared" si="42"/>
        <v>492.3699422422701</v>
      </c>
      <c r="I51">
        <f t="shared" si="42"/>
        <v>588.68249863394624</v>
      </c>
      <c r="J51">
        <f t="shared" si="42"/>
        <v>605.01490955530687</v>
      </c>
      <c r="K51">
        <f t="shared" si="42"/>
        <v>646.26506258231598</v>
      </c>
      <c r="L51">
        <f t="shared" si="42"/>
        <v>668.04169956231283</v>
      </c>
      <c r="M51">
        <f t="shared" si="42"/>
        <v>732.3262617316617</v>
      </c>
      <c r="N51">
        <f t="shared" si="42"/>
        <v>795.19415287523645</v>
      </c>
      <c r="O51">
        <f t="shared" si="42"/>
        <v>782.00664930671826</v>
      </c>
      <c r="P51">
        <f t="shared" si="42"/>
        <v>805.3976258991629</v>
      </c>
      <c r="Q51">
        <f t="shared" si="42"/>
        <v>786.28682228381365</v>
      </c>
      <c r="R51">
        <f t="shared" si="42"/>
        <v>730.88629328647562</v>
      </c>
      <c r="S51">
        <f t="shared" si="42"/>
        <v>645.03372921921823</v>
      </c>
      <c r="T51">
        <f t="shared" si="42"/>
        <v>628.97216553746966</v>
      </c>
      <c r="U51">
        <f t="shared" si="42"/>
        <v>604.59937940259749</v>
      </c>
      <c r="V51">
        <f t="shared" si="42"/>
        <v>621.52717636269028</v>
      </c>
      <c r="W51">
        <f t="shared" si="42"/>
        <v>718.92327890125239</v>
      </c>
      <c r="X51">
        <f t="shared" si="42"/>
        <v>714.35916771596533</v>
      </c>
      <c r="Y51">
        <f t="shared" si="42"/>
        <v>755.35599999999999</v>
      </c>
      <c r="Z51">
        <f>Z26/Z34</f>
        <v>686.86251433244661</v>
      </c>
      <c r="AA51">
        <f>AA26/AA34</f>
        <v>684.42319202136287</v>
      </c>
      <c r="AB51">
        <f>AB26/AB34</f>
        <v>682.52232043724337</v>
      </c>
      <c r="AC51">
        <f>AC26/AC34</f>
        <v>681.16240795447936</v>
      </c>
    </row>
    <row r="52" spans="1:29">
      <c r="A52" t="s">
        <v>594</v>
      </c>
      <c r="C52" s="9">
        <f>C51-C44</f>
        <v>-3.5939144931749958</v>
      </c>
      <c r="D52" s="9">
        <f t="shared" ref="D52:E52" si="43">D51-D44</f>
        <v>-61.34181750615349</v>
      </c>
      <c r="E52" s="9">
        <f t="shared" si="43"/>
        <v>-21.043271686065136</v>
      </c>
      <c r="G52" s="9">
        <f>G51-G44</f>
        <v>423.79286626791895</v>
      </c>
      <c r="H52" s="9">
        <f t="shared" ref="H52:W52" si="44">H51-H44</f>
        <v>449.85503122457544</v>
      </c>
      <c r="I52" s="9">
        <f t="shared" si="44"/>
        <v>481.86089980187006</v>
      </c>
      <c r="J52" s="9">
        <f t="shared" si="44"/>
        <v>513.19678360913304</v>
      </c>
      <c r="K52" s="9">
        <f t="shared" si="44"/>
        <v>515.78434888869651</v>
      </c>
      <c r="L52" s="9">
        <f t="shared" si="44"/>
        <v>513.91694340005267</v>
      </c>
      <c r="M52" s="9">
        <f t="shared" si="44"/>
        <v>527.29208052940021</v>
      </c>
      <c r="N52" s="9">
        <f t="shared" si="44"/>
        <v>573.27301226244344</v>
      </c>
      <c r="O52" s="9">
        <f t="shared" si="44"/>
        <v>602.16042277958377</v>
      </c>
      <c r="P52" s="9">
        <f t="shared" si="44"/>
        <v>618.70314260986061</v>
      </c>
      <c r="Q52" s="9">
        <f t="shared" si="44"/>
        <v>604.96635989467836</v>
      </c>
      <c r="R52" s="9">
        <f t="shared" si="44"/>
        <v>601.93621710802768</v>
      </c>
      <c r="S52" s="9">
        <f t="shared" si="44"/>
        <v>554.3687139087931</v>
      </c>
      <c r="T52" s="9">
        <f t="shared" si="44"/>
        <v>536.77584227121486</v>
      </c>
      <c r="U52" s="9">
        <f t="shared" si="44"/>
        <v>535.80223776623382</v>
      </c>
      <c r="V52" s="9">
        <f t="shared" si="44"/>
        <v>559.54126256675204</v>
      </c>
      <c r="W52" s="9">
        <f t="shared" si="44"/>
        <v>633.19625808881676</v>
      </c>
      <c r="X52" s="9">
        <f t="shared" ref="X52:Y52" si="45">X51-X44</f>
        <v>624.5084274884756</v>
      </c>
      <c r="Y52" s="9">
        <f t="shared" si="45"/>
        <v>686.35599999999999</v>
      </c>
      <c r="Z52" s="9">
        <f t="shared" ref="Z52:AC52" si="46">Z51-Z44</f>
        <v>667.27468272399403</v>
      </c>
      <c r="AA52" s="9">
        <f t="shared" si="46"/>
        <v>665.25098960820424</v>
      </c>
      <c r="AB52" s="9">
        <f t="shared" si="46"/>
        <v>663.75620740551028</v>
      </c>
      <c r="AC52" s="9">
        <f t="shared" si="46"/>
        <v>662.79715540645964</v>
      </c>
    </row>
    <row r="53" spans="1:29">
      <c r="G53" s="89"/>
      <c r="H53" s="89"/>
      <c r="I53" s="89"/>
      <c r="J53" s="89"/>
      <c r="K53" s="89"/>
      <c r="L53" s="89"/>
      <c r="M53" s="89"/>
      <c r="N53" s="89"/>
      <c r="O53" s="89"/>
      <c r="P53" s="89"/>
      <c r="Q53" s="89"/>
      <c r="R53" s="89"/>
      <c r="S53" s="89"/>
      <c r="T53" s="89"/>
      <c r="U53" s="89"/>
      <c r="V53" s="89"/>
      <c r="W53" s="89"/>
      <c r="X53" s="89"/>
      <c r="Y53" s="89"/>
      <c r="Z53" s="89"/>
      <c r="AA53" s="89"/>
      <c r="AB53" s="89"/>
      <c r="AC53" s="89"/>
    </row>
    <row r="56" spans="1:29">
      <c r="N56" t="s">
        <v>684</v>
      </c>
      <c r="O56" s="13">
        <v>436</v>
      </c>
    </row>
    <row r="57" spans="1:29">
      <c r="O57">
        <v>6679</v>
      </c>
    </row>
    <row r="59" spans="1:29">
      <c r="O59">
        <v>7074</v>
      </c>
      <c r="P59">
        <f>O56/O59</f>
        <v>6.1634153237206675E-2</v>
      </c>
    </row>
  </sheetData>
  <phoneticPr fontId="22" type="noConversion"/>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pageSetUpPr fitToPage="1"/>
  </sheetPr>
  <dimension ref="A1:CU261"/>
  <sheetViews>
    <sheetView topLeftCell="C1" zoomScale="110" zoomScaleNormal="110" zoomScalePageLayoutView="110" workbookViewId="0">
      <selection activeCell="AM51" sqref="AM51"/>
    </sheetView>
  </sheetViews>
  <sheetFormatPr baseColWidth="10" defaultColWidth="7.6640625" defaultRowHeight="14"/>
  <cols>
    <col min="1" max="1" width="9.6640625" style="39" bestFit="1" customWidth="1"/>
    <col min="2" max="2" width="5.5" style="39" bestFit="1" customWidth="1"/>
    <col min="3" max="3" width="40.1640625" style="39" bestFit="1" customWidth="1"/>
    <col min="4" max="4" width="13.83203125" style="39" bestFit="1" customWidth="1"/>
    <col min="5" max="5" width="65.83203125" style="68" bestFit="1" customWidth="1"/>
    <col min="6" max="6" width="2.83203125" style="39" customWidth="1"/>
    <col min="7" max="7" width="11.1640625" style="39" bestFit="1" customWidth="1"/>
    <col min="8" max="9" width="14.83203125" style="39" bestFit="1" customWidth="1"/>
    <col min="10" max="10" width="14.83203125" style="46" bestFit="1" customWidth="1"/>
    <col min="11" max="11" width="13.1640625" style="39" bestFit="1" customWidth="1"/>
    <col min="12" max="12" width="16.1640625" style="39" bestFit="1" customWidth="1"/>
    <col min="13" max="13" width="15.5" style="39" bestFit="1" customWidth="1"/>
    <col min="14" max="14" width="11.1640625" style="44" bestFit="1" customWidth="1"/>
    <col min="15" max="15" width="14.83203125" style="39" bestFit="1" customWidth="1"/>
    <col min="16" max="16" width="14.83203125" style="46" bestFit="1" customWidth="1"/>
    <col min="17" max="17" width="13.1640625" style="46" bestFit="1" customWidth="1"/>
    <col min="18" max="18" width="14" style="46" bestFit="1" customWidth="1"/>
    <col min="19" max="19" width="16.1640625" style="39" bestFit="1" customWidth="1"/>
    <col min="20" max="20" width="15.5" style="39" bestFit="1" customWidth="1"/>
    <col min="21" max="21" width="11.1640625" style="39" bestFit="1" customWidth="1"/>
    <col min="22" max="22" width="14" style="39" bestFit="1" customWidth="1"/>
    <col min="23" max="23" width="14.33203125" style="46" bestFit="1" customWidth="1"/>
    <col min="24" max="24" width="14.83203125" style="46" bestFit="1" customWidth="1"/>
    <col min="25" max="25" width="12.83203125" style="39" bestFit="1" customWidth="1"/>
    <col min="26" max="26" width="12" style="39" bestFit="1" customWidth="1"/>
    <col min="27" max="27" width="8.5" style="39" customWidth="1"/>
    <col min="28" max="29" width="14.83203125" style="39" bestFit="1" customWidth="1"/>
    <col min="30" max="30" width="14" style="46" bestFit="1" customWidth="1"/>
    <col min="31" max="31" width="11.33203125" style="39" bestFit="1" customWidth="1"/>
    <col min="32" max="32" width="11.5" style="39" bestFit="1" customWidth="1"/>
    <col min="33" max="33" width="16.1640625" style="39" bestFit="1" customWidth="1"/>
    <col min="34" max="34" width="15.5" style="39" bestFit="1" customWidth="1"/>
    <col min="35" max="35" width="3.6640625" style="39" customWidth="1"/>
    <col min="36" max="36" width="14.83203125" style="39" bestFit="1" customWidth="1"/>
    <col min="37" max="37" width="14.83203125" style="46" bestFit="1" customWidth="1"/>
    <col min="38" max="38" width="16.33203125" style="39" bestFit="1" customWidth="1"/>
    <col min="39" max="39" width="14.83203125" style="46" bestFit="1" customWidth="1"/>
    <col min="40" max="40" width="12.83203125" style="39" bestFit="1" customWidth="1"/>
    <col min="41" max="41" width="12" style="39" bestFit="1" customWidth="1"/>
    <col min="42" max="42" width="2" style="39" customWidth="1"/>
    <col min="43" max="43" width="14.83203125" style="39" bestFit="1" customWidth="1"/>
    <col min="44" max="44" width="14.83203125" style="46" bestFit="1" customWidth="1"/>
    <col min="45" max="45" width="14" style="46" bestFit="1" customWidth="1"/>
    <col min="46" max="46" width="14.83203125" style="39" bestFit="1" customWidth="1"/>
    <col min="47" max="47" width="12.83203125" style="39" bestFit="1" customWidth="1"/>
    <col min="48" max="48" width="12" style="39" bestFit="1" customWidth="1"/>
    <col min="49" max="49" width="2.83203125" style="39" customWidth="1"/>
    <col min="50" max="50" width="12.1640625" style="39" bestFit="1" customWidth="1"/>
    <col min="51" max="51" width="12.33203125" style="46" bestFit="1" customWidth="1"/>
    <col min="52" max="53" width="14.83203125" style="50" bestFit="1" customWidth="1"/>
    <col min="54" max="54" width="14.83203125" style="41" bestFit="1" customWidth="1"/>
    <col min="55" max="55" width="16.1640625" style="41" bestFit="1" customWidth="1"/>
    <col min="56" max="56" width="15.5" style="41" bestFit="1" customWidth="1"/>
    <col min="57" max="57" width="5.33203125" style="41" customWidth="1"/>
    <col min="58" max="58" width="6.5" style="39" bestFit="1" customWidth="1"/>
    <col min="59" max="59" width="14.83203125" style="46" bestFit="1" customWidth="1"/>
    <col min="60" max="60" width="13.1640625" style="39" bestFit="1" customWidth="1"/>
    <col min="61" max="61" width="14" style="46" bestFit="1" customWidth="1"/>
    <col min="62" max="62" width="14" style="39" bestFit="1" customWidth="1"/>
    <col min="63" max="63" width="12.83203125" style="39" bestFit="1" customWidth="1"/>
    <col min="64" max="64" width="12" style="39" bestFit="1" customWidth="1"/>
    <col min="65" max="65" width="7" style="39" customWidth="1"/>
    <col min="66" max="66" width="14.83203125" style="39" bestFit="1" customWidth="1"/>
    <col min="67" max="67" width="14.83203125" style="46" bestFit="1" customWidth="1"/>
    <col min="68" max="68" width="12.1640625" style="46" bestFit="1" customWidth="1"/>
    <col min="69" max="69" width="12.1640625" style="39" bestFit="1" customWidth="1"/>
    <col min="70" max="70" width="11.83203125" style="39" bestFit="1" customWidth="1"/>
    <col min="71" max="72" width="12" style="39" bestFit="1" customWidth="1"/>
    <col min="73" max="73" width="2.83203125" style="39" customWidth="1"/>
    <col min="74" max="74" width="11.33203125" style="39" bestFit="1" customWidth="1"/>
    <col min="75" max="75" width="14" style="46" bestFit="1" customWidth="1"/>
    <col min="76" max="77" width="12" style="39" bestFit="1" customWidth="1"/>
    <col min="78" max="78" width="2.6640625" style="39" customWidth="1"/>
    <col min="79" max="79" width="11.33203125" style="39" bestFit="1" customWidth="1"/>
    <col min="80" max="80" width="14" style="46" bestFit="1" customWidth="1"/>
    <col min="81" max="82" width="12" style="39" bestFit="1" customWidth="1"/>
    <col min="83" max="83" width="2.6640625" style="39" customWidth="1"/>
    <col min="84" max="84" width="10.5" style="39" bestFit="1" customWidth="1"/>
    <col min="85" max="85" width="13.1640625" style="46" bestFit="1" customWidth="1"/>
    <col min="86" max="86" width="10.5" style="39" bestFit="1" customWidth="1"/>
    <col min="87" max="87" width="6.5" style="39" bestFit="1" customWidth="1"/>
    <col min="88" max="88" width="11.33203125" style="39" bestFit="1" customWidth="1"/>
    <col min="89" max="89" width="14" style="46" bestFit="1" customWidth="1"/>
    <col min="90" max="90" width="6.5" style="39" bestFit="1" customWidth="1"/>
    <col min="91" max="91" width="12.1640625" style="39" bestFit="1" customWidth="1"/>
    <col min="92" max="92" width="12.1640625" style="46" bestFit="1" customWidth="1"/>
    <col min="93" max="93" width="12.1640625" style="39" bestFit="1" customWidth="1"/>
    <col min="94" max="94" width="5.6640625" style="39" bestFit="1" customWidth="1"/>
    <col min="95" max="95" width="6.5" style="39" bestFit="1" customWidth="1"/>
    <col min="96" max="96" width="5.6640625" style="46" bestFit="1" customWidth="1"/>
    <col min="97" max="97" width="6.5" style="39" bestFit="1" customWidth="1"/>
    <col min="98" max="98" width="7.6640625" style="39"/>
    <col min="99" max="99" width="10.83203125" style="39" bestFit="1" customWidth="1"/>
    <col min="100" max="16384" width="7.6640625" style="39"/>
  </cols>
  <sheetData>
    <row r="1" spans="1:96">
      <c r="G1" s="39" t="s">
        <v>578</v>
      </c>
      <c r="H1" s="39" t="s">
        <v>578</v>
      </c>
      <c r="I1" s="39" t="s">
        <v>578</v>
      </c>
      <c r="J1" s="39" t="s">
        <v>578</v>
      </c>
      <c r="K1" s="39" t="s">
        <v>578</v>
      </c>
      <c r="L1" s="39" t="s">
        <v>578</v>
      </c>
      <c r="M1" s="39" t="s">
        <v>578</v>
      </c>
      <c r="N1" s="39" t="s">
        <v>578</v>
      </c>
      <c r="O1" s="39" t="s">
        <v>578</v>
      </c>
      <c r="P1" s="39" t="s">
        <v>578</v>
      </c>
      <c r="Q1" s="39" t="s">
        <v>578</v>
      </c>
      <c r="R1" s="39" t="s">
        <v>578</v>
      </c>
      <c r="S1" s="39" t="s">
        <v>578</v>
      </c>
      <c r="T1" s="39" t="s">
        <v>578</v>
      </c>
      <c r="U1" s="39" t="s">
        <v>578</v>
      </c>
      <c r="V1" s="39" t="s">
        <v>578</v>
      </c>
      <c r="W1" s="39" t="s">
        <v>578</v>
      </c>
      <c r="X1" s="39"/>
      <c r="AD1" s="39"/>
      <c r="AK1" s="39"/>
      <c r="AM1" s="39"/>
      <c r="AR1" s="39"/>
      <c r="AS1" s="39"/>
      <c r="AY1" s="39"/>
      <c r="AZ1" s="41"/>
      <c r="BA1" s="41"/>
      <c r="BG1" s="39"/>
      <c r="BI1" s="39"/>
      <c r="BO1" s="39"/>
      <c r="BP1" s="39"/>
      <c r="BW1" s="39"/>
      <c r="CB1" s="39"/>
      <c r="CG1" s="39"/>
      <c r="CK1" s="39"/>
      <c r="CN1" s="39"/>
      <c r="CR1" s="39"/>
    </row>
    <row r="2" spans="1:96" s="62" customFormat="1" ht="19">
      <c r="E2" s="62" t="s">
        <v>640</v>
      </c>
      <c r="G2" s="64">
        <v>2001</v>
      </c>
      <c r="H2" s="64">
        <v>2002</v>
      </c>
      <c r="I2" s="65">
        <v>2003</v>
      </c>
      <c r="J2" s="64">
        <v>2004</v>
      </c>
      <c r="K2" s="65">
        <v>2005</v>
      </c>
      <c r="L2" s="64">
        <v>2006</v>
      </c>
      <c r="M2" s="65">
        <v>2007</v>
      </c>
      <c r="N2" s="64">
        <v>2008</v>
      </c>
      <c r="O2" s="65">
        <v>2009</v>
      </c>
      <c r="P2" s="64">
        <v>2010</v>
      </c>
      <c r="Q2" s="65">
        <v>2011</v>
      </c>
      <c r="R2" s="64">
        <v>2012</v>
      </c>
      <c r="S2" s="65">
        <v>2013</v>
      </c>
      <c r="T2" s="64">
        <v>2014</v>
      </c>
      <c r="U2" s="65">
        <v>2015</v>
      </c>
      <c r="V2" s="64">
        <v>2016</v>
      </c>
      <c r="W2" s="66">
        <v>2017</v>
      </c>
      <c r="AZ2" s="63"/>
      <c r="BA2" s="63"/>
      <c r="BB2" s="63"/>
      <c r="BC2" s="63"/>
      <c r="BD2" s="63"/>
      <c r="BE2" s="63"/>
    </row>
    <row r="3" spans="1:96">
      <c r="A3" s="39" t="s">
        <v>63</v>
      </c>
      <c r="B3" s="39" t="s">
        <v>69</v>
      </c>
      <c r="C3" s="39" t="s">
        <v>2</v>
      </c>
      <c r="E3" s="39" t="s">
        <v>2</v>
      </c>
      <c r="G3" s="41"/>
      <c r="H3" s="41">
        <f t="shared" ref="H3:H10" si="0">SUMIF($B$53:$B$200,$B3,J$53:J$200)+SUMIF($B$53:$B$200,$B3,I$53:I$200)</f>
        <v>3906</v>
      </c>
      <c r="I3" s="41">
        <f t="shared" ref="I3:I10" si="1">SUMIF($B$53:$B$200,$B3,P$53:P$200)+SUMIF($B$53:$B$200,$B3,Q$53:Q$200)+SUMIF($B$53:$B$200,$B3,R$53:R$200)</f>
        <v>15870</v>
      </c>
      <c r="J3" s="41">
        <f t="shared" ref="J3:J10" si="2">SUMIF($B$53:$B$200,$B3,W$53:W$200)+SUMIF($B$53:$B$200,$B3,X$53:X$200)</f>
        <v>19064</v>
      </c>
      <c r="K3" s="41">
        <f t="shared" ref="K3:K10" si="3">SUMIF($B$53:$B$200,$B3,AC$53:AC$200)+SUMIF($B$53:$B$200,$B3,AD$53:AD$200)+SUMIF($B$53:$B$200,$B3,AE$53:AE$200)+SUMIF($B$53:$B$200,$B3,AF$53:AF$200)</f>
        <v>17446</v>
      </c>
      <c r="L3" s="41">
        <f t="shared" ref="L3:L10" si="4">SUMIF($B$53:$B$200,$B3,AK$53:AK$200)+SUMIF($B$53:$B$200,$B3,AL$53:AL$200)+SUMIF($B$53:$B$200,$B3,AM$53:AM$200)</f>
        <v>18427</v>
      </c>
      <c r="M3" s="41">
        <f t="shared" ref="M3:M10" si="5">SUMIF($B$53:$B$200,$B3,AR$53:AR$200)+SUMIF($B$53:$B$200,$B3,AS$53:AS$200)+SUMIF($B$53:$B$200,$B3,AT$53:AT$200)</f>
        <v>18811</v>
      </c>
      <c r="N3" s="41">
        <f t="shared" ref="N3:N10" si="6">SUMIF($B$53:$B$200,$B3,AY$53:AY$200)+SUMIF($B$53:$B$200,$B3,AZ$53:AZ$200)+SUMIF($B$53:$B$200,$B3,BA$53:BA$200)+SUMIF($B$53:$B$200,$B3,BB$53:BB$200)</f>
        <v>19140</v>
      </c>
      <c r="O3" s="41">
        <f>SUMIF($B$53:$B$200,$B3,BG$53:BG$200)+SUMIF($B$53:$B$200,$B3,BH$53:BH$200)+SUMIF($B$53:$B$200,$B3,BI$53:BI$200)+SUMIF($B$53:$B$200,$B3,BJ$53:BJ$200)</f>
        <v>20454</v>
      </c>
      <c r="P3" s="41">
        <f t="shared" ref="P3:P10" si="7">SUMIF($B$53:$B$200,$B3,BO$53:BO$200)+SUMIF($B$53:$B$200,$B3,BP$53:BP$200)+SUMIF($B$53:$B$200,$B3,BQ$53:BQ$200)</f>
        <v>16797</v>
      </c>
      <c r="Q3" s="41">
        <f t="shared" ref="Q3:Q10" si="8">SUMIF($B$53:$B$200,$B3,BW$53:BW$200)</f>
        <v>16251</v>
      </c>
      <c r="R3" s="41">
        <f t="shared" ref="R3:R10" si="9">SUMIF($B$53:$B$200,$B3,CB$53:CB$200)</f>
        <v>11293</v>
      </c>
      <c r="S3" s="41">
        <f t="shared" ref="S3:S10" si="10">SUMIF($B$53:$B$200,$B3,CG$53:CG$200)+SUMIF($B$53:$B$200,$B3,CH$53:CH$200)</f>
        <v>14260</v>
      </c>
      <c r="T3" s="41">
        <f t="shared" ref="T3:T10" si="11">SUMIF($B$53:$B$200,$B3,CK$53:CK$200)</f>
        <v>8082</v>
      </c>
      <c r="U3" s="41">
        <f t="shared" ref="U3:U10" si="12">SUMIF($B$53:$B$200,$B3,CN$53:CN$200)+SUMIF($B$53:$B$200,$B3,CO$53:CO$200)</f>
        <v>5031</v>
      </c>
      <c r="V3" s="41">
        <f t="shared" ref="V3:V10" si="13">SUMIF($B$53:$B$200,$B3,CR$53:CR$200)</f>
        <v>3222</v>
      </c>
      <c r="W3" s="41"/>
      <c r="X3" s="41"/>
      <c r="Y3" s="41"/>
      <c r="AD3" s="39"/>
      <c r="AK3" s="39"/>
      <c r="AM3" s="39"/>
      <c r="AR3" s="39"/>
      <c r="AS3" s="39"/>
      <c r="AY3" s="39"/>
      <c r="AZ3" s="41"/>
      <c r="BA3" s="41"/>
      <c r="BG3" s="39"/>
      <c r="BI3" s="39"/>
      <c r="BO3" s="39"/>
      <c r="BP3" s="39"/>
      <c r="BW3" s="39"/>
      <c r="CB3" s="39"/>
      <c r="CG3" s="39"/>
      <c r="CK3" s="39"/>
      <c r="CN3" s="39"/>
      <c r="CR3" s="39"/>
    </row>
    <row r="4" spans="1:96">
      <c r="A4" s="39" t="s">
        <v>63</v>
      </c>
      <c r="B4" s="39" t="s">
        <v>87</v>
      </c>
      <c r="C4" s="39" t="s">
        <v>88</v>
      </c>
      <c r="E4" s="39" t="s">
        <v>88</v>
      </c>
      <c r="G4" s="41"/>
      <c r="H4" s="41">
        <f t="shared" si="0"/>
        <v>11649</v>
      </c>
      <c r="I4" s="41">
        <f t="shared" si="1"/>
        <v>47641</v>
      </c>
      <c r="J4" s="41">
        <f t="shared" si="2"/>
        <v>61019</v>
      </c>
      <c r="K4" s="41">
        <f t="shared" si="3"/>
        <v>40371</v>
      </c>
      <c r="L4" s="41">
        <f t="shared" si="4"/>
        <v>73186</v>
      </c>
      <c r="M4" s="41">
        <f t="shared" si="5"/>
        <v>92053</v>
      </c>
      <c r="N4" s="41">
        <f t="shared" si="6"/>
        <v>94231</v>
      </c>
      <c r="O4" s="41">
        <f t="shared" ref="O4:O13" si="14">SUMIF($B$53:$B$200,$B4,BG$53:BG$200)+SUMIF($B$53:$B$200,$B4,BH$53:BH$200)+SUMIF($B$53:$B$200,$B4,BI$53:BI$200)+SUMIF($B$53:$B$200,$B4,BJ$53:BJ$200)</f>
        <v>92747</v>
      </c>
      <c r="P4" s="41">
        <f t="shared" si="7"/>
        <v>110414</v>
      </c>
      <c r="Q4" s="41">
        <f t="shared" si="8"/>
        <v>111652</v>
      </c>
      <c r="R4" s="41">
        <f t="shared" si="9"/>
        <v>86776</v>
      </c>
      <c r="S4" s="41">
        <f t="shared" si="10"/>
        <v>58350</v>
      </c>
      <c r="T4" s="41">
        <f t="shared" si="11"/>
        <v>69684</v>
      </c>
      <c r="U4" s="41">
        <f t="shared" si="12"/>
        <v>50984</v>
      </c>
      <c r="V4" s="41">
        <f t="shared" si="13"/>
        <v>46968</v>
      </c>
      <c r="W4" s="41"/>
      <c r="X4" s="41"/>
      <c r="Y4" s="41"/>
      <c r="AD4" s="39"/>
      <c r="AK4" s="39"/>
      <c r="AM4" s="39"/>
      <c r="AR4" s="39"/>
      <c r="AS4" s="39"/>
      <c r="AY4" s="39"/>
      <c r="AZ4" s="41"/>
      <c r="BA4" s="41"/>
      <c r="BG4" s="39"/>
      <c r="BI4" s="39"/>
      <c r="BO4" s="39"/>
      <c r="BP4" s="39"/>
      <c r="BW4" s="39"/>
      <c r="CB4" s="39"/>
      <c r="CG4" s="39"/>
      <c r="CK4" s="39"/>
      <c r="CN4" s="39"/>
      <c r="CR4" s="39"/>
    </row>
    <row r="5" spans="1:96">
      <c r="A5" s="39" t="s">
        <v>63</v>
      </c>
      <c r="B5" s="39" t="s">
        <v>134</v>
      </c>
      <c r="C5" s="39" t="s">
        <v>4</v>
      </c>
      <c r="E5" s="39" t="s">
        <v>4</v>
      </c>
      <c r="G5" s="41"/>
      <c r="H5" s="41">
        <f t="shared" si="0"/>
        <v>1427</v>
      </c>
      <c r="I5" s="41">
        <f t="shared" si="1"/>
        <v>10389</v>
      </c>
      <c r="J5" s="41">
        <f t="shared" si="2"/>
        <v>6983</v>
      </c>
      <c r="K5" s="41">
        <f t="shared" si="3"/>
        <v>17526</v>
      </c>
      <c r="L5" s="41">
        <f t="shared" si="4"/>
        <v>27698</v>
      </c>
      <c r="M5" s="41">
        <f t="shared" si="5"/>
        <v>50765</v>
      </c>
      <c r="N5" s="41">
        <f t="shared" si="6"/>
        <v>64798</v>
      </c>
      <c r="O5" s="41">
        <f t="shared" si="14"/>
        <v>32854</v>
      </c>
      <c r="P5" s="41">
        <f t="shared" si="7"/>
        <v>31581</v>
      </c>
      <c r="Q5" s="41">
        <f t="shared" si="8"/>
        <v>28341</v>
      </c>
      <c r="R5" s="41">
        <f t="shared" si="9"/>
        <v>16052</v>
      </c>
      <c r="S5" s="41">
        <f t="shared" si="10"/>
        <v>9218</v>
      </c>
      <c r="T5" s="41">
        <f t="shared" si="11"/>
        <v>7026</v>
      </c>
      <c r="U5" s="41">
        <f t="shared" si="12"/>
        <v>7687</v>
      </c>
      <c r="V5" s="41">
        <f t="shared" si="13"/>
        <v>8129</v>
      </c>
      <c r="W5" s="41"/>
      <c r="X5" s="41"/>
      <c r="Y5" s="41"/>
      <c r="AD5" s="39"/>
      <c r="AK5" s="39"/>
      <c r="AM5" s="39"/>
      <c r="AR5" s="39"/>
      <c r="AS5" s="39"/>
      <c r="AY5" s="39"/>
      <c r="AZ5" s="41"/>
      <c r="BA5" s="41"/>
      <c r="BG5" s="39"/>
      <c r="BI5" s="39"/>
      <c r="BO5" s="39"/>
      <c r="BP5" s="39"/>
      <c r="BW5" s="39"/>
      <c r="CB5" s="39"/>
      <c r="CG5" s="39"/>
      <c r="CK5" s="39"/>
      <c r="CN5" s="39"/>
      <c r="CR5" s="39"/>
    </row>
    <row r="6" spans="1:96">
      <c r="A6" s="39" t="s">
        <v>63</v>
      </c>
      <c r="B6" s="39" t="s">
        <v>162</v>
      </c>
      <c r="C6" s="39" t="s">
        <v>163</v>
      </c>
      <c r="E6" s="39" t="s">
        <v>163</v>
      </c>
      <c r="G6" s="41"/>
      <c r="H6" s="41">
        <f t="shared" si="0"/>
        <v>145</v>
      </c>
      <c r="I6" s="41">
        <f t="shared" si="1"/>
        <v>2620</v>
      </c>
      <c r="J6" s="41">
        <f t="shared" si="2"/>
        <v>334</v>
      </c>
      <c r="K6" s="41">
        <f t="shared" si="3"/>
        <v>647</v>
      </c>
      <c r="L6" s="41">
        <f t="shared" si="4"/>
        <v>816</v>
      </c>
      <c r="M6" s="41">
        <f t="shared" si="5"/>
        <v>1507</v>
      </c>
      <c r="N6" s="41">
        <f t="shared" si="6"/>
        <v>1669</v>
      </c>
      <c r="O6" s="41">
        <f t="shared" si="14"/>
        <v>612</v>
      </c>
      <c r="P6" s="41">
        <f t="shared" si="7"/>
        <v>525</v>
      </c>
      <c r="Q6" s="41">
        <f t="shared" si="8"/>
        <v>955</v>
      </c>
      <c r="R6" s="41">
        <f t="shared" si="9"/>
        <v>527</v>
      </c>
      <c r="S6" s="41">
        <f t="shared" si="10"/>
        <v>180</v>
      </c>
      <c r="T6" s="41">
        <f t="shared" si="11"/>
        <v>135</v>
      </c>
      <c r="U6" s="41">
        <f t="shared" si="12"/>
        <v>323</v>
      </c>
      <c r="V6" s="41">
        <f t="shared" si="13"/>
        <v>232</v>
      </c>
      <c r="W6" s="41"/>
      <c r="X6" s="41"/>
      <c r="Y6" s="41"/>
      <c r="AD6" s="39"/>
      <c r="AK6" s="39"/>
      <c r="AM6" s="39"/>
      <c r="AR6" s="39"/>
      <c r="AS6" s="39"/>
      <c r="AY6" s="39"/>
      <c r="AZ6" s="41"/>
      <c r="BA6" s="41"/>
      <c r="BG6" s="39"/>
      <c r="BI6" s="39"/>
      <c r="BO6" s="39"/>
      <c r="BP6" s="39"/>
      <c r="BW6" s="39"/>
      <c r="CB6" s="39"/>
      <c r="CG6" s="39"/>
      <c r="CK6" s="39"/>
      <c r="CN6" s="39"/>
      <c r="CR6" s="39"/>
    </row>
    <row r="7" spans="1:96">
      <c r="A7" s="39" t="s">
        <v>63</v>
      </c>
      <c r="B7" s="39" t="s">
        <v>173</v>
      </c>
      <c r="C7" s="39" t="s">
        <v>6</v>
      </c>
      <c r="E7" s="39" t="s">
        <v>6</v>
      </c>
      <c r="G7" s="41"/>
      <c r="H7" s="41">
        <f t="shared" si="0"/>
        <v>105</v>
      </c>
      <c r="I7" s="41">
        <f t="shared" si="1"/>
        <v>900</v>
      </c>
      <c r="J7" s="41">
        <f t="shared" si="2"/>
        <v>501</v>
      </c>
      <c r="K7" s="41">
        <f t="shared" si="3"/>
        <v>1276</v>
      </c>
      <c r="L7" s="41">
        <f t="shared" si="4"/>
        <v>1486</v>
      </c>
      <c r="M7" s="41">
        <f t="shared" si="5"/>
        <v>4813</v>
      </c>
      <c r="N7" s="41">
        <f t="shared" si="6"/>
        <v>4234</v>
      </c>
      <c r="O7" s="41">
        <f t="shared" si="14"/>
        <v>4916</v>
      </c>
      <c r="P7" s="41">
        <f t="shared" si="7"/>
        <v>2048</v>
      </c>
      <c r="Q7" s="41">
        <f t="shared" si="8"/>
        <v>1223</v>
      </c>
      <c r="R7" s="41">
        <f t="shared" si="9"/>
        <v>0</v>
      </c>
      <c r="S7" s="41">
        <f t="shared" si="10"/>
        <v>6</v>
      </c>
      <c r="T7" s="41">
        <f t="shared" si="11"/>
        <v>0</v>
      </c>
      <c r="U7" s="41">
        <f t="shared" si="12"/>
        <v>221</v>
      </c>
      <c r="V7" s="41">
        <f t="shared" si="13"/>
        <v>0</v>
      </c>
      <c r="W7" s="41"/>
      <c r="X7" s="41"/>
      <c r="Y7" s="41"/>
      <c r="AD7" s="39"/>
      <c r="AK7" s="39"/>
      <c r="AM7" s="39"/>
      <c r="AR7" s="39"/>
      <c r="AS7" s="39"/>
      <c r="AY7" s="39"/>
      <c r="AZ7" s="41"/>
      <c r="BA7" s="41"/>
      <c r="BG7" s="39"/>
      <c r="BI7" s="39"/>
      <c r="BO7" s="39"/>
      <c r="BP7" s="39"/>
      <c r="BW7" s="39"/>
      <c r="CB7" s="39"/>
      <c r="CG7" s="39"/>
      <c r="CK7" s="39"/>
      <c r="CN7" s="39"/>
      <c r="CR7" s="39"/>
    </row>
    <row r="8" spans="1:96">
      <c r="A8" s="39" t="s">
        <v>63</v>
      </c>
      <c r="B8" s="39" t="s">
        <v>188</v>
      </c>
      <c r="C8" s="39" t="s">
        <v>19</v>
      </c>
      <c r="E8" s="39" t="s">
        <v>19</v>
      </c>
      <c r="G8" s="41"/>
      <c r="H8" s="41">
        <f t="shared" si="0"/>
        <v>0</v>
      </c>
      <c r="I8" s="41">
        <f t="shared" si="1"/>
        <v>32</v>
      </c>
      <c r="J8" s="41">
        <f t="shared" si="2"/>
        <v>24</v>
      </c>
      <c r="K8" s="41">
        <f t="shared" si="3"/>
        <v>21</v>
      </c>
      <c r="L8" s="41">
        <f t="shared" si="4"/>
        <v>460</v>
      </c>
      <c r="M8" s="41">
        <f t="shared" si="5"/>
        <v>0</v>
      </c>
      <c r="N8" s="41">
        <f t="shared" si="6"/>
        <v>12</v>
      </c>
      <c r="O8" s="41">
        <f t="shared" si="14"/>
        <v>690</v>
      </c>
      <c r="P8" s="41">
        <f t="shared" si="7"/>
        <v>8</v>
      </c>
      <c r="Q8" s="41">
        <f t="shared" si="8"/>
        <v>0</v>
      </c>
      <c r="R8" s="41">
        <f t="shared" si="9"/>
        <v>0</v>
      </c>
      <c r="S8" s="41">
        <f t="shared" si="10"/>
        <v>0</v>
      </c>
      <c r="T8" s="41">
        <f t="shared" si="11"/>
        <v>0</v>
      </c>
      <c r="U8" s="41">
        <f t="shared" si="12"/>
        <v>0</v>
      </c>
      <c r="V8" s="41">
        <f t="shared" si="13"/>
        <v>0</v>
      </c>
      <c r="W8" s="41"/>
      <c r="X8" s="41"/>
      <c r="Y8" s="41"/>
      <c r="AD8" s="39"/>
      <c r="AK8" s="39"/>
      <c r="AM8" s="39"/>
      <c r="AR8" s="39"/>
      <c r="AS8" s="39"/>
      <c r="AY8" s="39"/>
      <c r="AZ8" s="41"/>
      <c r="BA8" s="41"/>
      <c r="BG8" s="39"/>
      <c r="BI8" s="39"/>
      <c r="BO8" s="39"/>
      <c r="BP8" s="39"/>
      <c r="BW8" s="39"/>
      <c r="CB8" s="39"/>
      <c r="CG8" s="39"/>
      <c r="CK8" s="39"/>
      <c r="CN8" s="39"/>
      <c r="CR8" s="39"/>
    </row>
    <row r="9" spans="1:96">
      <c r="A9" s="39" t="s">
        <v>63</v>
      </c>
      <c r="B9" s="39" t="s">
        <v>200</v>
      </c>
      <c r="C9" s="39" t="s">
        <v>201</v>
      </c>
      <c r="E9" s="39" t="s">
        <v>201</v>
      </c>
      <c r="G9" s="41"/>
      <c r="H9" s="41">
        <f t="shared" si="0"/>
        <v>0</v>
      </c>
      <c r="I9" s="41">
        <f t="shared" si="1"/>
        <v>1124</v>
      </c>
      <c r="J9" s="41">
        <f t="shared" si="2"/>
        <v>2102</v>
      </c>
      <c r="K9" s="41">
        <f t="shared" si="3"/>
        <v>1547</v>
      </c>
      <c r="L9" s="41">
        <f t="shared" si="4"/>
        <v>3051</v>
      </c>
      <c r="M9" s="41">
        <f t="shared" si="5"/>
        <v>1121</v>
      </c>
      <c r="N9" s="41">
        <f t="shared" si="6"/>
        <v>2697</v>
      </c>
      <c r="O9" s="41">
        <f t="shared" si="14"/>
        <v>862</v>
      </c>
      <c r="P9" s="41">
        <f t="shared" si="7"/>
        <v>1547</v>
      </c>
      <c r="Q9" s="41">
        <f t="shared" si="8"/>
        <v>485</v>
      </c>
      <c r="R9" s="41">
        <f t="shared" si="9"/>
        <v>435</v>
      </c>
      <c r="S9" s="41">
        <f t="shared" si="10"/>
        <v>268</v>
      </c>
      <c r="T9" s="41">
        <f t="shared" si="11"/>
        <v>265</v>
      </c>
      <c r="U9" s="41">
        <f t="shared" si="12"/>
        <v>91</v>
      </c>
      <c r="V9" s="41">
        <f t="shared" si="13"/>
        <v>89</v>
      </c>
      <c r="W9" s="41"/>
      <c r="X9" s="41"/>
      <c r="Y9" s="41"/>
      <c r="AD9" s="39"/>
      <c r="AK9" s="39"/>
      <c r="AM9" s="39"/>
      <c r="AR9" s="39"/>
      <c r="AS9" s="39"/>
      <c r="AY9" s="39"/>
      <c r="AZ9" s="41"/>
      <c r="BA9" s="41"/>
      <c r="BG9" s="39"/>
      <c r="BI9" s="39"/>
      <c r="BO9" s="39"/>
      <c r="BP9" s="39"/>
      <c r="BW9" s="39"/>
      <c r="CB9" s="39"/>
      <c r="CG9" s="39"/>
      <c r="CK9" s="39"/>
      <c r="CN9" s="39"/>
      <c r="CR9" s="39"/>
    </row>
    <row r="10" spans="1:96">
      <c r="A10" s="39" t="s">
        <v>63</v>
      </c>
      <c r="B10" s="39" t="s">
        <v>206</v>
      </c>
      <c r="C10" s="39" t="s">
        <v>207</v>
      </c>
      <c r="E10" s="39" t="s">
        <v>207</v>
      </c>
      <c r="G10" s="41"/>
      <c r="H10" s="41">
        <f t="shared" si="0"/>
        <v>0</v>
      </c>
      <c r="I10" s="41">
        <f t="shared" si="1"/>
        <v>0</v>
      </c>
      <c r="J10" s="41">
        <f t="shared" si="2"/>
        <v>1800</v>
      </c>
      <c r="K10" s="41">
        <f t="shared" si="3"/>
        <v>0</v>
      </c>
      <c r="L10" s="41">
        <f t="shared" si="4"/>
        <v>-1400</v>
      </c>
      <c r="M10" s="41">
        <f t="shared" si="5"/>
        <v>0</v>
      </c>
      <c r="N10" s="41">
        <f t="shared" si="6"/>
        <v>0</v>
      </c>
      <c r="O10" s="41">
        <f t="shared" si="14"/>
        <v>0</v>
      </c>
      <c r="P10" s="41">
        <f t="shared" si="7"/>
        <v>0</v>
      </c>
      <c r="Q10" s="41">
        <f t="shared" si="8"/>
        <v>0</v>
      </c>
      <c r="R10" s="41">
        <f t="shared" si="9"/>
        <v>0</v>
      </c>
      <c r="S10" s="41">
        <f t="shared" si="10"/>
        <v>0</v>
      </c>
      <c r="T10" s="41">
        <f t="shared" si="11"/>
        <v>0</v>
      </c>
      <c r="U10" s="41">
        <f t="shared" si="12"/>
        <v>0</v>
      </c>
      <c r="V10" s="41">
        <f t="shared" si="13"/>
        <v>0</v>
      </c>
      <c r="W10" s="41"/>
      <c r="X10" s="41"/>
      <c r="Y10" s="41"/>
      <c r="AD10" s="39"/>
      <c r="AK10" s="39"/>
      <c r="AM10" s="39"/>
      <c r="AR10" s="39"/>
      <c r="AS10" s="39"/>
      <c r="AY10" s="39"/>
      <c r="AZ10" s="41"/>
      <c r="BA10" s="41"/>
      <c r="BG10" s="39"/>
      <c r="BI10" s="39"/>
      <c r="BO10" s="39"/>
      <c r="BP10" s="39"/>
      <c r="BW10" s="39"/>
      <c r="CB10" s="39"/>
      <c r="CG10" s="39"/>
      <c r="CK10" s="39"/>
      <c r="CN10" s="39"/>
      <c r="CR10" s="39"/>
    </row>
    <row r="11" spans="1:96">
      <c r="A11" s="39" t="s">
        <v>63</v>
      </c>
      <c r="B11" s="106" t="s">
        <v>64</v>
      </c>
      <c r="C11" s="39" t="s">
        <v>65</v>
      </c>
      <c r="E11" s="39"/>
      <c r="G11" s="41"/>
      <c r="H11" s="41">
        <f t="shared" ref="H11:H13" si="15">SUMIF($B$53:$B$200,$B11,J$53:J$200)+SUMIF($B$53:$B$200,$B11,I$53:I$200)</f>
        <v>0</v>
      </c>
      <c r="I11" s="41">
        <f t="shared" ref="I11:I13" si="16">SUMIF($B$53:$B$200,$B11,P$53:P$200)+SUMIF($B$53:$B$200,$B11,Q$53:Q$200)+SUMIF($B$53:$B$200,$B11,R$53:R$200)</f>
        <v>0</v>
      </c>
      <c r="J11" s="41">
        <f t="shared" ref="J11:J13" si="17">SUMIF($B$53:$B$200,$B11,W$53:W$200)+SUMIF($B$53:$B$200,$B11,X$53:X$200)</f>
        <v>0</v>
      </c>
      <c r="K11" s="41">
        <f t="shared" ref="K11:K13" si="18">SUMIF($B$53:$B$200,$B11,AC$53:AC$200)+SUMIF($B$53:$B$200,$B11,AD$53:AD$200)+SUMIF($B$53:$B$200,$B11,AE$53:AE$200)+SUMIF($B$53:$B$200,$B11,AF$53:AF$200)</f>
        <v>0</v>
      </c>
      <c r="L11" s="41">
        <f t="shared" ref="L11:L13" si="19">SUMIF($B$53:$B$200,$B11,AK$53:AK$200)+SUMIF($B$53:$B$200,$B11,AL$53:AL$200)+SUMIF($B$53:$B$200,$B11,AM$53:AM$200)</f>
        <v>0</v>
      </c>
      <c r="M11" s="41">
        <f t="shared" ref="M11:M13" si="20">SUMIF($B$53:$B$200,$B11,AR$53:AR$200)+SUMIF($B$53:$B$200,$B11,AS$53:AS$200)+SUMIF($B$53:$B$200,$B11,AT$53:AT$200)</f>
        <v>0</v>
      </c>
      <c r="N11" s="41">
        <f t="shared" ref="N11:N13" si="21">SUMIF($B$53:$B$200,$B11,AY$53:AY$200)+SUMIF($B$53:$B$200,$B11,AZ$53:AZ$200)+SUMIF($B$53:$B$200,$B11,BA$53:BA$200)+SUMIF($B$53:$B$200,$B11,BB$53:BB$200)</f>
        <v>0</v>
      </c>
      <c r="O11" s="41">
        <f t="shared" si="14"/>
        <v>0</v>
      </c>
      <c r="P11" s="41">
        <f t="shared" ref="P11:P13" si="22">SUMIF($B$53:$B$200,$B11,BO$53:BO$200)+SUMIF($B$53:$B$200,$B11,BP$53:BP$200)+SUMIF($B$53:$B$200,$B11,BQ$53:BQ$200)</f>
        <v>0</v>
      </c>
      <c r="Q11" s="41">
        <f t="shared" ref="Q11:Q13" si="23">SUMIF($B$53:$B$200,$B11,BW$53:BW$200)</f>
        <v>0</v>
      </c>
      <c r="R11" s="41">
        <f t="shared" ref="R11:R13" si="24">SUMIF($B$53:$B$200,$B11,CB$53:CB$200)</f>
        <v>0</v>
      </c>
      <c r="S11" s="41">
        <f t="shared" ref="S11:S13" si="25">SUMIF($B$53:$B$200,$B11,CG$53:CG$200)+SUMIF($B$53:$B$200,$B11,CH$53:CH$200)</f>
        <v>0</v>
      </c>
      <c r="T11" s="41">
        <f t="shared" ref="T11:T13" si="26">SUMIF($B$53:$B$200,$B11,CK$53:CK$200)</f>
        <v>0</v>
      </c>
      <c r="U11" s="41">
        <f t="shared" ref="U11:U13" si="27">SUMIF($B$53:$B$200,$B11,CN$53:CN$200)+SUMIF($B$53:$B$200,$B11,CO$53:CO$200)</f>
        <v>0</v>
      </c>
      <c r="V11" s="41">
        <f t="shared" ref="V11:V13" si="28">SUMIF($B$53:$B$200,$B11,CR$53:CR$200)</f>
        <v>0</v>
      </c>
      <c r="W11" s="41"/>
      <c r="X11" s="41"/>
      <c r="Y11" s="41"/>
      <c r="AD11" s="39"/>
      <c r="AK11" s="39"/>
      <c r="AM11" s="39"/>
      <c r="AR11" s="39"/>
      <c r="AS11" s="39"/>
      <c r="AY11" s="39"/>
      <c r="AZ11" s="41"/>
      <c r="BA11" s="41"/>
      <c r="BG11" s="39"/>
      <c r="BI11" s="39"/>
      <c r="BO11" s="39"/>
      <c r="BP11" s="39"/>
      <c r="BW11" s="39"/>
      <c r="CB11" s="39"/>
      <c r="CG11" s="39"/>
      <c r="CK11" s="39"/>
      <c r="CN11" s="39"/>
      <c r="CR11" s="39"/>
    </row>
    <row r="12" spans="1:96">
      <c r="A12" s="39" t="s">
        <v>63</v>
      </c>
      <c r="B12" s="106" t="s">
        <v>155</v>
      </c>
      <c r="C12" s="39" t="s">
        <v>4</v>
      </c>
      <c r="E12" s="39"/>
      <c r="G12" s="41"/>
      <c r="H12" s="41">
        <f t="shared" si="15"/>
        <v>0</v>
      </c>
      <c r="I12" s="41">
        <f t="shared" si="16"/>
        <v>0</v>
      </c>
      <c r="J12" s="41">
        <f t="shared" si="17"/>
        <v>0</v>
      </c>
      <c r="K12" s="41">
        <f t="shared" si="18"/>
        <v>0</v>
      </c>
      <c r="L12" s="41">
        <f t="shared" si="19"/>
        <v>0</v>
      </c>
      <c r="M12" s="41">
        <f t="shared" si="20"/>
        <v>0</v>
      </c>
      <c r="N12" s="41">
        <f t="shared" si="21"/>
        <v>0</v>
      </c>
      <c r="O12" s="41">
        <f t="shared" si="14"/>
        <v>0</v>
      </c>
      <c r="P12" s="41">
        <f t="shared" si="22"/>
        <v>0</v>
      </c>
      <c r="Q12" s="41">
        <f t="shared" si="23"/>
        <v>0</v>
      </c>
      <c r="R12" s="41">
        <f t="shared" si="24"/>
        <v>0</v>
      </c>
      <c r="S12" s="41">
        <f t="shared" si="25"/>
        <v>0</v>
      </c>
      <c r="T12" s="41">
        <f t="shared" si="26"/>
        <v>0</v>
      </c>
      <c r="U12" s="41">
        <f t="shared" si="27"/>
        <v>0</v>
      </c>
      <c r="V12" s="41">
        <f t="shared" si="28"/>
        <v>0</v>
      </c>
      <c r="W12" s="41"/>
      <c r="X12" s="41"/>
      <c r="Y12" s="41"/>
      <c r="AD12" s="39"/>
      <c r="AK12" s="39"/>
      <c r="AM12" s="39"/>
      <c r="AR12" s="39"/>
      <c r="AS12" s="39"/>
      <c r="AY12" s="39"/>
      <c r="AZ12" s="41"/>
      <c r="BA12" s="41"/>
      <c r="BG12" s="39"/>
      <c r="BI12" s="39"/>
      <c r="BO12" s="39"/>
      <c r="BP12" s="39"/>
      <c r="BW12" s="39"/>
      <c r="CB12" s="39"/>
      <c r="CG12" s="39"/>
      <c r="CK12" s="39"/>
      <c r="CN12" s="39"/>
      <c r="CR12" s="39"/>
    </row>
    <row r="13" spans="1:96">
      <c r="A13" s="39" t="s">
        <v>63</v>
      </c>
      <c r="B13" s="106" t="s">
        <v>212</v>
      </c>
      <c r="C13" s="39" t="s">
        <v>642</v>
      </c>
      <c r="E13" s="39"/>
      <c r="G13" s="41"/>
      <c r="H13" s="41">
        <f t="shared" si="15"/>
        <v>0</v>
      </c>
      <c r="I13" s="41">
        <f t="shared" si="16"/>
        <v>0</v>
      </c>
      <c r="J13" s="41">
        <f t="shared" si="17"/>
        <v>0</v>
      </c>
      <c r="K13" s="41">
        <f t="shared" si="18"/>
        <v>0</v>
      </c>
      <c r="L13" s="41">
        <f t="shared" si="19"/>
        <v>49</v>
      </c>
      <c r="M13" s="41">
        <f t="shared" si="20"/>
        <v>0</v>
      </c>
      <c r="N13" s="41">
        <f t="shared" si="21"/>
        <v>0</v>
      </c>
      <c r="O13" s="41">
        <f t="shared" si="14"/>
        <v>0</v>
      </c>
      <c r="P13" s="41">
        <f t="shared" si="22"/>
        <v>0</v>
      </c>
      <c r="Q13" s="41">
        <f t="shared" si="23"/>
        <v>0</v>
      </c>
      <c r="R13" s="41">
        <f t="shared" si="24"/>
        <v>0</v>
      </c>
      <c r="S13" s="41">
        <f t="shared" si="25"/>
        <v>0</v>
      </c>
      <c r="T13" s="41">
        <f t="shared" si="26"/>
        <v>0</v>
      </c>
      <c r="U13" s="41">
        <f t="shared" si="27"/>
        <v>0</v>
      </c>
      <c r="V13" s="41">
        <f t="shared" si="28"/>
        <v>0</v>
      </c>
      <c r="W13" s="41"/>
      <c r="X13" s="41"/>
      <c r="Y13" s="41"/>
      <c r="AD13" s="39"/>
      <c r="AK13" s="39"/>
      <c r="AM13" s="39"/>
      <c r="AR13" s="39"/>
      <c r="AS13" s="39"/>
      <c r="AY13" s="39"/>
      <c r="AZ13" s="41"/>
      <c r="BA13" s="41"/>
      <c r="BG13" s="39"/>
      <c r="BI13" s="39"/>
      <c r="BO13" s="39"/>
      <c r="BP13" s="39"/>
      <c r="BW13" s="39"/>
      <c r="CB13" s="39"/>
      <c r="CG13" s="39"/>
      <c r="CK13" s="39"/>
      <c r="CN13" s="39"/>
      <c r="CR13" s="39"/>
    </row>
    <row r="14" spans="1:96" s="62" customFormat="1" ht="19">
      <c r="E14" s="69" t="s">
        <v>579</v>
      </c>
      <c r="G14" s="67">
        <f>SUBTOTAL(9,G3:G10)</f>
        <v>0</v>
      </c>
      <c r="H14" s="67">
        <f>SUBTOTAL(9,H3:H13)</f>
        <v>17232</v>
      </c>
      <c r="I14" s="67">
        <f t="shared" ref="I14:V14" si="29">SUBTOTAL(9,I3:I13)</f>
        <v>78576</v>
      </c>
      <c r="J14" s="67">
        <f t="shared" si="29"/>
        <v>91827</v>
      </c>
      <c r="K14" s="67">
        <f t="shared" si="29"/>
        <v>78834</v>
      </c>
      <c r="L14" s="67">
        <f t="shared" si="29"/>
        <v>123773</v>
      </c>
      <c r="M14" s="67">
        <f t="shared" si="29"/>
        <v>169070</v>
      </c>
      <c r="N14" s="67">
        <f t="shared" si="29"/>
        <v>186781</v>
      </c>
      <c r="O14" s="67">
        <f t="shared" si="29"/>
        <v>153135</v>
      </c>
      <c r="P14" s="67">
        <f t="shared" si="29"/>
        <v>162920</v>
      </c>
      <c r="Q14" s="67">
        <f t="shared" si="29"/>
        <v>158907</v>
      </c>
      <c r="R14" s="67">
        <f t="shared" si="29"/>
        <v>115083</v>
      </c>
      <c r="S14" s="67">
        <f t="shared" si="29"/>
        <v>82282</v>
      </c>
      <c r="T14" s="67">
        <f t="shared" si="29"/>
        <v>85192</v>
      </c>
      <c r="U14" s="67">
        <f t="shared" si="29"/>
        <v>64337</v>
      </c>
      <c r="V14" s="67">
        <f t="shared" si="29"/>
        <v>58640</v>
      </c>
      <c r="W14" s="63">
        <f>SUBTOTAL(9,W3:W10)</f>
        <v>0</v>
      </c>
      <c r="AZ14" s="63"/>
      <c r="BA14" s="63"/>
      <c r="BB14" s="63"/>
      <c r="BC14" s="63"/>
      <c r="BD14" s="63"/>
      <c r="BE14" s="63"/>
    </row>
    <row r="15" spans="1:96">
      <c r="J15" s="39"/>
      <c r="N15" s="40"/>
      <c r="P15" s="39"/>
      <c r="Q15" s="39"/>
      <c r="R15" s="39"/>
      <c r="W15" s="39"/>
      <c r="X15" s="39"/>
      <c r="AD15" s="39"/>
      <c r="AK15" s="39"/>
      <c r="AM15" s="39"/>
      <c r="AR15" s="39"/>
      <c r="AS15" s="39"/>
      <c r="AY15" s="39"/>
      <c r="AZ15" s="41"/>
      <c r="BA15" s="41"/>
      <c r="BG15" s="39"/>
      <c r="BI15" s="39"/>
      <c r="BO15" s="39"/>
      <c r="BP15" s="39"/>
      <c r="BW15" s="39"/>
      <c r="CB15" s="39"/>
      <c r="CG15" s="39"/>
      <c r="CK15" s="39"/>
      <c r="CN15" s="39"/>
      <c r="CR15" s="39"/>
    </row>
    <row r="16" spans="1:96" s="62" customFormat="1" ht="19">
      <c r="E16" s="62" t="s">
        <v>639</v>
      </c>
      <c r="G16" s="64">
        <v>2001</v>
      </c>
      <c r="H16" s="64">
        <v>2002</v>
      </c>
      <c r="I16" s="65">
        <v>2003</v>
      </c>
      <c r="J16" s="64">
        <v>2004</v>
      </c>
      <c r="K16" s="65">
        <v>2005</v>
      </c>
      <c r="L16" s="64">
        <v>2006</v>
      </c>
      <c r="M16" s="65">
        <v>2007</v>
      </c>
      <c r="N16" s="64">
        <v>2008</v>
      </c>
      <c r="O16" s="65">
        <v>2009</v>
      </c>
      <c r="P16" s="64">
        <v>2010</v>
      </c>
      <c r="Q16" s="65">
        <v>2011</v>
      </c>
      <c r="R16" s="64">
        <v>2012</v>
      </c>
      <c r="S16" s="65">
        <v>2013</v>
      </c>
      <c r="T16" s="64">
        <v>2014</v>
      </c>
      <c r="U16" s="65">
        <v>2015</v>
      </c>
      <c r="V16" s="64">
        <v>2016</v>
      </c>
      <c r="W16" s="66">
        <v>2017</v>
      </c>
      <c r="AZ16" s="63"/>
      <c r="BA16" s="63"/>
      <c r="BB16" s="63"/>
      <c r="BC16" s="63"/>
      <c r="BD16" s="63"/>
      <c r="BE16" s="63"/>
    </row>
    <row r="17" spans="1:96">
      <c r="C17" s="39" t="s">
        <v>2</v>
      </c>
      <c r="E17" s="39" t="s">
        <v>2</v>
      </c>
      <c r="G17" s="41">
        <f>G3-'GB_Tab2-1'!C6</f>
        <v>-515</v>
      </c>
      <c r="H17" s="41">
        <f>H3-'GB_Tab2-1'!D6</f>
        <v>3700</v>
      </c>
      <c r="I17" s="41">
        <f>I3-'GB_Tab2-1'!E6</f>
        <v>851</v>
      </c>
      <c r="J17" s="41">
        <f>J3-'GB_Tab2-1'!F6</f>
        <v>0</v>
      </c>
      <c r="K17" s="41">
        <f>K3-'GB_Tab2-1'!G6</f>
        <v>-1</v>
      </c>
      <c r="L17" s="41">
        <f>L3-'GB_Tab2-1'!H6</f>
        <v>1390</v>
      </c>
      <c r="M17" s="41">
        <f>M3-'GB_Tab2-1'!I6</f>
        <v>-83</v>
      </c>
      <c r="N17" s="41">
        <f>N3-'GB_Tab2-1'!J6</f>
        <v>2</v>
      </c>
      <c r="O17" s="41">
        <f>O3-'GB_Tab2-1'!K6</f>
        <v>534</v>
      </c>
      <c r="P17" s="41">
        <f>P3-'GB_Tab2-1'!L6</f>
        <v>-72</v>
      </c>
      <c r="Q17" s="41">
        <f>Q3-'GB_Tab2-1'!M6</f>
        <v>611</v>
      </c>
      <c r="R17" s="41">
        <f>R3-'GB_Tab2-1'!N6</f>
        <v>0</v>
      </c>
      <c r="S17" s="41">
        <f>S3-'GB_Tab2-1'!O6</f>
        <v>2137</v>
      </c>
      <c r="T17" s="41">
        <f>T3-'GB_Tab2-1'!P6</f>
        <v>272</v>
      </c>
      <c r="U17" s="41">
        <f>U3-'GB_Tab2-1'!Q6</f>
        <v>256</v>
      </c>
      <c r="V17" s="41">
        <f>V3-'GB_Tab2-1'!R6</f>
        <v>42</v>
      </c>
      <c r="W17" s="39"/>
      <c r="X17" s="39"/>
      <c r="AD17" s="39"/>
      <c r="AK17" s="39"/>
      <c r="AM17" s="39"/>
      <c r="AR17" s="39"/>
      <c r="AS17" s="39"/>
      <c r="AY17" s="39"/>
      <c r="AZ17" s="41"/>
      <c r="BA17" s="41"/>
      <c r="BG17" s="39"/>
      <c r="BI17" s="39"/>
      <c r="BO17" s="39"/>
      <c r="BP17" s="39"/>
      <c r="BW17" s="39"/>
      <c r="CB17" s="39"/>
      <c r="CG17" s="39"/>
      <c r="CK17" s="39"/>
      <c r="CN17" s="39"/>
      <c r="CR17" s="39"/>
    </row>
    <row r="18" spans="1:96">
      <c r="C18" s="39" t="s">
        <v>88</v>
      </c>
      <c r="E18" s="39" t="s">
        <v>88</v>
      </c>
      <c r="G18" s="41">
        <f>G4-'GB_Tab2-1'!C11</f>
        <v>-26493</v>
      </c>
      <c r="H18" s="41">
        <f>H4-'GB_Tab2-1'!D11</f>
        <v>-3730</v>
      </c>
      <c r="I18" s="41">
        <f>I4-'GB_Tab2-1'!E11</f>
        <v>-5144</v>
      </c>
      <c r="J18" s="41">
        <f>J4-'GB_Tab2-1'!F11</f>
        <v>-1124</v>
      </c>
      <c r="K18" s="41">
        <f>K4-'GB_Tab2-1'!G11</f>
        <v>-9</v>
      </c>
      <c r="L18" s="41">
        <f>L4-'GB_Tab2-1'!H11</f>
        <v>-2104</v>
      </c>
      <c r="M18" s="41">
        <f>M4-'GB_Tab2-1'!I11</f>
        <v>-1562</v>
      </c>
      <c r="N18" s="41">
        <f>N4-'GB_Tab2-1'!J11</f>
        <v>882</v>
      </c>
      <c r="O18" s="41">
        <f>O4-'GB_Tab2-1'!K11</f>
        <v>1174</v>
      </c>
      <c r="P18" s="41">
        <f>P4-'GB_Tab2-1'!L11</f>
        <v>1443</v>
      </c>
      <c r="Q18" s="41">
        <f>Q4-'GB_Tab2-1'!M11</f>
        <v>1433</v>
      </c>
      <c r="R18" s="41">
        <f>R4-'GB_Tab2-1'!N11</f>
        <v>0</v>
      </c>
      <c r="S18" s="41">
        <f>S4-'GB_Tab2-1'!O11</f>
        <v>-3236</v>
      </c>
      <c r="T18" s="41">
        <f>T4-'GB_Tab2-1'!P11</f>
        <v>892</v>
      </c>
      <c r="U18" s="41">
        <f>U4-'GB_Tab2-1'!Q11</f>
        <v>1501</v>
      </c>
      <c r="V18" s="41">
        <f>V4-'GB_Tab2-1'!R11</f>
        <v>-186</v>
      </c>
      <c r="W18" s="39"/>
      <c r="X18" s="39"/>
      <c r="AD18" s="39"/>
      <c r="AK18" s="39"/>
      <c r="AM18" s="39"/>
      <c r="AR18" s="39"/>
      <c r="AS18" s="39"/>
      <c r="AY18" s="39"/>
      <c r="AZ18" s="41"/>
      <c r="BA18" s="41"/>
      <c r="BG18" s="39"/>
      <c r="BI18" s="39"/>
      <c r="BO18" s="39"/>
      <c r="BP18" s="39"/>
      <c r="BW18" s="39"/>
      <c r="CB18" s="39"/>
      <c r="CG18" s="39"/>
      <c r="CK18" s="39"/>
      <c r="CN18" s="39"/>
      <c r="CR18" s="39"/>
    </row>
    <row r="19" spans="1:96">
      <c r="C19" s="39" t="s">
        <v>4</v>
      </c>
      <c r="E19" s="39" t="s">
        <v>4</v>
      </c>
      <c r="G19" s="41">
        <f>G5-'GB_Tab2-1'!C16</f>
        <v>-978</v>
      </c>
      <c r="H19" s="41">
        <f>H5-'GB_Tab2-1'!D16</f>
        <v>233</v>
      </c>
      <c r="I19" s="41">
        <f>I5-'GB_Tab2-1'!E16</f>
        <v>6655</v>
      </c>
      <c r="J19" s="41">
        <f>J5-'GB_Tab2-1'!F16</f>
        <v>63</v>
      </c>
      <c r="K19" s="41">
        <f>K5-'GB_Tab2-1'!G16</f>
        <v>0</v>
      </c>
      <c r="L19" s="41">
        <f>L5-'GB_Tab2-1'!H16</f>
        <v>1959</v>
      </c>
      <c r="M19" s="41">
        <f>M5-'GB_Tab2-1'!I16</f>
        <v>1299</v>
      </c>
      <c r="N19" s="41">
        <f>N5-'GB_Tab2-1'!J16</f>
        <v>-1071</v>
      </c>
      <c r="O19" s="41">
        <f>O5-'GB_Tab2-1'!K16</f>
        <v>-1698</v>
      </c>
      <c r="P19" s="41">
        <f>P5-'GB_Tab2-1'!L16</f>
        <v>-1051</v>
      </c>
      <c r="Q19" s="41">
        <f>Q5-'GB_Tab2-1'!M16</f>
        <v>-1484</v>
      </c>
      <c r="R19" s="41">
        <f>R5-'GB_Tab2-1'!N16</f>
        <v>0</v>
      </c>
      <c r="S19" s="41">
        <f>S5-'GB_Tab2-1'!O16</f>
        <v>1083</v>
      </c>
      <c r="T19" s="41">
        <f>T5-'GB_Tab2-1'!P16</f>
        <v>-1217</v>
      </c>
      <c r="U19" s="41">
        <f>U5-'GB_Tab2-1'!Q16</f>
        <v>-547</v>
      </c>
      <c r="V19" s="41">
        <f>V5-'GB_Tab2-1'!R16</f>
        <v>-234</v>
      </c>
      <c r="W19" s="39"/>
      <c r="X19" s="39"/>
      <c r="AD19" s="39"/>
      <c r="AK19" s="39"/>
      <c r="AM19" s="39"/>
      <c r="AR19" s="39"/>
      <c r="AS19" s="39"/>
      <c r="AY19" s="39"/>
      <c r="AZ19" s="41"/>
      <c r="BA19" s="41"/>
      <c r="BG19" s="39"/>
      <c r="BI19" s="39"/>
      <c r="BO19" s="39"/>
      <c r="BP19" s="39"/>
      <c r="BW19" s="39"/>
      <c r="CB19" s="39"/>
      <c r="CG19" s="39"/>
      <c r="CK19" s="39"/>
      <c r="CN19" s="39"/>
      <c r="CR19" s="39"/>
    </row>
    <row r="20" spans="1:96">
      <c r="C20" s="39" t="s">
        <v>163</v>
      </c>
      <c r="E20" s="39" t="s">
        <v>163</v>
      </c>
      <c r="G20" s="41">
        <f>G6-'GB_Tab2-1'!C21</f>
        <v>-487</v>
      </c>
      <c r="H20" s="41">
        <f>H6-'GB_Tab2-1'!D21</f>
        <v>159</v>
      </c>
      <c r="I20" s="41">
        <f>I6-'GB_Tab2-1'!E21</f>
        <v>1811</v>
      </c>
      <c r="J20" s="41">
        <f>J6-'GB_Tab2-1'!F21</f>
        <v>0</v>
      </c>
      <c r="K20" s="41">
        <f>K6-'GB_Tab2-1'!G21</f>
        <v>1</v>
      </c>
      <c r="L20" s="41">
        <f>L6-'GB_Tab2-1'!H21</f>
        <v>-1</v>
      </c>
      <c r="M20" s="41">
        <f>M6-'GB_Tab2-1'!I21</f>
        <v>1</v>
      </c>
      <c r="N20" s="41">
        <f>N6-'GB_Tab2-1'!J21</f>
        <v>61</v>
      </c>
      <c r="O20" s="41">
        <f>O6-'GB_Tab2-1'!K21</f>
        <v>0</v>
      </c>
      <c r="P20" s="41">
        <f>P6-'GB_Tab2-1'!L21</f>
        <v>-444</v>
      </c>
      <c r="Q20" s="41">
        <f>Q6-'GB_Tab2-1'!M21</f>
        <v>-441</v>
      </c>
      <c r="R20" s="41">
        <f>R6-'GB_Tab2-1'!N21</f>
        <v>1</v>
      </c>
      <c r="S20" s="41">
        <f>S6-'GB_Tab2-1'!O21</f>
        <v>-12</v>
      </c>
      <c r="T20" s="41">
        <f>T6-'GB_Tab2-1'!P21</f>
        <v>-175</v>
      </c>
      <c r="U20" s="41">
        <f>U6-'GB_Tab2-1'!Q21</f>
        <v>-58</v>
      </c>
      <c r="V20" s="41">
        <f>V6-'GB_Tab2-1'!R21</f>
        <v>-10</v>
      </c>
      <c r="W20" s="39"/>
      <c r="X20" s="39"/>
      <c r="AD20" s="39"/>
      <c r="AK20" s="39"/>
      <c r="AM20" s="39"/>
      <c r="AR20" s="39"/>
      <c r="AS20" s="39"/>
      <c r="AY20" s="39"/>
      <c r="AZ20" s="41"/>
      <c r="BA20" s="41"/>
      <c r="BG20" s="39"/>
      <c r="BI20" s="39"/>
      <c r="BO20" s="39"/>
      <c r="BP20" s="39"/>
      <c r="BW20" s="39"/>
      <c r="CB20" s="39"/>
      <c r="CG20" s="39"/>
      <c r="CK20" s="39"/>
      <c r="CN20" s="39"/>
      <c r="CR20" s="39"/>
    </row>
    <row r="21" spans="1:96">
      <c r="C21" s="39" t="s">
        <v>6</v>
      </c>
      <c r="E21" s="39" t="s">
        <v>6</v>
      </c>
      <c r="G21" s="41">
        <f>G7-'GB_Tab2-1'!C26</f>
        <v>-63</v>
      </c>
      <c r="H21" s="41">
        <f>H7-'GB_Tab2-1'!D26</f>
        <v>0</v>
      </c>
      <c r="I21" s="41">
        <f>I7-'GB_Tab2-1'!E26</f>
        <v>714</v>
      </c>
      <c r="J21" s="41">
        <f>J7-'GB_Tab2-1'!F26</f>
        <v>0</v>
      </c>
      <c r="K21" s="41">
        <f>K7-'GB_Tab2-1'!G26</f>
        <v>0</v>
      </c>
      <c r="L21" s="41">
        <f>L7-'GB_Tab2-1'!H26</f>
        <v>11</v>
      </c>
      <c r="M21" s="41">
        <f>M7-'GB_Tab2-1'!I26</f>
        <v>6</v>
      </c>
      <c r="N21" s="41">
        <f>N7-'GB_Tab2-1'!J26</f>
        <v>0</v>
      </c>
      <c r="O21" s="41">
        <f>O7-'GB_Tab2-1'!K26</f>
        <v>0</v>
      </c>
      <c r="P21" s="41">
        <f>P7-'GB_Tab2-1'!L26</f>
        <v>0</v>
      </c>
      <c r="Q21" s="41">
        <f>Q7-'GB_Tab2-1'!M26</f>
        <v>0</v>
      </c>
      <c r="R21" s="41">
        <f>R7-'GB_Tab2-1'!N26</f>
        <v>0</v>
      </c>
      <c r="S21" s="41">
        <f>S7-'GB_Tab2-1'!O26</f>
        <v>-9</v>
      </c>
      <c r="T21" s="41">
        <f>T7-'GB_Tab2-1'!P26</f>
        <v>0</v>
      </c>
      <c r="U21" s="41">
        <f>U7-'GB_Tab2-1'!Q26</f>
        <v>0</v>
      </c>
      <c r="V21" s="41">
        <f>V7-'GB_Tab2-1'!R26</f>
        <v>0</v>
      </c>
      <c r="W21" s="39"/>
      <c r="X21" s="39"/>
      <c r="AD21" s="39"/>
      <c r="AK21" s="39"/>
      <c r="AM21" s="39"/>
      <c r="AR21" s="39"/>
      <c r="AS21" s="39"/>
      <c r="AY21" s="39"/>
      <c r="AZ21" s="41"/>
      <c r="BA21" s="41"/>
      <c r="BG21" s="39"/>
      <c r="BI21" s="39"/>
      <c r="BO21" s="39"/>
      <c r="BP21" s="39"/>
      <c r="BW21" s="39"/>
      <c r="CB21" s="39"/>
      <c r="CG21" s="39"/>
      <c r="CK21" s="39"/>
      <c r="CN21" s="39"/>
      <c r="CR21" s="39"/>
    </row>
    <row r="22" spans="1:96">
      <c r="C22" s="39" t="s">
        <v>19</v>
      </c>
      <c r="E22" s="39" t="s">
        <v>19</v>
      </c>
      <c r="G22" s="41">
        <f>G8+-'GB_Tab2-1'!C31</f>
        <v>-60</v>
      </c>
      <c r="H22" s="41">
        <f>H8+-'GB_Tab2-1'!D31</f>
        <v>0</v>
      </c>
      <c r="I22" s="41">
        <f>I8+-'GB_Tab2-1'!E31</f>
        <v>30</v>
      </c>
      <c r="J22" s="41">
        <f>J8+-'GB_Tab2-1'!F31</f>
        <v>0</v>
      </c>
      <c r="K22" s="41">
        <f>K8+-'GB_Tab2-1'!G31</f>
        <v>0</v>
      </c>
      <c r="L22" s="41">
        <f>L8+-'GB_Tab2-1'!H31</f>
        <v>0</v>
      </c>
      <c r="M22" s="41">
        <f>M8+-'GB_Tab2-1'!I31</f>
        <v>0</v>
      </c>
      <c r="N22" s="41">
        <f>N8+-'GB_Tab2-1'!J31</f>
        <v>0</v>
      </c>
      <c r="O22" s="41">
        <f>O8+-'GB_Tab2-1'!K31</f>
        <v>0</v>
      </c>
      <c r="P22" s="41">
        <f>P8+-'GB_Tab2-1'!L31</f>
        <v>0</v>
      </c>
      <c r="Q22" s="41">
        <f>Q8+-'GB_Tab2-1'!M31</f>
        <v>0</v>
      </c>
      <c r="R22" s="41">
        <f>R8+-'GB_Tab2-1'!N31</f>
        <v>0</v>
      </c>
      <c r="S22" s="41">
        <f>S8+-'GB_Tab2-1'!O31</f>
        <v>0</v>
      </c>
      <c r="T22" s="41">
        <f>T8+-'GB_Tab2-1'!P31</f>
        <v>0</v>
      </c>
      <c r="U22" s="41">
        <f>U8+-'GB_Tab2-1'!Q31</f>
        <v>0</v>
      </c>
      <c r="V22" s="41">
        <f>V8+-'GB_Tab2-1'!R31</f>
        <v>0</v>
      </c>
      <c r="W22" s="39"/>
      <c r="X22" s="39"/>
      <c r="AD22" s="39"/>
      <c r="AK22" s="39"/>
      <c r="AM22" s="39"/>
      <c r="AR22" s="39"/>
      <c r="AS22" s="39"/>
      <c r="AY22" s="39"/>
      <c r="AZ22" s="41"/>
      <c r="BA22" s="41"/>
      <c r="BG22" s="39"/>
      <c r="BI22" s="39"/>
      <c r="BO22" s="39"/>
      <c r="BP22" s="39"/>
      <c r="BW22" s="39"/>
      <c r="CB22" s="39"/>
      <c r="CG22" s="39"/>
      <c r="CK22" s="39"/>
      <c r="CN22" s="39"/>
      <c r="CR22" s="39"/>
    </row>
    <row r="23" spans="1:96">
      <c r="C23" s="39" t="s">
        <v>201</v>
      </c>
      <c r="E23" s="39" t="s">
        <v>201</v>
      </c>
      <c r="G23" s="41">
        <f>G9+G10-'GB_Tab2-1'!C36</f>
        <v>-178</v>
      </c>
      <c r="H23" s="41">
        <f>H9+H10-'GB_Tab2-1'!D36</f>
        <v>0</v>
      </c>
      <c r="I23" s="41">
        <f>I9+I10-'GB_Tab2-1'!E36</f>
        <v>1124</v>
      </c>
      <c r="J23" s="41">
        <f>J9+J10-'GB_Tab2-1'!F36</f>
        <v>1800</v>
      </c>
      <c r="K23" s="41">
        <f>K9+K10-'GB_Tab2-1'!G36</f>
        <v>0</v>
      </c>
      <c r="L23" s="41">
        <f>L9+L10-'GB_Tab2-1'!H36</f>
        <v>-1448</v>
      </c>
      <c r="M23" s="41">
        <f>M9+M10-'GB_Tab2-1'!I36</f>
        <v>0</v>
      </c>
      <c r="N23" s="41">
        <f>N9+N10-'GB_Tab2-1'!J36</f>
        <v>-1</v>
      </c>
      <c r="O23" s="41">
        <f>O9+O10-'GB_Tab2-1'!K36</f>
        <v>0</v>
      </c>
      <c r="P23" s="41">
        <f>P9+P10-'GB_Tab2-1'!L36</f>
        <v>0</v>
      </c>
      <c r="Q23" s="41">
        <f>Q9+Q10-'GB_Tab2-1'!M36</f>
        <v>0</v>
      </c>
      <c r="R23" s="41">
        <f>R9+R10-'GB_Tab2-1'!N36</f>
        <v>0</v>
      </c>
      <c r="S23" s="41">
        <f>S9+S10-'GB_Tab2-1'!O36</f>
        <v>234</v>
      </c>
      <c r="T23" s="41">
        <f>T9+T10-'GB_Tab2-1'!P36</f>
        <v>265</v>
      </c>
      <c r="U23" s="41">
        <f>U9+U10-'GB_Tab2-1'!Q36</f>
        <v>91</v>
      </c>
      <c r="V23" s="41">
        <f>V9+V10-'GB_Tab2-1'!R36</f>
        <v>86</v>
      </c>
      <c r="W23" s="39"/>
      <c r="X23" s="39"/>
      <c r="AD23" s="39"/>
      <c r="AK23" s="39"/>
      <c r="AM23" s="39"/>
      <c r="AR23" s="39"/>
      <c r="AS23" s="39"/>
      <c r="AY23" s="39"/>
      <c r="AZ23" s="41"/>
      <c r="BA23" s="41"/>
      <c r="BG23" s="39"/>
      <c r="BI23" s="39"/>
      <c r="BO23" s="39"/>
      <c r="BP23" s="39"/>
      <c r="BW23" s="39"/>
      <c r="CB23" s="39"/>
      <c r="CG23" s="39"/>
      <c r="CK23" s="39"/>
      <c r="CN23" s="39"/>
      <c r="CR23" s="39"/>
    </row>
    <row r="24" spans="1:96" s="62" customFormat="1" ht="19">
      <c r="E24" s="69" t="s">
        <v>580</v>
      </c>
      <c r="G24" s="67">
        <f t="shared" ref="G24:V24" si="30">SUBTOTAL(9,G17:G23)</f>
        <v>-28774</v>
      </c>
      <c r="H24" s="67">
        <f t="shared" si="30"/>
        <v>362</v>
      </c>
      <c r="I24" s="63">
        <f t="shared" si="30"/>
        <v>6041</v>
      </c>
      <c r="J24" s="67">
        <f t="shared" si="30"/>
        <v>739</v>
      </c>
      <c r="K24" s="63">
        <f t="shared" si="30"/>
        <v>-9</v>
      </c>
      <c r="L24" s="67">
        <f t="shared" si="30"/>
        <v>-193</v>
      </c>
      <c r="M24" s="63">
        <f t="shared" si="30"/>
        <v>-339</v>
      </c>
      <c r="N24" s="67">
        <f t="shared" si="30"/>
        <v>-127</v>
      </c>
      <c r="O24" s="63">
        <f t="shared" si="30"/>
        <v>10</v>
      </c>
      <c r="P24" s="67">
        <f t="shared" si="30"/>
        <v>-124</v>
      </c>
      <c r="Q24" s="63">
        <f t="shared" si="30"/>
        <v>119</v>
      </c>
      <c r="R24" s="67">
        <f t="shared" si="30"/>
        <v>1</v>
      </c>
      <c r="S24" s="63">
        <f t="shared" si="30"/>
        <v>197</v>
      </c>
      <c r="T24" s="67">
        <f t="shared" si="30"/>
        <v>37</v>
      </c>
      <c r="U24" s="63">
        <f t="shared" si="30"/>
        <v>1243</v>
      </c>
      <c r="V24" s="67">
        <f t="shared" si="30"/>
        <v>-302</v>
      </c>
      <c r="W24" s="63"/>
      <c r="AZ24" s="63"/>
      <c r="BA24" s="63"/>
      <c r="BB24" s="63"/>
      <c r="BC24" s="63"/>
      <c r="BD24" s="63"/>
      <c r="BE24" s="63"/>
    </row>
    <row r="25" spans="1:96">
      <c r="J25" s="39"/>
      <c r="N25" s="40"/>
      <c r="P25" s="39"/>
      <c r="Q25" s="39"/>
      <c r="R25" s="39"/>
      <c r="W25" s="39"/>
      <c r="X25" s="39"/>
      <c r="AD25" s="39"/>
      <c r="AK25" s="39"/>
      <c r="AM25" s="39"/>
      <c r="AR25" s="39"/>
      <c r="AS25" s="39"/>
      <c r="AY25" s="39"/>
      <c r="AZ25" s="41"/>
      <c r="BA25" s="41"/>
      <c r="BG25" s="39"/>
      <c r="BI25" s="39"/>
      <c r="BO25" s="39"/>
      <c r="BP25" s="39"/>
      <c r="BW25" s="39"/>
      <c r="CB25" s="39"/>
      <c r="CG25" s="39"/>
      <c r="CK25" s="39"/>
      <c r="CN25" s="39"/>
      <c r="CR25" s="39"/>
    </row>
    <row r="26" spans="1:96">
      <c r="E26" s="78" t="s">
        <v>641</v>
      </c>
      <c r="G26" s="101">
        <v>2001</v>
      </c>
      <c r="H26" s="101">
        <v>2002</v>
      </c>
      <c r="I26" s="102">
        <v>2003</v>
      </c>
      <c r="J26" s="101">
        <v>2004</v>
      </c>
      <c r="K26" s="102">
        <v>2005</v>
      </c>
      <c r="L26" s="101">
        <v>2006</v>
      </c>
      <c r="M26" s="102">
        <v>2007</v>
      </c>
      <c r="N26" s="101">
        <v>2008</v>
      </c>
      <c r="O26" s="102">
        <v>2009</v>
      </c>
      <c r="P26" s="101">
        <v>2010</v>
      </c>
      <c r="Q26" s="102">
        <v>2011</v>
      </c>
      <c r="R26" s="101">
        <v>2012</v>
      </c>
      <c r="S26" s="102">
        <v>2013</v>
      </c>
      <c r="T26" s="101">
        <v>2014</v>
      </c>
      <c r="U26" s="102">
        <v>2015</v>
      </c>
      <c r="V26" s="101">
        <v>2016</v>
      </c>
      <c r="W26" s="103">
        <v>2017</v>
      </c>
      <c r="X26" s="39"/>
      <c r="AD26" s="39"/>
      <c r="AK26" s="39"/>
      <c r="AM26" s="39"/>
      <c r="AR26" s="39"/>
      <c r="AS26" s="39"/>
      <c r="AY26" s="39"/>
      <c r="AZ26" s="41"/>
      <c r="BA26" s="41"/>
      <c r="BG26" s="39"/>
      <c r="BI26" s="39"/>
      <c r="BO26" s="39"/>
      <c r="BP26" s="39"/>
      <c r="BW26" s="39"/>
      <c r="CB26" s="39"/>
      <c r="CG26" s="39"/>
      <c r="CK26" s="39"/>
      <c r="CN26" s="39"/>
      <c r="CR26" s="39"/>
    </row>
    <row r="27" spans="1:96">
      <c r="A27" s="39" t="s">
        <v>63</v>
      </c>
      <c r="B27" s="39" t="s">
        <v>69</v>
      </c>
      <c r="C27" s="39" t="s">
        <v>2</v>
      </c>
      <c r="E27" s="104" t="s">
        <v>302</v>
      </c>
      <c r="I27" s="41"/>
      <c r="J27" s="41">
        <f t="shared" ref="J27:J34" si="31">SUMIF($B$53:$B$200,$B3,X$53:X$200)*$J$35</f>
        <v>-1059.597</v>
      </c>
      <c r="K27" s="41">
        <f>-J27</f>
        <v>1059.597</v>
      </c>
      <c r="N27" s="40"/>
      <c r="P27" s="39">
        <v>0</v>
      </c>
      <c r="Q27" s="39"/>
      <c r="R27" s="39"/>
      <c r="W27" s="39"/>
      <c r="X27" s="39"/>
      <c r="AD27" s="39"/>
      <c r="AK27" s="39"/>
      <c r="AM27" s="39"/>
      <c r="AR27" s="39"/>
      <c r="AS27" s="39"/>
      <c r="AY27" s="39"/>
      <c r="AZ27" s="41"/>
      <c r="BA27" s="41"/>
      <c r="BG27" s="39"/>
      <c r="BI27" s="39"/>
      <c r="BO27" s="39"/>
      <c r="BP27" s="39"/>
      <c r="BW27" s="39"/>
      <c r="CB27" s="39"/>
      <c r="CG27" s="39"/>
      <c r="CK27" s="39"/>
      <c r="CN27" s="39"/>
      <c r="CR27" s="39"/>
    </row>
    <row r="28" spans="1:96">
      <c r="A28" s="39" t="s">
        <v>63</v>
      </c>
      <c r="B28" s="39" t="s">
        <v>87</v>
      </c>
      <c r="C28" s="39" t="s">
        <v>88</v>
      </c>
      <c r="E28" s="104" t="s">
        <v>3</v>
      </c>
      <c r="G28" s="88">
        <f>-H28</f>
        <v>-12289</v>
      </c>
      <c r="H28" s="88">
        <f>12.289*1000</f>
        <v>12289</v>
      </c>
      <c r="I28" s="41"/>
      <c r="J28" s="41">
        <f t="shared" si="31"/>
        <v>-17607.435999999998</v>
      </c>
      <c r="K28" s="41">
        <f t="shared" ref="K28:K34" si="32">-J28</f>
        <v>17607.435999999998</v>
      </c>
      <c r="N28" s="40"/>
      <c r="P28" s="39">
        <v>-965</v>
      </c>
      <c r="Q28" s="39"/>
      <c r="R28" s="39"/>
      <c r="W28" s="39"/>
      <c r="X28" s="39"/>
      <c r="AD28" s="39"/>
      <c r="AK28" s="39"/>
      <c r="AM28" s="39"/>
      <c r="AR28" s="39"/>
      <c r="AS28" s="39"/>
      <c r="AY28" s="39"/>
      <c r="AZ28" s="41"/>
      <c r="BA28" s="41"/>
      <c r="BG28" s="39"/>
      <c r="BI28" s="39"/>
      <c r="BO28" s="39"/>
      <c r="BP28" s="39"/>
      <c r="BW28" s="39"/>
      <c r="CB28" s="39"/>
      <c r="CG28" s="39"/>
      <c r="CK28" s="39"/>
      <c r="CN28" s="39"/>
      <c r="CR28" s="39"/>
    </row>
    <row r="29" spans="1:96">
      <c r="A29" s="39" t="s">
        <v>63</v>
      </c>
      <c r="B29" s="39" t="s">
        <v>134</v>
      </c>
      <c r="C29" s="39" t="s">
        <v>4</v>
      </c>
      <c r="E29" s="104" t="s">
        <v>4</v>
      </c>
      <c r="G29" s="88">
        <f>-H29+0.187*1000</f>
        <v>-978</v>
      </c>
      <c r="H29" s="88">
        <f>1.165*1000</f>
        <v>1165</v>
      </c>
      <c r="I29" s="41"/>
      <c r="J29" s="41">
        <f t="shared" si="31"/>
        <v>-1172.248</v>
      </c>
      <c r="K29" s="41">
        <f t="shared" si="32"/>
        <v>1172.248</v>
      </c>
      <c r="N29" s="40"/>
      <c r="P29" s="39">
        <v>0</v>
      </c>
      <c r="Q29" s="39"/>
      <c r="R29" s="39"/>
      <c r="W29" s="39"/>
      <c r="X29" s="39"/>
      <c r="AD29" s="39"/>
      <c r="AK29" s="39"/>
      <c r="AM29" s="39"/>
      <c r="AR29" s="39"/>
      <c r="AS29" s="39"/>
      <c r="AY29" s="39"/>
      <c r="AZ29" s="41"/>
      <c r="BA29" s="41"/>
      <c r="BG29" s="39"/>
      <c r="BI29" s="39"/>
      <c r="BO29" s="39"/>
      <c r="BP29" s="39"/>
      <c r="BW29" s="39"/>
      <c r="CB29" s="39"/>
      <c r="CG29" s="39"/>
      <c r="CK29" s="39"/>
      <c r="CN29" s="39"/>
      <c r="CR29" s="39"/>
    </row>
    <row r="30" spans="1:96">
      <c r="A30" s="39" t="s">
        <v>63</v>
      </c>
      <c r="B30" s="39" t="s">
        <v>162</v>
      </c>
      <c r="C30" s="39" t="s">
        <v>163</v>
      </c>
      <c r="E30" s="104" t="s">
        <v>163</v>
      </c>
      <c r="I30" s="41"/>
      <c r="J30" s="41">
        <f t="shared" si="31"/>
        <v>0</v>
      </c>
      <c r="K30" s="41">
        <f t="shared" si="32"/>
        <v>0</v>
      </c>
      <c r="N30" s="40"/>
      <c r="P30" s="39">
        <v>0</v>
      </c>
      <c r="Q30" s="39"/>
      <c r="R30" s="39"/>
      <c r="W30" s="39"/>
      <c r="X30" s="39"/>
      <c r="AD30" s="39"/>
      <c r="AK30" s="39"/>
      <c r="AM30" s="39"/>
      <c r="AR30" s="39"/>
      <c r="AS30" s="39"/>
      <c r="AY30" s="39"/>
      <c r="AZ30" s="41"/>
      <c r="BA30" s="41"/>
      <c r="BG30" s="39"/>
      <c r="BI30" s="39"/>
      <c r="BO30" s="39"/>
      <c r="BP30" s="39"/>
      <c r="BW30" s="39"/>
      <c r="CB30" s="39"/>
      <c r="CG30" s="39"/>
      <c r="CK30" s="39"/>
      <c r="CN30" s="39"/>
      <c r="CR30" s="39"/>
    </row>
    <row r="31" spans="1:96">
      <c r="A31" s="39" t="s">
        <v>63</v>
      </c>
      <c r="B31" s="39" t="s">
        <v>173</v>
      </c>
      <c r="C31" s="39" t="s">
        <v>6</v>
      </c>
      <c r="E31" s="104" t="s">
        <v>304</v>
      </c>
      <c r="I31" s="41"/>
      <c r="J31" s="41">
        <f t="shared" si="31"/>
        <v>0</v>
      </c>
      <c r="K31" s="41">
        <f t="shared" si="32"/>
        <v>0</v>
      </c>
      <c r="N31" s="40"/>
      <c r="P31" s="39">
        <v>-500</v>
      </c>
      <c r="Q31" s="39"/>
      <c r="R31" s="39"/>
      <c r="W31" s="39"/>
      <c r="X31" s="39"/>
      <c r="AD31" s="39"/>
      <c r="AK31" s="39"/>
      <c r="AM31" s="39"/>
      <c r="AR31" s="39"/>
      <c r="AS31" s="39"/>
      <c r="AY31" s="39"/>
      <c r="AZ31" s="41"/>
      <c r="BA31" s="41"/>
      <c r="BG31" s="39"/>
      <c r="BI31" s="39"/>
      <c r="BO31" s="39"/>
      <c r="BP31" s="39"/>
      <c r="BW31" s="39"/>
      <c r="CB31" s="39"/>
      <c r="CG31" s="39"/>
      <c r="CK31" s="39"/>
      <c r="CN31" s="39"/>
      <c r="CR31" s="39"/>
    </row>
    <row r="32" spans="1:96">
      <c r="A32" s="39" t="s">
        <v>63</v>
      </c>
      <c r="B32" s="39" t="s">
        <v>188</v>
      </c>
      <c r="C32" s="39" t="s">
        <v>19</v>
      </c>
      <c r="E32" s="104" t="s">
        <v>19</v>
      </c>
      <c r="I32" s="41"/>
      <c r="J32" s="41">
        <f t="shared" si="31"/>
        <v>0</v>
      </c>
      <c r="K32" s="41">
        <f t="shared" si="32"/>
        <v>0</v>
      </c>
      <c r="N32" s="40"/>
      <c r="P32" s="39">
        <v>0</v>
      </c>
      <c r="Q32" s="39"/>
      <c r="R32" s="39"/>
      <c r="W32" s="39"/>
      <c r="X32" s="39"/>
      <c r="AD32" s="39"/>
      <c r="AK32" s="39"/>
      <c r="AM32" s="39"/>
      <c r="AR32" s="39"/>
      <c r="AS32" s="39"/>
      <c r="AY32" s="39"/>
      <c r="AZ32" s="41"/>
      <c r="BA32" s="41"/>
      <c r="BG32" s="39"/>
      <c r="BI32" s="39"/>
      <c r="BO32" s="39"/>
      <c r="BP32" s="39"/>
      <c r="BW32" s="39"/>
      <c r="CB32" s="39"/>
      <c r="CG32" s="39"/>
      <c r="CK32" s="39"/>
      <c r="CN32" s="39"/>
      <c r="CR32" s="39"/>
    </row>
    <row r="33" spans="1:97">
      <c r="A33" s="39" t="s">
        <v>63</v>
      </c>
      <c r="B33" s="39" t="s">
        <v>200</v>
      </c>
      <c r="C33" s="39" t="s">
        <v>201</v>
      </c>
      <c r="E33" s="104" t="s">
        <v>303</v>
      </c>
      <c r="I33" s="41"/>
      <c r="J33" s="41">
        <f t="shared" si="31"/>
        <v>-1251.866</v>
      </c>
      <c r="K33" s="41">
        <f t="shared" si="32"/>
        <v>1251.866</v>
      </c>
      <c r="N33" s="40"/>
      <c r="P33" s="39">
        <v>-718</v>
      </c>
      <c r="Q33" s="39"/>
      <c r="R33" s="39"/>
      <c r="W33" s="39"/>
      <c r="X33" s="39"/>
      <c r="AD33" s="39"/>
      <c r="AK33" s="39"/>
      <c r="AM33" s="39"/>
      <c r="AR33" s="39"/>
      <c r="AS33" s="39"/>
      <c r="AY33" s="39"/>
      <c r="AZ33" s="41"/>
      <c r="BA33" s="41"/>
      <c r="BG33" s="39"/>
      <c r="BI33" s="39"/>
      <c r="BO33" s="39"/>
      <c r="BP33" s="39"/>
      <c r="BW33" s="39"/>
      <c r="CB33" s="39"/>
      <c r="CG33" s="39"/>
      <c r="CK33" s="39"/>
      <c r="CN33" s="39"/>
      <c r="CR33" s="39"/>
    </row>
    <row r="34" spans="1:97">
      <c r="A34" s="39" t="s">
        <v>63</v>
      </c>
      <c r="B34" s="39" t="s">
        <v>206</v>
      </c>
      <c r="C34" s="39" t="s">
        <v>207</v>
      </c>
      <c r="E34" s="104" t="s">
        <v>305</v>
      </c>
      <c r="I34" s="41"/>
      <c r="J34" s="41">
        <f t="shared" si="31"/>
        <v>-1524.6</v>
      </c>
      <c r="K34" s="41">
        <f t="shared" si="32"/>
        <v>1524.6</v>
      </c>
      <c r="N34" s="40"/>
      <c r="P34" s="39">
        <v>-377</v>
      </c>
      <c r="Q34" s="39"/>
      <c r="R34" s="39"/>
      <c r="W34" s="39"/>
      <c r="X34" s="39"/>
      <c r="AD34" s="39"/>
      <c r="AK34" s="39"/>
      <c r="AM34" s="39"/>
      <c r="AR34" s="39"/>
      <c r="AS34" s="39"/>
      <c r="AY34" s="39"/>
      <c r="AZ34" s="41"/>
      <c r="BA34" s="41"/>
      <c r="BG34" s="39"/>
      <c r="BI34" s="39"/>
      <c r="BO34" s="39"/>
      <c r="BP34" s="39"/>
      <c r="BW34" s="39"/>
      <c r="CB34" s="39"/>
      <c r="CG34" s="39"/>
      <c r="CK34" s="39"/>
      <c r="CN34" s="39"/>
      <c r="CR34" s="39"/>
    </row>
    <row r="35" spans="1:97" s="105" customFormat="1">
      <c r="G35" s="105" t="s">
        <v>586</v>
      </c>
      <c r="I35" s="105" t="s">
        <v>584</v>
      </c>
      <c r="J35" s="105">
        <f>-(1-0.153)</f>
        <v>-0.84699999999999998</v>
      </c>
      <c r="P35" s="105" t="s">
        <v>585</v>
      </c>
    </row>
    <row r="36" spans="1:97" s="62" customFormat="1" ht="19">
      <c r="E36" s="62" t="s">
        <v>638</v>
      </c>
      <c r="G36" s="64">
        <v>2001</v>
      </c>
      <c r="H36" s="64">
        <v>2002</v>
      </c>
      <c r="I36" s="65">
        <v>2003</v>
      </c>
      <c r="J36" s="64">
        <v>2004</v>
      </c>
      <c r="K36" s="65">
        <v>2005</v>
      </c>
      <c r="L36" s="64">
        <v>2006</v>
      </c>
      <c r="M36" s="65">
        <v>2007</v>
      </c>
      <c r="N36" s="64">
        <v>2008</v>
      </c>
      <c r="O36" s="65">
        <v>2009</v>
      </c>
      <c r="P36" s="64">
        <v>2010</v>
      </c>
      <c r="Q36" s="65">
        <v>2011</v>
      </c>
      <c r="R36" s="64">
        <v>2012</v>
      </c>
      <c r="S36" s="65">
        <v>2013</v>
      </c>
      <c r="T36" s="64">
        <v>2014</v>
      </c>
      <c r="U36" s="65">
        <v>2015</v>
      </c>
      <c r="V36" s="64">
        <v>2016</v>
      </c>
      <c r="W36" s="66">
        <v>2017</v>
      </c>
      <c r="AZ36" s="63"/>
      <c r="BA36" s="63"/>
      <c r="BB36" s="63"/>
      <c r="BC36" s="63"/>
      <c r="BD36" s="63"/>
      <c r="BE36" s="63"/>
    </row>
    <row r="37" spans="1:97">
      <c r="A37" s="39" t="s">
        <v>63</v>
      </c>
      <c r="B37" s="39" t="s">
        <v>69</v>
      </c>
      <c r="C37" s="39" t="s">
        <v>2</v>
      </c>
      <c r="E37" s="39" t="s">
        <v>2</v>
      </c>
      <c r="G37" s="41">
        <f>-G17+G27</f>
        <v>515</v>
      </c>
      <c r="H37" s="41">
        <f t="shared" ref="H37:V37" si="33">H3+H27</f>
        <v>3906</v>
      </c>
      <c r="I37" s="41">
        <f t="shared" si="33"/>
        <v>15870</v>
      </c>
      <c r="J37" s="41">
        <f t="shared" si="33"/>
        <v>18004.402999999998</v>
      </c>
      <c r="K37" s="41">
        <f t="shared" si="33"/>
        <v>18505.597000000002</v>
      </c>
      <c r="L37" s="41">
        <f t="shared" si="33"/>
        <v>18427</v>
      </c>
      <c r="M37" s="41">
        <f t="shared" si="33"/>
        <v>18811</v>
      </c>
      <c r="N37" s="41">
        <f t="shared" si="33"/>
        <v>19140</v>
      </c>
      <c r="O37" s="41">
        <f t="shared" si="33"/>
        <v>20454</v>
      </c>
      <c r="P37" s="41">
        <f t="shared" si="33"/>
        <v>16797</v>
      </c>
      <c r="Q37" s="41">
        <f t="shared" si="33"/>
        <v>16251</v>
      </c>
      <c r="R37" s="41">
        <f t="shared" si="33"/>
        <v>11293</v>
      </c>
      <c r="S37" s="41">
        <f t="shared" si="33"/>
        <v>14260</v>
      </c>
      <c r="T37" s="41">
        <f t="shared" si="33"/>
        <v>8082</v>
      </c>
      <c r="U37" s="41">
        <f t="shared" si="33"/>
        <v>5031</v>
      </c>
      <c r="V37" s="41">
        <f t="shared" si="33"/>
        <v>3222</v>
      </c>
      <c r="W37" s="41"/>
      <c r="X37" s="41"/>
      <c r="Y37" s="41"/>
      <c r="AD37" s="39"/>
      <c r="AK37" s="39"/>
      <c r="AM37" s="39"/>
      <c r="AR37" s="39"/>
      <c r="AS37" s="39"/>
      <c r="AY37" s="39"/>
      <c r="AZ37" s="41"/>
      <c r="BA37" s="41"/>
      <c r="BG37" s="39"/>
      <c r="BI37" s="39"/>
      <c r="BO37" s="39"/>
      <c r="BP37" s="39"/>
      <c r="BW37" s="39"/>
      <c r="CB37" s="39"/>
      <c r="CG37" s="39"/>
      <c r="CK37" s="39"/>
      <c r="CN37" s="39"/>
      <c r="CR37" s="39"/>
    </row>
    <row r="38" spans="1:97">
      <c r="A38" s="39" t="s">
        <v>63</v>
      </c>
      <c r="B38" s="39" t="s">
        <v>87</v>
      </c>
      <c r="C38" s="39" t="s">
        <v>88</v>
      </c>
      <c r="E38" s="39" t="s">
        <v>88</v>
      </c>
      <c r="G38" s="41">
        <f>-G18+G28</f>
        <v>14204</v>
      </c>
      <c r="H38" s="41">
        <f t="shared" ref="H38:V38" si="34">H4+H28</f>
        <v>23938</v>
      </c>
      <c r="I38" s="41">
        <f t="shared" si="34"/>
        <v>47641</v>
      </c>
      <c r="J38" s="41">
        <f t="shared" si="34"/>
        <v>43411.563999999998</v>
      </c>
      <c r="K38" s="41">
        <f t="shared" si="34"/>
        <v>57978.436000000002</v>
      </c>
      <c r="L38" s="41">
        <f t="shared" si="34"/>
        <v>73186</v>
      </c>
      <c r="M38" s="41">
        <f t="shared" si="34"/>
        <v>92053</v>
      </c>
      <c r="N38" s="41">
        <f t="shared" si="34"/>
        <v>94231</v>
      </c>
      <c r="O38" s="41">
        <f t="shared" si="34"/>
        <v>92747</v>
      </c>
      <c r="P38" s="41">
        <f t="shared" si="34"/>
        <v>109449</v>
      </c>
      <c r="Q38" s="41">
        <f t="shared" si="34"/>
        <v>111652</v>
      </c>
      <c r="R38" s="41">
        <f t="shared" si="34"/>
        <v>86776</v>
      </c>
      <c r="S38" s="41">
        <f t="shared" si="34"/>
        <v>58350</v>
      </c>
      <c r="T38" s="41">
        <f t="shared" si="34"/>
        <v>69684</v>
      </c>
      <c r="U38" s="41">
        <f t="shared" si="34"/>
        <v>50984</v>
      </c>
      <c r="V38" s="41">
        <f t="shared" si="34"/>
        <v>46968</v>
      </c>
      <c r="W38" s="41"/>
      <c r="X38" s="41"/>
      <c r="Y38" s="41"/>
      <c r="AD38" s="39"/>
      <c r="AK38" s="39"/>
      <c r="AM38" s="39"/>
      <c r="AR38" s="39"/>
      <c r="AS38" s="39"/>
      <c r="AY38" s="39"/>
      <c r="AZ38" s="41"/>
      <c r="BA38" s="41"/>
      <c r="BG38" s="39"/>
      <c r="BI38" s="39"/>
      <c r="BO38" s="39"/>
      <c r="BP38" s="39"/>
      <c r="BW38" s="39"/>
      <c r="CB38" s="39"/>
      <c r="CG38" s="39"/>
      <c r="CK38" s="39"/>
      <c r="CN38" s="39"/>
      <c r="CR38" s="39"/>
    </row>
    <row r="39" spans="1:97">
      <c r="A39" s="39" t="s">
        <v>63</v>
      </c>
      <c r="B39" s="39" t="s">
        <v>134</v>
      </c>
      <c r="C39" s="39" t="s">
        <v>4</v>
      </c>
      <c r="E39" s="39" t="s">
        <v>4</v>
      </c>
      <c r="G39" s="41">
        <f>-G19+G29</f>
        <v>0</v>
      </c>
      <c r="H39" s="41">
        <f t="shared" ref="H39:V39" si="35">H5+H29</f>
        <v>2592</v>
      </c>
      <c r="I39" s="41">
        <f t="shared" si="35"/>
        <v>10389</v>
      </c>
      <c r="J39" s="41">
        <f t="shared" si="35"/>
        <v>5810.7520000000004</v>
      </c>
      <c r="K39" s="41">
        <f t="shared" si="35"/>
        <v>18698.248</v>
      </c>
      <c r="L39" s="41">
        <f t="shared" si="35"/>
        <v>27698</v>
      </c>
      <c r="M39" s="41">
        <f t="shared" si="35"/>
        <v>50765</v>
      </c>
      <c r="N39" s="41">
        <f t="shared" si="35"/>
        <v>64798</v>
      </c>
      <c r="O39" s="41">
        <f t="shared" si="35"/>
        <v>32854</v>
      </c>
      <c r="P39" s="41">
        <f t="shared" si="35"/>
        <v>31581</v>
      </c>
      <c r="Q39" s="41">
        <f t="shared" si="35"/>
        <v>28341</v>
      </c>
      <c r="R39" s="41">
        <f t="shared" si="35"/>
        <v>16052</v>
      </c>
      <c r="S39" s="41">
        <f t="shared" si="35"/>
        <v>9218</v>
      </c>
      <c r="T39" s="41">
        <f t="shared" si="35"/>
        <v>7026</v>
      </c>
      <c r="U39" s="41">
        <f t="shared" si="35"/>
        <v>7687</v>
      </c>
      <c r="V39" s="41">
        <f t="shared" si="35"/>
        <v>8129</v>
      </c>
      <c r="W39" s="41"/>
      <c r="X39" s="41"/>
      <c r="Y39" s="41"/>
      <c r="AD39" s="39"/>
      <c r="AK39" s="39"/>
      <c r="AM39" s="39"/>
      <c r="AR39" s="39"/>
      <c r="AS39" s="39"/>
      <c r="AY39" s="39"/>
      <c r="AZ39" s="41"/>
      <c r="BA39" s="41"/>
      <c r="BG39" s="39"/>
      <c r="BI39" s="39"/>
      <c r="BO39" s="39"/>
      <c r="BP39" s="39"/>
      <c r="BW39" s="39"/>
      <c r="CB39" s="39"/>
      <c r="CG39" s="39"/>
      <c r="CK39" s="39"/>
      <c r="CN39" s="39"/>
      <c r="CR39" s="39"/>
    </row>
    <row r="40" spans="1:97">
      <c r="A40" s="39" t="s">
        <v>63</v>
      </c>
      <c r="B40" s="39" t="s">
        <v>162</v>
      </c>
      <c r="C40" s="39" t="s">
        <v>163</v>
      </c>
      <c r="E40" s="39" t="s">
        <v>163</v>
      </c>
      <c r="G40" s="41">
        <f>-G20</f>
        <v>487</v>
      </c>
      <c r="H40" s="41">
        <f t="shared" ref="H40:V40" si="36">H6+H30</f>
        <v>145</v>
      </c>
      <c r="I40" s="41">
        <f t="shared" si="36"/>
        <v>2620</v>
      </c>
      <c r="J40" s="41">
        <f t="shared" si="36"/>
        <v>334</v>
      </c>
      <c r="K40" s="41">
        <f t="shared" si="36"/>
        <v>647</v>
      </c>
      <c r="L40" s="41">
        <f t="shared" si="36"/>
        <v>816</v>
      </c>
      <c r="M40" s="41">
        <f t="shared" si="36"/>
        <v>1507</v>
      </c>
      <c r="N40" s="41">
        <f t="shared" si="36"/>
        <v>1669</v>
      </c>
      <c r="O40" s="41">
        <f t="shared" si="36"/>
        <v>612</v>
      </c>
      <c r="P40" s="41">
        <f t="shared" si="36"/>
        <v>525</v>
      </c>
      <c r="Q40" s="41">
        <f t="shared" si="36"/>
        <v>955</v>
      </c>
      <c r="R40" s="41">
        <f t="shared" si="36"/>
        <v>527</v>
      </c>
      <c r="S40" s="41">
        <f t="shared" si="36"/>
        <v>180</v>
      </c>
      <c r="T40" s="41">
        <f t="shared" si="36"/>
        <v>135</v>
      </c>
      <c r="U40" s="41">
        <f t="shared" si="36"/>
        <v>323</v>
      </c>
      <c r="V40" s="41">
        <f t="shared" si="36"/>
        <v>232</v>
      </c>
      <c r="W40" s="41"/>
      <c r="X40" s="41"/>
      <c r="Y40" s="41"/>
      <c r="AD40" s="39"/>
      <c r="AK40" s="39"/>
      <c r="AM40" s="39"/>
      <c r="AR40" s="39"/>
      <c r="AS40" s="39"/>
      <c r="AY40" s="39"/>
      <c r="AZ40" s="41"/>
      <c r="BA40" s="41"/>
      <c r="BG40" s="39"/>
      <c r="BI40" s="39"/>
      <c r="BO40" s="39"/>
      <c r="BP40" s="39"/>
      <c r="BW40" s="39"/>
      <c r="CB40" s="39"/>
      <c r="CG40" s="39"/>
      <c r="CK40" s="39"/>
      <c r="CN40" s="39"/>
      <c r="CR40" s="39"/>
    </row>
    <row r="41" spans="1:97">
      <c r="A41" s="39" t="s">
        <v>63</v>
      </c>
      <c r="B41" s="39" t="s">
        <v>173</v>
      </c>
      <c r="C41" s="39" t="s">
        <v>6</v>
      </c>
      <c r="E41" s="39" t="s">
        <v>6</v>
      </c>
      <c r="G41" s="41">
        <f>-G21</f>
        <v>63</v>
      </c>
      <c r="H41" s="41">
        <f t="shared" ref="H41:V41" si="37">H7+H31</f>
        <v>105</v>
      </c>
      <c r="I41" s="41">
        <f t="shared" si="37"/>
        <v>900</v>
      </c>
      <c r="J41" s="41">
        <f t="shared" si="37"/>
        <v>501</v>
      </c>
      <c r="K41" s="41">
        <f t="shared" si="37"/>
        <v>1276</v>
      </c>
      <c r="L41" s="41">
        <f t="shared" si="37"/>
        <v>1486</v>
      </c>
      <c r="M41" s="41">
        <f t="shared" si="37"/>
        <v>4813</v>
      </c>
      <c r="N41" s="41">
        <f t="shared" si="37"/>
        <v>4234</v>
      </c>
      <c r="O41" s="41">
        <f t="shared" si="37"/>
        <v>4916</v>
      </c>
      <c r="P41" s="41">
        <f t="shared" si="37"/>
        <v>1548</v>
      </c>
      <c r="Q41" s="41">
        <f t="shared" si="37"/>
        <v>1223</v>
      </c>
      <c r="R41" s="41">
        <f t="shared" si="37"/>
        <v>0</v>
      </c>
      <c r="S41" s="41">
        <f t="shared" si="37"/>
        <v>6</v>
      </c>
      <c r="T41" s="41">
        <f t="shared" si="37"/>
        <v>0</v>
      </c>
      <c r="U41" s="41">
        <f t="shared" si="37"/>
        <v>221</v>
      </c>
      <c r="V41" s="41">
        <f t="shared" si="37"/>
        <v>0</v>
      </c>
      <c r="W41" s="41"/>
      <c r="X41" s="41"/>
      <c r="Y41" s="41"/>
      <c r="AD41" s="39"/>
      <c r="AK41" s="39"/>
      <c r="AM41" s="39"/>
      <c r="AR41" s="39"/>
      <c r="AS41" s="39"/>
      <c r="AY41" s="39"/>
      <c r="AZ41" s="41"/>
      <c r="BA41" s="41"/>
      <c r="BG41" s="39"/>
      <c r="BI41" s="39"/>
      <c r="BO41" s="39"/>
      <c r="BP41" s="39"/>
      <c r="BW41" s="39"/>
      <c r="CB41" s="39"/>
      <c r="CG41" s="39"/>
      <c r="CK41" s="39"/>
      <c r="CN41" s="39"/>
      <c r="CR41" s="39"/>
    </row>
    <row r="42" spans="1:97">
      <c r="A42" s="39" t="s">
        <v>63</v>
      </c>
      <c r="B42" s="39" t="s">
        <v>188</v>
      </c>
      <c r="C42" s="39" t="s">
        <v>19</v>
      </c>
      <c r="E42" s="39" t="s">
        <v>19</v>
      </c>
      <c r="G42" s="41">
        <f>-G22</f>
        <v>60</v>
      </c>
      <c r="H42" s="41">
        <f t="shared" ref="H42:V42" si="38">H8+H32</f>
        <v>0</v>
      </c>
      <c r="I42" s="41">
        <f t="shared" si="38"/>
        <v>32</v>
      </c>
      <c r="J42" s="41">
        <f t="shared" si="38"/>
        <v>24</v>
      </c>
      <c r="K42" s="41">
        <f t="shared" si="38"/>
        <v>21</v>
      </c>
      <c r="L42" s="41">
        <f t="shared" si="38"/>
        <v>460</v>
      </c>
      <c r="M42" s="41">
        <f t="shared" si="38"/>
        <v>0</v>
      </c>
      <c r="N42" s="41">
        <f t="shared" si="38"/>
        <v>12</v>
      </c>
      <c r="O42" s="41">
        <f t="shared" si="38"/>
        <v>690</v>
      </c>
      <c r="P42" s="41">
        <f t="shared" si="38"/>
        <v>8</v>
      </c>
      <c r="Q42" s="41">
        <f t="shared" si="38"/>
        <v>0</v>
      </c>
      <c r="R42" s="41">
        <f t="shared" si="38"/>
        <v>0</v>
      </c>
      <c r="S42" s="41">
        <f t="shared" si="38"/>
        <v>0</v>
      </c>
      <c r="T42" s="41">
        <f t="shared" si="38"/>
        <v>0</v>
      </c>
      <c r="U42" s="41">
        <f t="shared" si="38"/>
        <v>0</v>
      </c>
      <c r="V42" s="41">
        <f t="shared" si="38"/>
        <v>0</v>
      </c>
      <c r="W42" s="41"/>
      <c r="X42" s="41"/>
      <c r="Y42" s="41"/>
      <c r="AD42" s="39"/>
      <c r="AK42" s="39"/>
      <c r="AM42" s="39"/>
      <c r="AR42" s="39"/>
      <c r="AS42" s="39"/>
      <c r="AY42" s="39"/>
      <c r="AZ42" s="41"/>
      <c r="BA42" s="41"/>
      <c r="BG42" s="39"/>
      <c r="BI42" s="39"/>
      <c r="BO42" s="39"/>
      <c r="BP42" s="39"/>
      <c r="BW42" s="39"/>
      <c r="CB42" s="39"/>
      <c r="CG42" s="39"/>
      <c r="CK42" s="39"/>
      <c r="CN42" s="39"/>
      <c r="CR42" s="39"/>
    </row>
    <row r="43" spans="1:97">
      <c r="A43" s="39" t="s">
        <v>63</v>
      </c>
      <c r="B43" s="39" t="s">
        <v>200</v>
      </c>
      <c r="C43" s="39" t="s">
        <v>201</v>
      </c>
      <c r="E43" s="39" t="s">
        <v>201</v>
      </c>
      <c r="G43" s="41">
        <f>-G23</f>
        <v>178</v>
      </c>
      <c r="H43" s="41">
        <f t="shared" ref="H43:V43" si="39">H9+H33</f>
        <v>0</v>
      </c>
      <c r="I43" s="41">
        <f t="shared" si="39"/>
        <v>1124</v>
      </c>
      <c r="J43" s="41">
        <f t="shared" si="39"/>
        <v>850.13400000000001</v>
      </c>
      <c r="K43" s="41">
        <f t="shared" si="39"/>
        <v>2798.866</v>
      </c>
      <c r="L43" s="41">
        <f t="shared" si="39"/>
        <v>3051</v>
      </c>
      <c r="M43" s="41">
        <f t="shared" si="39"/>
        <v>1121</v>
      </c>
      <c r="N43" s="41">
        <f t="shared" si="39"/>
        <v>2697</v>
      </c>
      <c r="O43" s="41">
        <f t="shared" si="39"/>
        <v>862</v>
      </c>
      <c r="P43" s="41">
        <f t="shared" si="39"/>
        <v>829</v>
      </c>
      <c r="Q43" s="41">
        <f t="shared" si="39"/>
        <v>485</v>
      </c>
      <c r="R43" s="41">
        <f t="shared" si="39"/>
        <v>435</v>
      </c>
      <c r="S43" s="41">
        <f t="shared" si="39"/>
        <v>268</v>
      </c>
      <c r="T43" s="41">
        <f t="shared" si="39"/>
        <v>265</v>
      </c>
      <c r="U43" s="41">
        <f t="shared" si="39"/>
        <v>91</v>
      </c>
      <c r="V43" s="41">
        <f t="shared" si="39"/>
        <v>89</v>
      </c>
      <c r="W43" s="41"/>
      <c r="X43" s="41"/>
      <c r="Y43" s="41"/>
      <c r="AD43" s="39"/>
      <c r="AK43" s="39"/>
      <c r="AM43" s="39"/>
      <c r="AR43" s="39"/>
      <c r="AS43" s="39"/>
      <c r="AY43" s="39"/>
      <c r="AZ43" s="41"/>
      <c r="BA43" s="41"/>
      <c r="BG43" s="39"/>
      <c r="BI43" s="39"/>
      <c r="BO43" s="39"/>
      <c r="BP43" s="39"/>
      <c r="BW43" s="39"/>
      <c r="CB43" s="39"/>
      <c r="CG43" s="39"/>
      <c r="CK43" s="39"/>
      <c r="CN43" s="39"/>
      <c r="CR43" s="39"/>
    </row>
    <row r="44" spans="1:97">
      <c r="A44" s="39" t="s">
        <v>63</v>
      </c>
      <c r="B44" s="39" t="s">
        <v>206</v>
      </c>
      <c r="C44" s="39" t="s">
        <v>207</v>
      </c>
      <c r="E44" s="39" t="s">
        <v>207</v>
      </c>
      <c r="G44" s="41"/>
      <c r="H44" s="41">
        <f t="shared" ref="H44:V44" si="40">H10+H34</f>
        <v>0</v>
      </c>
      <c r="I44" s="41">
        <f t="shared" si="40"/>
        <v>0</v>
      </c>
      <c r="J44" s="41">
        <f t="shared" si="40"/>
        <v>275.40000000000009</v>
      </c>
      <c r="K44" s="41">
        <f t="shared" si="40"/>
        <v>1524.6</v>
      </c>
      <c r="L44" s="41">
        <f t="shared" si="40"/>
        <v>-1400</v>
      </c>
      <c r="M44" s="41">
        <f t="shared" si="40"/>
        <v>0</v>
      </c>
      <c r="N44" s="41">
        <f t="shared" si="40"/>
        <v>0</v>
      </c>
      <c r="O44" s="41">
        <f t="shared" si="40"/>
        <v>0</v>
      </c>
      <c r="P44" s="41">
        <f t="shared" si="40"/>
        <v>-377</v>
      </c>
      <c r="Q44" s="41">
        <f t="shared" si="40"/>
        <v>0</v>
      </c>
      <c r="R44" s="41">
        <f t="shared" si="40"/>
        <v>0</v>
      </c>
      <c r="S44" s="41">
        <f t="shared" si="40"/>
        <v>0</v>
      </c>
      <c r="T44" s="41">
        <f t="shared" si="40"/>
        <v>0</v>
      </c>
      <c r="U44" s="41">
        <f t="shared" si="40"/>
        <v>0</v>
      </c>
      <c r="V44" s="41">
        <f t="shared" si="40"/>
        <v>0</v>
      </c>
      <c r="W44" s="41"/>
      <c r="X44" s="41"/>
      <c r="Y44" s="41"/>
      <c r="AD44" s="39"/>
      <c r="AK44" s="39"/>
      <c r="AM44" s="39"/>
      <c r="AR44" s="39"/>
      <c r="AS44" s="39"/>
      <c r="AY44" s="39"/>
      <c r="AZ44" s="41"/>
      <c r="BA44" s="41"/>
      <c r="BG44" s="39"/>
      <c r="BI44" s="39"/>
      <c r="BO44" s="39"/>
      <c r="BP44" s="39"/>
      <c r="BW44" s="39"/>
      <c r="CB44" s="39"/>
      <c r="CG44" s="39"/>
      <c r="CK44" s="39"/>
      <c r="CN44" s="39"/>
      <c r="CR44" s="39"/>
    </row>
    <row r="45" spans="1:97" s="62" customFormat="1" ht="19">
      <c r="E45" s="69" t="s">
        <v>637</v>
      </c>
      <c r="G45" s="67">
        <f t="shared" ref="G45:W45" si="41">SUBTOTAL(9,G37:G44)</f>
        <v>15507</v>
      </c>
      <c r="H45" s="67">
        <f t="shared" si="41"/>
        <v>30686</v>
      </c>
      <c r="I45" s="63">
        <f t="shared" si="41"/>
        <v>78576</v>
      </c>
      <c r="J45" s="67">
        <f t="shared" si="41"/>
        <v>69211.252999999997</v>
      </c>
      <c r="K45" s="63">
        <f t="shared" si="41"/>
        <v>101449.74699999999</v>
      </c>
      <c r="L45" s="67">
        <f t="shared" si="41"/>
        <v>123724</v>
      </c>
      <c r="M45" s="63">
        <f t="shared" si="41"/>
        <v>169070</v>
      </c>
      <c r="N45" s="67">
        <f t="shared" si="41"/>
        <v>186781</v>
      </c>
      <c r="O45" s="63">
        <f t="shared" si="41"/>
        <v>153135</v>
      </c>
      <c r="P45" s="67">
        <f t="shared" si="41"/>
        <v>160360</v>
      </c>
      <c r="Q45" s="63">
        <f t="shared" si="41"/>
        <v>158907</v>
      </c>
      <c r="R45" s="67">
        <f t="shared" si="41"/>
        <v>115083</v>
      </c>
      <c r="S45" s="63">
        <f t="shared" si="41"/>
        <v>82282</v>
      </c>
      <c r="T45" s="67">
        <f t="shared" si="41"/>
        <v>85192</v>
      </c>
      <c r="U45" s="63">
        <f t="shared" si="41"/>
        <v>64337</v>
      </c>
      <c r="V45" s="67">
        <f t="shared" si="41"/>
        <v>58640</v>
      </c>
      <c r="W45" s="63">
        <f t="shared" si="41"/>
        <v>0</v>
      </c>
      <c r="AZ45" s="63"/>
      <c r="BA45" s="63"/>
      <c r="BB45" s="63"/>
      <c r="BC45" s="63"/>
      <c r="BD45" s="63"/>
      <c r="BE45" s="63"/>
    </row>
    <row r="46" spans="1:97" s="62" customFormat="1" ht="19">
      <c r="E46" s="69"/>
      <c r="G46" s="67"/>
      <c r="H46" s="67"/>
      <c r="I46" s="63"/>
      <c r="J46" s="67"/>
      <c r="K46" s="63"/>
      <c r="L46" s="67"/>
      <c r="M46" s="63"/>
      <c r="N46" s="67"/>
      <c r="O46" s="63"/>
      <c r="P46" s="67"/>
      <c r="Q46" s="63"/>
      <c r="R46" s="67"/>
      <c r="S46" s="63"/>
      <c r="T46" s="67"/>
      <c r="U46" s="63"/>
      <c r="V46" s="67"/>
      <c r="W46" s="63"/>
      <c r="AZ46" s="63"/>
      <c r="BA46" s="63"/>
      <c r="BB46" s="63"/>
      <c r="BC46" s="63"/>
      <c r="BD46" s="63"/>
      <c r="BE46" s="63"/>
    </row>
    <row r="47" spans="1:97" s="62" customFormat="1" ht="19">
      <c r="E47" s="69"/>
      <c r="G47" s="67"/>
      <c r="H47" s="67"/>
      <c r="I47" s="63"/>
      <c r="J47" s="67"/>
      <c r="K47" s="63"/>
      <c r="L47" s="67"/>
      <c r="M47" s="63"/>
      <c r="N47" s="67"/>
      <c r="O47" s="63"/>
      <c r="P47" s="67"/>
      <c r="Q47" s="63"/>
      <c r="R47" s="67"/>
      <c r="S47" s="63"/>
      <c r="T47" s="67"/>
      <c r="U47" s="63"/>
      <c r="V47" s="67"/>
      <c r="W47" s="63"/>
      <c r="AZ47" s="63"/>
      <c r="BA47" s="63"/>
      <c r="BB47" s="63"/>
      <c r="BC47" s="63"/>
      <c r="BD47" s="63"/>
      <c r="BE47" s="63"/>
    </row>
    <row r="48" spans="1:97">
      <c r="G48" s="41"/>
      <c r="H48" s="41">
        <f>SUBTOTAL(9,H52:H247)</f>
        <v>327128</v>
      </c>
      <c r="I48" s="41">
        <f t="shared" ref="I48:BT48" si="42">SUBTOTAL(9,I52:I247)</f>
        <v>3471</v>
      </c>
      <c r="J48" s="41">
        <f t="shared" si="42"/>
        <v>13761</v>
      </c>
      <c r="K48" s="41">
        <f t="shared" si="42"/>
        <v>344360</v>
      </c>
      <c r="L48" s="41">
        <f t="shared" si="42"/>
        <v>47</v>
      </c>
      <c r="M48" s="41">
        <f t="shared" si="42"/>
        <v>344407</v>
      </c>
      <c r="N48" s="41">
        <f t="shared" si="42"/>
        <v>0</v>
      </c>
      <c r="O48" s="41">
        <f t="shared" si="42"/>
        <v>358302</v>
      </c>
      <c r="P48" s="41">
        <f t="shared" si="42"/>
        <v>6407</v>
      </c>
      <c r="Q48" s="41">
        <f t="shared" si="42"/>
        <v>9984</v>
      </c>
      <c r="R48" s="41">
        <f t="shared" si="42"/>
        <v>62185</v>
      </c>
      <c r="S48" s="41">
        <f t="shared" si="42"/>
        <v>617</v>
      </c>
      <c r="T48" s="41">
        <f t="shared" si="42"/>
        <v>437495</v>
      </c>
      <c r="U48" s="41">
        <f t="shared" si="42"/>
        <v>0</v>
      </c>
      <c r="V48" s="41">
        <f t="shared" si="42"/>
        <v>375755</v>
      </c>
      <c r="W48" s="41">
        <f t="shared" si="42"/>
        <v>65126</v>
      </c>
      <c r="X48" s="41">
        <f t="shared" si="42"/>
        <v>26701</v>
      </c>
      <c r="Y48" s="41">
        <f t="shared" si="42"/>
        <v>16</v>
      </c>
      <c r="Z48" s="41">
        <f t="shared" si="42"/>
        <v>467598</v>
      </c>
      <c r="AA48" s="41">
        <f t="shared" si="42"/>
        <v>0</v>
      </c>
      <c r="AB48" s="41">
        <f t="shared" si="42"/>
        <v>400112</v>
      </c>
      <c r="AC48" s="41">
        <f t="shared" si="42"/>
        <v>1077</v>
      </c>
      <c r="AD48" s="41">
        <f t="shared" si="42"/>
        <v>74095</v>
      </c>
      <c r="AE48" s="41">
        <f t="shared" si="42"/>
        <v>1768</v>
      </c>
      <c r="AF48" s="41">
        <f t="shared" si="42"/>
        <v>1894</v>
      </c>
      <c r="AG48" s="41">
        <f t="shared" si="42"/>
        <v>-35</v>
      </c>
      <c r="AH48" s="41">
        <f t="shared" si="42"/>
        <v>478911</v>
      </c>
      <c r="AI48" s="41">
        <f t="shared" si="42"/>
        <v>0</v>
      </c>
      <c r="AJ48" s="41">
        <f t="shared" si="42"/>
        <v>410890</v>
      </c>
      <c r="AK48" s="41">
        <f t="shared" si="42"/>
        <v>49900</v>
      </c>
      <c r="AL48" s="41">
        <f t="shared" si="42"/>
        <v>8075</v>
      </c>
      <c r="AM48" s="41">
        <f t="shared" si="42"/>
        <v>65798</v>
      </c>
      <c r="AN48" s="41">
        <f t="shared" si="42"/>
        <v>-173</v>
      </c>
      <c r="AO48" s="41">
        <f t="shared" si="42"/>
        <v>534490</v>
      </c>
      <c r="AP48" s="41">
        <f t="shared" si="42"/>
        <v>0</v>
      </c>
      <c r="AQ48" s="41">
        <f t="shared" si="42"/>
        <v>432117</v>
      </c>
      <c r="AR48" s="41">
        <f t="shared" si="42"/>
        <v>69871</v>
      </c>
      <c r="AS48" s="41">
        <f t="shared" si="42"/>
        <v>94503</v>
      </c>
      <c r="AT48" s="41">
        <f t="shared" si="42"/>
        <v>4696</v>
      </c>
      <c r="AU48" s="41">
        <f t="shared" si="42"/>
        <v>-281</v>
      </c>
      <c r="AV48" s="41">
        <f t="shared" si="42"/>
        <v>600906</v>
      </c>
      <c r="AW48" s="41">
        <f t="shared" si="42"/>
        <v>0</v>
      </c>
      <c r="AX48" s="41">
        <f t="shared" si="42"/>
        <v>479532</v>
      </c>
      <c r="AY48" s="41">
        <f t="shared" si="42"/>
        <v>16830</v>
      </c>
      <c r="AZ48" s="41">
        <f t="shared" si="42"/>
        <v>69890</v>
      </c>
      <c r="BA48" s="41">
        <f t="shared" si="42"/>
        <v>93100</v>
      </c>
      <c r="BB48" s="41">
        <f t="shared" si="42"/>
        <v>6961</v>
      </c>
      <c r="BC48" s="41">
        <f t="shared" si="42"/>
        <v>-351</v>
      </c>
      <c r="BD48" s="41">
        <f t="shared" si="42"/>
        <v>665962</v>
      </c>
      <c r="BE48" s="41">
        <f t="shared" si="42"/>
        <v>0</v>
      </c>
      <c r="BF48" s="41">
        <f t="shared" si="42"/>
        <v>513360</v>
      </c>
      <c r="BG48" s="41">
        <f t="shared" si="42"/>
        <v>65810</v>
      </c>
      <c r="BH48" s="41">
        <f t="shared" si="42"/>
        <v>7435</v>
      </c>
      <c r="BI48" s="41">
        <f t="shared" si="42"/>
        <v>80253</v>
      </c>
      <c r="BJ48" s="41">
        <f t="shared" si="42"/>
        <v>-363</v>
      </c>
      <c r="BK48" s="41">
        <f t="shared" si="42"/>
        <v>-140</v>
      </c>
      <c r="BL48" s="41">
        <f t="shared" si="42"/>
        <v>666355</v>
      </c>
      <c r="BM48" s="41">
        <f t="shared" si="42"/>
        <v>0</v>
      </c>
      <c r="BN48" s="41">
        <f t="shared" si="42"/>
        <v>530756</v>
      </c>
      <c r="BO48" s="41">
        <f t="shared" si="42"/>
        <v>129648</v>
      </c>
      <c r="BP48" s="41">
        <f t="shared" si="42"/>
        <v>29821</v>
      </c>
      <c r="BQ48" s="41">
        <f t="shared" si="42"/>
        <v>3451</v>
      </c>
      <c r="BR48" s="41">
        <f t="shared" si="42"/>
        <v>-2560</v>
      </c>
      <c r="BS48" s="41">
        <f t="shared" si="42"/>
        <v>-647</v>
      </c>
      <c r="BT48" s="41">
        <f t="shared" si="42"/>
        <v>690469</v>
      </c>
      <c r="BU48" s="41">
        <f t="shared" ref="BU48:CS48" si="43">SUBTOTAL(9,BU52:BU247)</f>
        <v>0</v>
      </c>
      <c r="BV48" s="41">
        <f t="shared" si="43"/>
        <v>529152</v>
      </c>
      <c r="BW48" s="41">
        <f t="shared" si="43"/>
        <v>158907</v>
      </c>
      <c r="BX48" s="41">
        <f t="shared" si="43"/>
        <v>-1034</v>
      </c>
      <c r="BY48" s="41">
        <f t="shared" si="43"/>
        <v>687025</v>
      </c>
      <c r="BZ48" s="41">
        <f t="shared" si="43"/>
        <v>0</v>
      </c>
      <c r="CA48" s="41">
        <f t="shared" si="43"/>
        <v>530329</v>
      </c>
      <c r="CB48" s="41">
        <f t="shared" si="43"/>
        <v>115083</v>
      </c>
      <c r="CC48" s="41">
        <f t="shared" si="43"/>
        <v>7</v>
      </c>
      <c r="CD48" s="41">
        <f t="shared" si="43"/>
        <v>645419</v>
      </c>
      <c r="CE48" s="41">
        <f t="shared" si="43"/>
        <v>0</v>
      </c>
      <c r="CF48" s="41">
        <f t="shared" si="43"/>
        <v>495172</v>
      </c>
      <c r="CG48" s="41">
        <f t="shared" si="43"/>
        <v>82173</v>
      </c>
      <c r="CH48" s="41">
        <f t="shared" si="43"/>
        <v>109</v>
      </c>
      <c r="CI48" s="41">
        <f t="shared" si="43"/>
        <v>577454</v>
      </c>
      <c r="CJ48" s="41">
        <f t="shared" si="43"/>
        <v>495934</v>
      </c>
      <c r="CK48" s="41">
        <f t="shared" si="43"/>
        <v>85192</v>
      </c>
      <c r="CL48" s="41">
        <f t="shared" si="43"/>
        <v>581126</v>
      </c>
      <c r="CM48" s="41">
        <f t="shared" si="43"/>
        <v>496048</v>
      </c>
      <c r="CN48" s="41">
        <f t="shared" si="43"/>
        <v>64225</v>
      </c>
      <c r="CO48" s="41">
        <f t="shared" si="43"/>
        <v>112</v>
      </c>
      <c r="CP48" s="41">
        <f t="shared" si="43"/>
        <v>560385</v>
      </c>
      <c r="CQ48" s="41">
        <f t="shared" si="43"/>
        <v>521663</v>
      </c>
      <c r="CR48" s="41">
        <f t="shared" si="43"/>
        <v>58640</v>
      </c>
      <c r="CS48" s="41">
        <f t="shared" si="43"/>
        <v>580303</v>
      </c>
    </row>
    <row r="49" spans="1:99">
      <c r="H49" s="42">
        <v>2002</v>
      </c>
      <c r="I49" s="43">
        <v>2002</v>
      </c>
      <c r="J49" s="43">
        <v>2002</v>
      </c>
      <c r="K49" s="42">
        <v>2002</v>
      </c>
      <c r="L49" s="42">
        <v>2002</v>
      </c>
      <c r="M49" s="42">
        <v>2002</v>
      </c>
      <c r="O49" s="42">
        <v>2003</v>
      </c>
      <c r="P49" s="43">
        <v>2003</v>
      </c>
      <c r="Q49" s="43">
        <v>2003</v>
      </c>
      <c r="R49" s="43">
        <v>2003</v>
      </c>
      <c r="S49" s="42">
        <v>2003</v>
      </c>
      <c r="T49" s="42">
        <v>2003</v>
      </c>
      <c r="U49" s="42"/>
      <c r="V49" s="42">
        <v>2004</v>
      </c>
      <c r="W49" s="43">
        <v>2004</v>
      </c>
      <c r="X49" s="43">
        <v>2004</v>
      </c>
      <c r="Y49" s="42">
        <v>2004</v>
      </c>
      <c r="Z49" s="42">
        <v>2004</v>
      </c>
      <c r="AB49" s="42">
        <v>2005</v>
      </c>
      <c r="AC49" s="42">
        <v>2005</v>
      </c>
      <c r="AD49" s="43">
        <v>2005</v>
      </c>
      <c r="AE49" s="42">
        <v>2005</v>
      </c>
      <c r="AF49" s="42">
        <v>2005</v>
      </c>
      <c r="AH49" s="42">
        <v>2005</v>
      </c>
      <c r="AJ49" s="42">
        <v>2006</v>
      </c>
      <c r="AK49" s="43">
        <v>2006</v>
      </c>
      <c r="AL49" s="42">
        <v>2006</v>
      </c>
      <c r="AM49" s="43">
        <v>2006</v>
      </c>
      <c r="AN49" s="42">
        <v>2006</v>
      </c>
      <c r="AO49" s="42">
        <v>2006</v>
      </c>
      <c r="AP49" s="42"/>
      <c r="AQ49" s="42">
        <v>2007</v>
      </c>
      <c r="AR49" s="43">
        <v>2007</v>
      </c>
      <c r="AS49" s="43">
        <v>2007</v>
      </c>
      <c r="AT49" s="42">
        <v>2007</v>
      </c>
      <c r="AU49" s="42">
        <v>2007</v>
      </c>
      <c r="AV49" s="42">
        <v>2007</v>
      </c>
      <c r="AW49" s="42"/>
      <c r="AX49" s="42">
        <v>2008</v>
      </c>
      <c r="AY49" s="43">
        <v>2008</v>
      </c>
      <c r="AZ49" s="43">
        <v>2008</v>
      </c>
      <c r="BA49" s="43">
        <v>2008</v>
      </c>
      <c r="BB49" s="42">
        <v>2008</v>
      </c>
      <c r="BC49" s="42">
        <v>2008</v>
      </c>
      <c r="BD49" s="42">
        <v>2008</v>
      </c>
      <c r="BE49" s="42"/>
      <c r="BF49" s="42">
        <v>2009</v>
      </c>
      <c r="BG49" s="43">
        <v>2009</v>
      </c>
      <c r="BH49" s="42">
        <v>2009</v>
      </c>
      <c r="BI49" s="43">
        <v>2009</v>
      </c>
      <c r="BJ49" s="42">
        <v>2009</v>
      </c>
      <c r="BK49" s="39">
        <v>2009</v>
      </c>
      <c r="BL49" s="39">
        <v>2009</v>
      </c>
      <c r="BN49" s="42">
        <v>2010</v>
      </c>
      <c r="BO49" s="43">
        <v>2010</v>
      </c>
      <c r="BP49" s="43">
        <v>2010</v>
      </c>
      <c r="BQ49" s="39">
        <v>2010</v>
      </c>
      <c r="BR49" s="39">
        <v>2010</v>
      </c>
      <c r="BS49" s="39">
        <v>2010</v>
      </c>
      <c r="BT49" s="39">
        <v>2010</v>
      </c>
      <c r="BV49" s="39">
        <v>2011</v>
      </c>
      <c r="BW49" s="43">
        <v>2011</v>
      </c>
      <c r="BX49" s="39">
        <v>2011</v>
      </c>
      <c r="BY49" s="39">
        <v>2011</v>
      </c>
      <c r="CA49" s="39">
        <v>2012</v>
      </c>
      <c r="CB49" s="43">
        <v>2012</v>
      </c>
      <c r="CC49" s="39">
        <v>2012</v>
      </c>
      <c r="CD49" s="39">
        <v>2012</v>
      </c>
      <c r="CF49" s="39">
        <v>2013</v>
      </c>
      <c r="CG49" s="43">
        <v>2013</v>
      </c>
      <c r="CH49" s="42">
        <v>2013</v>
      </c>
      <c r="CI49" s="39">
        <v>2013</v>
      </c>
      <c r="CJ49" s="39">
        <v>2014</v>
      </c>
      <c r="CK49" s="43">
        <v>2014</v>
      </c>
      <c r="CL49" s="39">
        <v>2014</v>
      </c>
      <c r="CM49" s="39">
        <v>2015</v>
      </c>
      <c r="CN49" s="43">
        <v>2015</v>
      </c>
      <c r="CO49" s="42">
        <v>2015</v>
      </c>
      <c r="CP49" s="39">
        <v>2015</v>
      </c>
      <c r="CQ49" s="39">
        <v>2016</v>
      </c>
      <c r="CR49" s="43">
        <v>2016</v>
      </c>
      <c r="CS49" s="39">
        <v>2016</v>
      </c>
    </row>
    <row r="50" spans="1:99">
      <c r="H50" s="42" t="s">
        <v>316</v>
      </c>
      <c r="I50" s="43" t="s">
        <v>42</v>
      </c>
      <c r="J50" s="43" t="s">
        <v>42</v>
      </c>
      <c r="K50" s="42"/>
      <c r="L50" s="42" t="s">
        <v>316</v>
      </c>
      <c r="M50" s="42" t="s">
        <v>9</v>
      </c>
      <c r="O50" s="42" t="s">
        <v>316</v>
      </c>
      <c r="P50" s="43" t="s">
        <v>43</v>
      </c>
      <c r="Q50" s="43" t="s">
        <v>44</v>
      </c>
      <c r="R50" s="43" t="s">
        <v>42</v>
      </c>
      <c r="S50" s="42"/>
      <c r="T50" s="42" t="s">
        <v>9</v>
      </c>
      <c r="U50" s="42"/>
      <c r="V50" s="42" t="s">
        <v>316</v>
      </c>
      <c r="W50" s="43" t="s">
        <v>42</v>
      </c>
      <c r="X50" s="43" t="s">
        <v>45</v>
      </c>
      <c r="Y50" s="42"/>
      <c r="Z50" s="42" t="s">
        <v>9</v>
      </c>
      <c r="AB50" s="42" t="s">
        <v>316</v>
      </c>
      <c r="AC50" s="42" t="s">
        <v>321</v>
      </c>
      <c r="AD50" s="43" t="s">
        <v>46</v>
      </c>
      <c r="AE50" s="42" t="s">
        <v>322</v>
      </c>
      <c r="AF50" s="42" t="s">
        <v>321</v>
      </c>
      <c r="AG50" s="42"/>
      <c r="AH50" s="42" t="s">
        <v>9</v>
      </c>
      <c r="AJ50" s="42" t="s">
        <v>316</v>
      </c>
      <c r="AK50" s="43" t="s">
        <v>47</v>
      </c>
      <c r="AL50" s="42" t="s">
        <v>318</v>
      </c>
      <c r="AM50" s="43" t="s">
        <v>48</v>
      </c>
      <c r="AN50" s="42"/>
      <c r="AO50" s="42" t="s">
        <v>9</v>
      </c>
      <c r="AP50" s="42"/>
      <c r="AQ50" s="42" t="s">
        <v>316</v>
      </c>
      <c r="AR50" s="43" t="s">
        <v>47</v>
      </c>
      <c r="AS50" s="43" t="s">
        <v>49</v>
      </c>
      <c r="AT50" s="42" t="s">
        <v>320</v>
      </c>
      <c r="AU50" s="42" t="s">
        <v>9</v>
      </c>
      <c r="AV50" s="42" t="s">
        <v>9</v>
      </c>
      <c r="AW50" s="42"/>
      <c r="AX50" s="42" t="s">
        <v>316</v>
      </c>
      <c r="AY50" s="43" t="s">
        <v>50</v>
      </c>
      <c r="AZ50" s="45" t="s">
        <v>47</v>
      </c>
      <c r="BA50" s="43" t="s">
        <v>49</v>
      </c>
      <c r="BB50" s="42" t="s">
        <v>320</v>
      </c>
      <c r="BC50" s="42" t="s">
        <v>9</v>
      </c>
      <c r="BD50" s="42" t="s">
        <v>9</v>
      </c>
      <c r="BE50" s="42"/>
      <c r="BF50" s="42" t="s">
        <v>316</v>
      </c>
      <c r="BG50" s="46" t="s">
        <v>47</v>
      </c>
      <c r="BH50" s="39" t="s">
        <v>319</v>
      </c>
      <c r="BI50" s="46" t="s">
        <v>51</v>
      </c>
      <c r="BJ50" s="39" t="s">
        <v>318</v>
      </c>
      <c r="BK50" s="42" t="s">
        <v>9</v>
      </c>
      <c r="BL50" s="42" t="s">
        <v>9</v>
      </c>
      <c r="BM50" s="42"/>
      <c r="BN50" s="42" t="s">
        <v>316</v>
      </c>
      <c r="BO50" s="46" t="s">
        <v>47</v>
      </c>
      <c r="BP50" s="46" t="s">
        <v>51</v>
      </c>
      <c r="BQ50" s="39" t="s">
        <v>318</v>
      </c>
      <c r="BR50" s="39" t="s">
        <v>317</v>
      </c>
      <c r="BS50" s="42" t="s">
        <v>9</v>
      </c>
      <c r="BT50" s="42" t="s">
        <v>9</v>
      </c>
      <c r="BV50" s="39" t="s">
        <v>316</v>
      </c>
      <c r="BW50" s="46" t="s">
        <v>52</v>
      </c>
      <c r="BX50" s="42" t="s">
        <v>9</v>
      </c>
      <c r="BY50" s="42" t="s">
        <v>9</v>
      </c>
      <c r="CA50" s="39" t="s">
        <v>316</v>
      </c>
      <c r="CB50" s="46" t="s">
        <v>52</v>
      </c>
      <c r="CC50" s="42" t="s">
        <v>9</v>
      </c>
      <c r="CD50" s="42" t="s">
        <v>9</v>
      </c>
      <c r="CF50" s="39" t="s">
        <v>316</v>
      </c>
      <c r="CG50" s="46" t="s">
        <v>52</v>
      </c>
      <c r="CH50" s="39" t="s">
        <v>435</v>
      </c>
      <c r="CI50" s="42" t="s">
        <v>9</v>
      </c>
      <c r="CJ50" s="39" t="s">
        <v>316</v>
      </c>
      <c r="CK50" s="46" t="s">
        <v>52</v>
      </c>
      <c r="CL50" s="42" t="s">
        <v>9</v>
      </c>
      <c r="CM50" s="39" t="s">
        <v>316</v>
      </c>
      <c r="CN50" s="46" t="s">
        <v>52</v>
      </c>
      <c r="CO50" s="39" t="s">
        <v>436</v>
      </c>
      <c r="CP50" s="42" t="s">
        <v>9</v>
      </c>
      <c r="CQ50" s="39" t="s">
        <v>316</v>
      </c>
      <c r="CR50" s="46" t="s">
        <v>52</v>
      </c>
      <c r="CS50" s="42" t="s">
        <v>9</v>
      </c>
    </row>
    <row r="51" spans="1:99" s="76" customFormat="1" ht="54" customHeight="1">
      <c r="C51" s="77" t="s">
        <v>41</v>
      </c>
      <c r="E51" s="78" t="s">
        <v>53</v>
      </c>
      <c r="H51" s="79" t="s">
        <v>20</v>
      </c>
      <c r="I51" s="80" t="s">
        <v>54</v>
      </c>
      <c r="J51" s="80" t="s">
        <v>21</v>
      </c>
      <c r="K51" s="81" t="s">
        <v>315</v>
      </c>
      <c r="L51" s="81" t="s">
        <v>310</v>
      </c>
      <c r="M51" s="81" t="s">
        <v>309</v>
      </c>
      <c r="N51" s="82"/>
      <c r="O51" s="79" t="s">
        <v>24</v>
      </c>
      <c r="P51" s="83" t="s">
        <v>24</v>
      </c>
      <c r="Q51" s="83" t="s">
        <v>22</v>
      </c>
      <c r="R51" s="83" t="s">
        <v>23</v>
      </c>
      <c r="S51" s="81" t="s">
        <v>310</v>
      </c>
      <c r="T51" s="81" t="s">
        <v>309</v>
      </c>
      <c r="U51" s="81"/>
      <c r="V51" s="79" t="s">
        <v>25</v>
      </c>
      <c r="W51" s="83" t="s">
        <v>55</v>
      </c>
      <c r="X51" s="83" t="s">
        <v>26</v>
      </c>
      <c r="Y51" s="81" t="s">
        <v>310</v>
      </c>
      <c r="Z51" s="81" t="s">
        <v>309</v>
      </c>
      <c r="AB51" s="79" t="s">
        <v>26</v>
      </c>
      <c r="AC51" s="79" t="s">
        <v>314</v>
      </c>
      <c r="AD51" s="83" t="s">
        <v>27</v>
      </c>
      <c r="AE51" s="79" t="s">
        <v>313</v>
      </c>
      <c r="AF51" s="81" t="s">
        <v>312</v>
      </c>
      <c r="AG51" s="81" t="s">
        <v>310</v>
      </c>
      <c r="AH51" s="81" t="s">
        <v>309</v>
      </c>
      <c r="AJ51" s="79" t="s">
        <v>28</v>
      </c>
      <c r="AK51" s="83" t="s">
        <v>28</v>
      </c>
      <c r="AL51" s="81" t="s">
        <v>311</v>
      </c>
      <c r="AM51" s="83" t="s">
        <v>29</v>
      </c>
      <c r="AN51" s="81" t="s">
        <v>310</v>
      </c>
      <c r="AO51" s="81" t="s">
        <v>309</v>
      </c>
      <c r="AP51" s="79"/>
      <c r="AQ51" s="79" t="s">
        <v>30</v>
      </c>
      <c r="AR51" s="83" t="s">
        <v>30</v>
      </c>
      <c r="AS51" s="83" t="s">
        <v>31</v>
      </c>
      <c r="AT51" s="79" t="s">
        <v>31</v>
      </c>
      <c r="AU51" s="81" t="s">
        <v>310</v>
      </c>
      <c r="AV51" s="81" t="s">
        <v>309</v>
      </c>
      <c r="AW51" s="79"/>
      <c r="AX51" s="81" t="s">
        <v>32</v>
      </c>
      <c r="AY51" s="80" t="s">
        <v>56</v>
      </c>
      <c r="AZ51" s="84" t="s">
        <v>33</v>
      </c>
      <c r="BA51" s="84" t="s">
        <v>34</v>
      </c>
      <c r="BB51" s="85" t="s">
        <v>34</v>
      </c>
      <c r="BC51" s="81" t="s">
        <v>310</v>
      </c>
      <c r="BD51" s="81" t="s">
        <v>309</v>
      </c>
      <c r="BE51" s="85"/>
      <c r="BG51" s="84" t="s">
        <v>34</v>
      </c>
      <c r="BH51" s="85" t="s">
        <v>35</v>
      </c>
      <c r="BI51" s="84" t="s">
        <v>36</v>
      </c>
      <c r="BJ51" s="85" t="s">
        <v>36</v>
      </c>
      <c r="BK51" s="81" t="s">
        <v>310</v>
      </c>
      <c r="BL51" s="81" t="s">
        <v>309</v>
      </c>
      <c r="BM51" s="81"/>
      <c r="BN51" s="85" t="s">
        <v>37</v>
      </c>
      <c r="BO51" s="86" t="s">
        <v>57</v>
      </c>
      <c r="BP51" s="86" t="s">
        <v>38</v>
      </c>
      <c r="BQ51" s="76" t="s">
        <v>38</v>
      </c>
      <c r="BR51" s="76" t="s">
        <v>308</v>
      </c>
      <c r="BS51" s="81" t="s">
        <v>310</v>
      </c>
      <c r="BT51" s="81" t="s">
        <v>309</v>
      </c>
      <c r="BV51" s="76" t="s">
        <v>39</v>
      </c>
      <c r="BW51" s="86" t="s">
        <v>39</v>
      </c>
      <c r="BX51" s="81" t="s">
        <v>310</v>
      </c>
      <c r="BY51" s="81" t="s">
        <v>309</v>
      </c>
      <c r="CA51" s="76" t="s">
        <v>40</v>
      </c>
      <c r="CB51" s="86" t="s">
        <v>40</v>
      </c>
      <c r="CC51" s="81" t="s">
        <v>310</v>
      </c>
      <c r="CD51" s="81" t="s">
        <v>309</v>
      </c>
      <c r="CF51" s="76" t="s">
        <v>437</v>
      </c>
      <c r="CG51" s="86" t="s">
        <v>437</v>
      </c>
      <c r="CH51" s="76" t="s">
        <v>438</v>
      </c>
      <c r="CJ51" s="76" t="s">
        <v>439</v>
      </c>
      <c r="CK51" s="86" t="s">
        <v>439</v>
      </c>
      <c r="CM51" s="76" t="s">
        <v>440</v>
      </c>
      <c r="CN51" s="86" t="s">
        <v>440</v>
      </c>
      <c r="CO51" s="87" t="s">
        <v>440</v>
      </c>
      <c r="CR51" s="86"/>
    </row>
    <row r="52" spans="1:99" hidden="1">
      <c r="A52" s="48" t="s">
        <v>58</v>
      </c>
      <c r="B52" s="48" t="s">
        <v>59</v>
      </c>
      <c r="C52" s="48" t="s">
        <v>60</v>
      </c>
      <c r="D52" s="48" t="s">
        <v>61</v>
      </c>
      <c r="E52" s="48" t="s">
        <v>62</v>
      </c>
      <c r="H52" s="42"/>
      <c r="I52" s="49"/>
      <c r="J52" s="43"/>
      <c r="K52" s="42"/>
      <c r="L52" s="42"/>
      <c r="M52" s="42"/>
      <c r="O52" s="42"/>
      <c r="P52" s="43"/>
      <c r="Q52" s="43"/>
      <c r="R52" s="43"/>
      <c r="S52" s="42"/>
      <c r="V52" s="42"/>
      <c r="W52" s="43"/>
      <c r="X52" s="43"/>
      <c r="Y52" s="42"/>
      <c r="AB52" s="42"/>
      <c r="AC52" s="42"/>
      <c r="AD52" s="43"/>
      <c r="AE52" s="42"/>
      <c r="AF52" s="42"/>
      <c r="AJ52" s="42"/>
      <c r="AK52" s="43"/>
      <c r="AL52" s="42"/>
      <c r="AM52" s="43"/>
      <c r="AN52" s="42"/>
      <c r="AO52" s="42"/>
      <c r="AP52" s="42"/>
      <c r="AQ52" s="42"/>
      <c r="AR52" s="43"/>
      <c r="AS52" s="43"/>
      <c r="AT52" s="42"/>
      <c r="AU52" s="42"/>
      <c r="AV52" s="42"/>
      <c r="AW52" s="42"/>
      <c r="AX52" s="42"/>
      <c r="AY52" s="43"/>
      <c r="BL52" s="48"/>
      <c r="BM52" s="48"/>
      <c r="CU52" s="48" t="s">
        <v>61</v>
      </c>
    </row>
    <row r="53" spans="1:99">
      <c r="A53" s="39" t="s">
        <v>63</v>
      </c>
      <c r="B53" s="39" t="s">
        <v>64</v>
      </c>
      <c r="C53" s="39" t="s">
        <v>65</v>
      </c>
      <c r="E53" s="68" t="s">
        <v>66</v>
      </c>
      <c r="H53" s="51">
        <v>-68</v>
      </c>
      <c r="I53" s="49">
        <v>0</v>
      </c>
      <c r="J53" s="49">
        <v>0</v>
      </c>
      <c r="K53" s="51">
        <f>SUM(H53:J53)</f>
        <v>-68</v>
      </c>
      <c r="L53" s="51">
        <f t="shared" ref="L53:L116" si="44">M53-J53-I53-H53</f>
        <v>1</v>
      </c>
      <c r="M53" s="51">
        <v>-67</v>
      </c>
      <c r="N53" s="52"/>
      <c r="O53" s="41">
        <v>-75</v>
      </c>
      <c r="P53" s="50">
        <v>0</v>
      </c>
      <c r="Q53" s="50">
        <v>0</v>
      </c>
      <c r="R53" s="50">
        <v>0</v>
      </c>
      <c r="S53" s="41">
        <v>0</v>
      </c>
      <c r="T53" s="41">
        <v>-75</v>
      </c>
      <c r="U53" s="41"/>
      <c r="V53" s="41">
        <v>-18</v>
      </c>
      <c r="W53" s="50">
        <v>0</v>
      </c>
      <c r="X53" s="50">
        <v>0</v>
      </c>
      <c r="Y53" s="41">
        <f>Z53-SUM(V53:X53)</f>
        <v>0</v>
      </c>
      <c r="Z53" s="41">
        <v>-18</v>
      </c>
      <c r="AA53" s="41"/>
      <c r="AB53" s="41">
        <v>0</v>
      </c>
      <c r="AC53" s="41">
        <v>0</v>
      </c>
      <c r="AD53" s="50">
        <v>0</v>
      </c>
      <c r="AE53" s="41">
        <v>0</v>
      </c>
      <c r="AF53" s="41">
        <v>0</v>
      </c>
      <c r="AG53" s="41">
        <f t="shared" ref="AG53:AG85" si="45">AH53-SUM(AB53:AF53)</f>
        <v>0</v>
      </c>
      <c r="AH53" s="41">
        <v>0</v>
      </c>
      <c r="AI53" s="41"/>
      <c r="AJ53" s="41">
        <v>0</v>
      </c>
      <c r="AK53" s="50">
        <v>0</v>
      </c>
      <c r="AL53" s="41">
        <v>0</v>
      </c>
      <c r="AM53" s="50">
        <v>0</v>
      </c>
      <c r="AN53" s="41">
        <f>AO53-SUM(AJ53:AM53)</f>
        <v>0</v>
      </c>
      <c r="AO53" s="41">
        <v>0</v>
      </c>
      <c r="AP53" s="47"/>
      <c r="AQ53" s="53">
        <v>0</v>
      </c>
      <c r="AR53" s="54">
        <v>0</v>
      </c>
      <c r="AS53" s="54">
        <v>0</v>
      </c>
      <c r="AT53" s="53">
        <v>0</v>
      </c>
      <c r="AU53" s="41">
        <f>AV53-SUM(AQ53:AT53)</f>
        <v>0</v>
      </c>
      <c r="AV53" s="41">
        <v>0</v>
      </c>
      <c r="AW53" s="41"/>
      <c r="AX53" s="41">
        <v>0</v>
      </c>
      <c r="AY53" s="54">
        <v>0</v>
      </c>
      <c r="AZ53" s="50">
        <v>0</v>
      </c>
      <c r="BA53" s="50">
        <v>0</v>
      </c>
      <c r="BB53" s="41">
        <v>0</v>
      </c>
      <c r="BC53" s="41">
        <f>BD53-SUM(AX53:BB53)</f>
        <v>0</v>
      </c>
      <c r="BD53" s="41">
        <v>0</v>
      </c>
      <c r="BF53" s="41">
        <v>0</v>
      </c>
      <c r="BG53" s="50">
        <v>0</v>
      </c>
      <c r="BH53" s="41">
        <v>0</v>
      </c>
      <c r="BI53" s="50">
        <v>0</v>
      </c>
      <c r="BJ53" s="41">
        <v>0</v>
      </c>
      <c r="BK53" s="41">
        <f>BL53-SUM(BF53:BJ53)</f>
        <v>0</v>
      </c>
      <c r="BL53" s="41">
        <v>0</v>
      </c>
      <c r="BM53" s="55"/>
      <c r="BN53" s="41">
        <v>0</v>
      </c>
      <c r="BO53" s="50">
        <v>0</v>
      </c>
      <c r="BP53" s="50">
        <v>0</v>
      </c>
      <c r="BQ53" s="41">
        <v>0</v>
      </c>
      <c r="BR53" s="41">
        <v>0</v>
      </c>
      <c r="BS53" s="41">
        <f t="shared" ref="BS53:BS118" si="46">BT53-SUM(BN53:BR53)</f>
        <v>0</v>
      </c>
      <c r="BT53" s="41">
        <v>0</v>
      </c>
      <c r="BV53" s="41">
        <v>0</v>
      </c>
      <c r="BW53" s="50">
        <v>0</v>
      </c>
      <c r="BX53" s="41">
        <f>BY53-SUM(BV53:BW53)</f>
        <v>0</v>
      </c>
      <c r="BY53" s="41">
        <v>0</v>
      </c>
      <c r="CA53" s="41">
        <v>0</v>
      </c>
      <c r="CB53" s="50">
        <v>0</v>
      </c>
      <c r="CC53" s="41">
        <f>CD53-SUM(CA53:CB53)</f>
        <v>0</v>
      </c>
      <c r="CD53" s="41">
        <v>0</v>
      </c>
      <c r="CF53" s="41">
        <v>0</v>
      </c>
      <c r="CG53" s="50">
        <v>0</v>
      </c>
      <c r="CH53" s="41">
        <v>0</v>
      </c>
      <c r="CI53" s="41">
        <f>SUM(CF53:CH53)</f>
        <v>0</v>
      </c>
      <c r="CJ53" s="41">
        <v>0</v>
      </c>
      <c r="CK53" s="50">
        <v>0</v>
      </c>
      <c r="CL53" s="41">
        <f t="shared" ref="CL53:CL83" si="47">SUM(CJ53:CK53)</f>
        <v>0</v>
      </c>
      <c r="CM53" s="41">
        <v>0</v>
      </c>
      <c r="CN53" s="50">
        <v>0</v>
      </c>
      <c r="CO53" s="41">
        <v>0</v>
      </c>
      <c r="CP53" s="41">
        <f>SUM(CM53:CO53)</f>
        <v>0</v>
      </c>
      <c r="CQ53" s="41">
        <v>0</v>
      </c>
      <c r="CR53" s="50">
        <v>0</v>
      </c>
      <c r="CS53" s="41">
        <f>SUM(CQ53:CR53)</f>
        <v>0</v>
      </c>
    </row>
    <row r="54" spans="1:99">
      <c r="A54" s="39" t="s">
        <v>63</v>
      </c>
      <c r="B54" s="39" t="s">
        <v>64</v>
      </c>
      <c r="C54" s="39" t="s">
        <v>65</v>
      </c>
      <c r="E54" s="68" t="s">
        <v>67</v>
      </c>
      <c r="H54" s="51">
        <v>-196</v>
      </c>
      <c r="I54" s="49">
        <v>0</v>
      </c>
      <c r="J54" s="49">
        <v>0</v>
      </c>
      <c r="K54" s="51">
        <f t="shared" ref="K54:K122" si="48">SUM(H54:J54)</f>
        <v>-196</v>
      </c>
      <c r="L54" s="51">
        <f t="shared" si="44"/>
        <v>196</v>
      </c>
      <c r="M54" s="51">
        <v>0</v>
      </c>
      <c r="N54" s="52"/>
      <c r="O54" s="41">
        <v>0</v>
      </c>
      <c r="P54" s="50">
        <v>0</v>
      </c>
      <c r="Q54" s="50">
        <v>0</v>
      </c>
      <c r="R54" s="50">
        <v>0</v>
      </c>
      <c r="S54" s="41">
        <v>0</v>
      </c>
      <c r="T54" s="41">
        <v>0</v>
      </c>
      <c r="U54" s="41"/>
      <c r="V54" s="41">
        <v>0</v>
      </c>
      <c r="W54" s="50">
        <v>0</v>
      </c>
      <c r="X54" s="50">
        <v>0</v>
      </c>
      <c r="Y54" s="41">
        <f t="shared" ref="Y54:Y122" si="49">Z54-SUM(V54:X54)</f>
        <v>0</v>
      </c>
      <c r="Z54" s="41">
        <v>0</v>
      </c>
      <c r="AA54" s="41"/>
      <c r="AB54" s="41">
        <v>0</v>
      </c>
      <c r="AC54" s="41">
        <v>0</v>
      </c>
      <c r="AD54" s="50">
        <v>0</v>
      </c>
      <c r="AE54" s="41">
        <v>0</v>
      </c>
      <c r="AF54" s="41">
        <v>0</v>
      </c>
      <c r="AG54" s="41">
        <f t="shared" si="45"/>
        <v>0</v>
      </c>
      <c r="AH54" s="41">
        <v>0</v>
      </c>
      <c r="AI54" s="41"/>
      <c r="AJ54" s="41">
        <v>0</v>
      </c>
      <c r="AK54" s="50">
        <v>0</v>
      </c>
      <c r="AL54" s="41">
        <v>0</v>
      </c>
      <c r="AM54" s="50">
        <v>0</v>
      </c>
      <c r="AN54" s="41">
        <f t="shared" ref="AN54:AN122" si="50">AO54-SUM(AJ54:AM54)</f>
        <v>0</v>
      </c>
      <c r="AO54" s="41">
        <v>0</v>
      </c>
      <c r="AP54" s="47"/>
      <c r="AQ54" s="53">
        <v>0</v>
      </c>
      <c r="AR54" s="54">
        <v>0</v>
      </c>
      <c r="AS54" s="54">
        <v>0</v>
      </c>
      <c r="AT54" s="53">
        <v>0</v>
      </c>
      <c r="AU54" s="41">
        <f t="shared" ref="AU54:AU122" si="51">AV54-SUM(AQ54:AT54)</f>
        <v>0</v>
      </c>
      <c r="AV54" s="41">
        <v>0</v>
      </c>
      <c r="AW54" s="41"/>
      <c r="AX54" s="41">
        <v>0</v>
      </c>
      <c r="AY54" s="54">
        <v>0</v>
      </c>
      <c r="AZ54" s="50">
        <v>0</v>
      </c>
      <c r="BA54" s="50">
        <v>0</v>
      </c>
      <c r="BB54" s="41">
        <v>0</v>
      </c>
      <c r="BC54" s="41">
        <f>BD54-SUM(AX54:BB54)</f>
        <v>0</v>
      </c>
      <c r="BD54" s="41">
        <v>0</v>
      </c>
      <c r="BF54" s="41">
        <v>0</v>
      </c>
      <c r="BG54" s="50">
        <v>0</v>
      </c>
      <c r="BH54" s="41">
        <v>0</v>
      </c>
      <c r="BI54" s="50">
        <v>0</v>
      </c>
      <c r="BJ54" s="41">
        <v>0</v>
      </c>
      <c r="BK54" s="41">
        <f t="shared" ref="BK54:BK122" si="52">BL54-SUM(BF54:BJ54)</f>
        <v>0</v>
      </c>
      <c r="BL54" s="41">
        <v>0</v>
      </c>
      <c r="BM54" s="55"/>
      <c r="BN54" s="41">
        <v>0</v>
      </c>
      <c r="BO54" s="50">
        <v>0</v>
      </c>
      <c r="BP54" s="50">
        <v>0</v>
      </c>
      <c r="BQ54" s="41">
        <v>0</v>
      </c>
      <c r="BR54" s="41">
        <v>0</v>
      </c>
      <c r="BS54" s="41">
        <f t="shared" si="46"/>
        <v>0</v>
      </c>
      <c r="BT54" s="41">
        <v>0</v>
      </c>
      <c r="BV54" s="41">
        <v>0</v>
      </c>
      <c r="BW54" s="50">
        <v>0</v>
      </c>
      <c r="BX54" s="41">
        <f t="shared" ref="BX54:BX119" si="53">BY54-SUM(BV54:BW54)</f>
        <v>0</v>
      </c>
      <c r="BY54" s="41">
        <v>0</v>
      </c>
      <c r="CA54" s="41">
        <v>0</v>
      </c>
      <c r="CB54" s="50">
        <v>0</v>
      </c>
      <c r="CC54" s="41">
        <f t="shared" ref="CC54:CC119" si="54">CD54-SUM(CA54:CB54)</f>
        <v>0</v>
      </c>
      <c r="CD54" s="41">
        <v>0</v>
      </c>
      <c r="CF54" s="41">
        <v>0</v>
      </c>
      <c r="CG54" s="50">
        <v>0</v>
      </c>
      <c r="CH54" s="41">
        <v>0</v>
      </c>
      <c r="CI54" s="41">
        <f t="shared" ref="CI54:CI118" si="55">SUM(CF54:CH54)</f>
        <v>0</v>
      </c>
      <c r="CJ54" s="41">
        <v>0</v>
      </c>
      <c r="CK54" s="50">
        <v>0</v>
      </c>
      <c r="CL54" s="41">
        <f t="shared" si="47"/>
        <v>0</v>
      </c>
      <c r="CM54" s="41">
        <v>0</v>
      </c>
      <c r="CN54" s="50">
        <v>0</v>
      </c>
      <c r="CO54" s="41">
        <v>0</v>
      </c>
      <c r="CP54" s="41">
        <f t="shared" ref="CP54:CP118" si="56">SUM(CM54:CO54)</f>
        <v>0</v>
      </c>
      <c r="CQ54" s="41">
        <v>0</v>
      </c>
      <c r="CR54" s="50">
        <v>0</v>
      </c>
      <c r="CS54" s="41">
        <f t="shared" ref="CS54:CS117" si="57">SUM(CQ54:CR54)</f>
        <v>0</v>
      </c>
    </row>
    <row r="55" spans="1:99">
      <c r="A55" s="39" t="s">
        <v>63</v>
      </c>
      <c r="B55" s="39" t="s">
        <v>64</v>
      </c>
      <c r="C55" s="39" t="s">
        <v>65</v>
      </c>
      <c r="E55" s="70" t="s">
        <v>68</v>
      </c>
      <c r="H55" s="51">
        <v>0</v>
      </c>
      <c r="I55" s="49">
        <v>0</v>
      </c>
      <c r="J55" s="49">
        <v>0</v>
      </c>
      <c r="K55" s="51">
        <f t="shared" si="48"/>
        <v>0</v>
      </c>
      <c r="L55" s="51">
        <f t="shared" si="44"/>
        <v>-13</v>
      </c>
      <c r="M55" s="51">
        <v>-13</v>
      </c>
      <c r="N55" s="52"/>
      <c r="O55" s="41">
        <v>0</v>
      </c>
      <c r="P55" s="50">
        <v>0</v>
      </c>
      <c r="Q55" s="50">
        <v>0</v>
      </c>
      <c r="R55" s="50">
        <v>0</v>
      </c>
      <c r="S55" s="41">
        <v>-2</v>
      </c>
      <c r="T55" s="41">
        <v>-2</v>
      </c>
      <c r="U55" s="41"/>
      <c r="V55" s="41">
        <v>0</v>
      </c>
      <c r="W55" s="50">
        <v>0</v>
      </c>
      <c r="X55" s="50">
        <v>0</v>
      </c>
      <c r="Y55" s="41">
        <f t="shared" si="49"/>
        <v>0</v>
      </c>
      <c r="Z55" s="41">
        <v>0</v>
      </c>
      <c r="AA55" s="41"/>
      <c r="AB55" s="41">
        <v>0</v>
      </c>
      <c r="AC55" s="41">
        <v>0</v>
      </c>
      <c r="AD55" s="50">
        <v>0</v>
      </c>
      <c r="AE55" s="41">
        <v>0</v>
      </c>
      <c r="AF55" s="41">
        <v>0</v>
      </c>
      <c r="AG55" s="41">
        <f t="shared" si="45"/>
        <v>0</v>
      </c>
      <c r="AH55" s="41">
        <v>0</v>
      </c>
      <c r="AI55" s="41"/>
      <c r="AJ55" s="41">
        <v>0</v>
      </c>
      <c r="AK55" s="50">
        <v>0</v>
      </c>
      <c r="AL55" s="41">
        <v>0</v>
      </c>
      <c r="AM55" s="50">
        <v>0</v>
      </c>
      <c r="AN55" s="41">
        <f t="shared" si="50"/>
        <v>-69</v>
      </c>
      <c r="AO55" s="41">
        <v>-69</v>
      </c>
      <c r="AP55" s="47"/>
      <c r="AQ55" s="53">
        <v>0</v>
      </c>
      <c r="AR55" s="54">
        <v>0</v>
      </c>
      <c r="AS55" s="54">
        <v>0</v>
      </c>
      <c r="AT55" s="53">
        <v>0</v>
      </c>
      <c r="AU55" s="41">
        <f t="shared" si="51"/>
        <v>-1</v>
      </c>
      <c r="AV55" s="41">
        <v>-1</v>
      </c>
      <c r="AW55" s="41"/>
      <c r="AX55" s="41">
        <v>0</v>
      </c>
      <c r="AY55" s="54">
        <v>0</v>
      </c>
      <c r="AZ55" s="50">
        <v>0</v>
      </c>
      <c r="BA55" s="50">
        <v>0</v>
      </c>
      <c r="BB55" s="41">
        <v>0</v>
      </c>
      <c r="BC55" s="41">
        <f t="shared" ref="BC55:BC123" si="58">BD55-SUM(AX55:BB55)</f>
        <v>0</v>
      </c>
      <c r="BD55" s="41">
        <v>0</v>
      </c>
      <c r="BF55" s="41">
        <v>0</v>
      </c>
      <c r="BG55" s="50">
        <v>0</v>
      </c>
      <c r="BH55" s="41">
        <v>0</v>
      </c>
      <c r="BI55" s="50">
        <v>0</v>
      </c>
      <c r="BJ55" s="41">
        <v>0</v>
      </c>
      <c r="BK55" s="41">
        <f t="shared" si="52"/>
        <v>0</v>
      </c>
      <c r="BL55" s="41">
        <v>0</v>
      </c>
      <c r="BM55" s="55"/>
      <c r="BN55" s="41">
        <v>0</v>
      </c>
      <c r="BO55" s="50">
        <v>0</v>
      </c>
      <c r="BP55" s="50">
        <v>0</v>
      </c>
      <c r="BQ55" s="41">
        <v>0</v>
      </c>
      <c r="BR55" s="41">
        <v>0</v>
      </c>
      <c r="BS55" s="41">
        <f t="shared" si="46"/>
        <v>0</v>
      </c>
      <c r="BT55" s="41">
        <v>0</v>
      </c>
      <c r="BV55" s="41">
        <v>0</v>
      </c>
      <c r="BW55" s="50">
        <v>0</v>
      </c>
      <c r="BX55" s="41">
        <f t="shared" si="53"/>
        <v>0</v>
      </c>
      <c r="BY55" s="41">
        <v>0</v>
      </c>
      <c r="CA55" s="41">
        <v>0</v>
      </c>
      <c r="CB55" s="50">
        <v>0</v>
      </c>
      <c r="CC55" s="41">
        <f t="shared" si="54"/>
        <v>0</v>
      </c>
      <c r="CD55" s="41">
        <v>0</v>
      </c>
      <c r="CF55" s="41">
        <v>0</v>
      </c>
      <c r="CG55" s="50">
        <v>0</v>
      </c>
      <c r="CH55" s="41">
        <v>0</v>
      </c>
      <c r="CI55" s="41">
        <f t="shared" si="55"/>
        <v>0</v>
      </c>
      <c r="CJ55" s="41">
        <v>0</v>
      </c>
      <c r="CK55" s="50">
        <v>0</v>
      </c>
      <c r="CL55" s="41">
        <f t="shared" si="47"/>
        <v>0</v>
      </c>
      <c r="CM55" s="41">
        <v>0</v>
      </c>
      <c r="CN55" s="50">
        <v>0</v>
      </c>
      <c r="CO55" s="41">
        <v>0</v>
      </c>
      <c r="CP55" s="41">
        <f t="shared" si="56"/>
        <v>0</v>
      </c>
      <c r="CQ55" s="41">
        <v>0</v>
      </c>
      <c r="CR55" s="50">
        <v>0</v>
      </c>
      <c r="CS55" s="41">
        <f t="shared" si="57"/>
        <v>0</v>
      </c>
      <c r="CT55" s="44"/>
    </row>
    <row r="56" spans="1:99">
      <c r="A56" s="39" t="s">
        <v>63</v>
      </c>
      <c r="B56" s="39" t="s">
        <v>69</v>
      </c>
      <c r="C56" s="39" t="s">
        <v>2</v>
      </c>
      <c r="D56" s="56">
        <v>17100001051</v>
      </c>
      <c r="E56" s="68" t="s">
        <v>70</v>
      </c>
      <c r="H56" s="51">
        <v>0</v>
      </c>
      <c r="I56" s="49">
        <v>0</v>
      </c>
      <c r="J56" s="49">
        <v>0</v>
      </c>
      <c r="K56" s="51">
        <f t="shared" si="48"/>
        <v>0</v>
      </c>
      <c r="L56" s="51">
        <f t="shared" si="44"/>
        <v>0</v>
      </c>
      <c r="M56" s="51">
        <v>0</v>
      </c>
      <c r="N56" s="52"/>
      <c r="O56" s="41">
        <v>0</v>
      </c>
      <c r="P56" s="50">
        <v>0</v>
      </c>
      <c r="Q56" s="50">
        <v>0</v>
      </c>
      <c r="R56" s="50">
        <v>0</v>
      </c>
      <c r="S56" s="41">
        <v>0</v>
      </c>
      <c r="T56" s="41">
        <v>0</v>
      </c>
      <c r="U56" s="41"/>
      <c r="V56" s="41">
        <v>0</v>
      </c>
      <c r="W56" s="50">
        <v>0</v>
      </c>
      <c r="X56" s="50">
        <v>0</v>
      </c>
      <c r="Y56" s="41">
        <f t="shared" si="49"/>
        <v>0</v>
      </c>
      <c r="Z56" s="41">
        <v>0</v>
      </c>
      <c r="AA56" s="41"/>
      <c r="AB56" s="41">
        <v>0</v>
      </c>
      <c r="AC56" s="41">
        <v>0</v>
      </c>
      <c r="AD56" s="50">
        <v>0</v>
      </c>
      <c r="AE56" s="41">
        <v>0</v>
      </c>
      <c r="AF56" s="41">
        <v>0</v>
      </c>
      <c r="AG56" s="41">
        <f t="shared" si="45"/>
        <v>0</v>
      </c>
      <c r="AH56" s="41">
        <v>0</v>
      </c>
      <c r="AI56" s="41"/>
      <c r="AJ56" s="41">
        <v>2029</v>
      </c>
      <c r="AK56" s="50">
        <v>0</v>
      </c>
      <c r="AL56" s="41">
        <v>0</v>
      </c>
      <c r="AM56" s="50">
        <v>0</v>
      </c>
      <c r="AN56" s="41">
        <f t="shared" si="50"/>
        <v>0</v>
      </c>
      <c r="AO56" s="41">
        <v>2029</v>
      </c>
      <c r="AP56" s="41"/>
      <c r="AQ56" s="53">
        <v>2098</v>
      </c>
      <c r="AR56" s="54">
        <v>0</v>
      </c>
      <c r="AS56" s="54">
        <v>0</v>
      </c>
      <c r="AT56" s="53">
        <v>0</v>
      </c>
      <c r="AU56" s="41">
        <f t="shared" si="51"/>
        <v>0</v>
      </c>
      <c r="AV56" s="41">
        <v>2098</v>
      </c>
      <c r="AW56" s="41"/>
      <c r="AX56" s="41">
        <v>1935</v>
      </c>
      <c r="AY56" s="54">
        <v>0</v>
      </c>
      <c r="AZ56" s="50">
        <v>0</v>
      </c>
      <c r="BA56" s="50">
        <v>0</v>
      </c>
      <c r="BB56" s="41">
        <v>0</v>
      </c>
      <c r="BC56" s="41">
        <f t="shared" si="58"/>
        <v>0</v>
      </c>
      <c r="BD56" s="41">
        <v>1935</v>
      </c>
      <c r="BF56" s="41">
        <v>1771</v>
      </c>
      <c r="BG56" s="50">
        <v>0</v>
      </c>
      <c r="BH56" s="41">
        <v>0</v>
      </c>
      <c r="BI56" s="50">
        <v>0</v>
      </c>
      <c r="BJ56" s="41">
        <v>0</v>
      </c>
      <c r="BK56" s="41">
        <f t="shared" si="52"/>
        <v>0</v>
      </c>
      <c r="BL56" s="41">
        <v>1771</v>
      </c>
      <c r="BM56" s="55"/>
      <c r="BN56" s="41">
        <v>1826</v>
      </c>
      <c r="BO56" s="50">
        <v>0</v>
      </c>
      <c r="BP56" s="50">
        <v>0</v>
      </c>
      <c r="BQ56" s="41">
        <v>0</v>
      </c>
      <c r="BR56" s="41">
        <v>0</v>
      </c>
      <c r="BS56" s="41">
        <f t="shared" si="46"/>
        <v>0</v>
      </c>
      <c r="BT56" s="41">
        <v>1826</v>
      </c>
      <c r="BV56" s="41">
        <v>1841</v>
      </c>
      <c r="BW56" s="50">
        <v>0</v>
      </c>
      <c r="BX56" s="41">
        <f t="shared" si="53"/>
        <v>0</v>
      </c>
      <c r="BY56" s="41">
        <v>1841</v>
      </c>
      <c r="CA56" s="41">
        <v>1806</v>
      </c>
      <c r="CB56" s="50">
        <v>0</v>
      </c>
      <c r="CC56" s="41">
        <f t="shared" si="54"/>
        <v>0</v>
      </c>
      <c r="CD56" s="41">
        <v>1806</v>
      </c>
      <c r="CF56" s="41">
        <v>1397</v>
      </c>
      <c r="CG56" s="50">
        <v>0</v>
      </c>
      <c r="CH56" s="41">
        <v>0</v>
      </c>
      <c r="CI56" s="41">
        <f t="shared" si="55"/>
        <v>1397</v>
      </c>
      <c r="CJ56" s="41">
        <v>1298</v>
      </c>
      <c r="CK56" s="50">
        <v>0</v>
      </c>
      <c r="CL56" s="41">
        <f t="shared" si="47"/>
        <v>1298</v>
      </c>
      <c r="CM56" s="41">
        <v>1313</v>
      </c>
      <c r="CN56" s="50">
        <v>0</v>
      </c>
      <c r="CO56" s="41">
        <v>0</v>
      </c>
      <c r="CP56" s="41">
        <f t="shared" si="56"/>
        <v>1313</v>
      </c>
      <c r="CQ56" s="41">
        <v>1281</v>
      </c>
      <c r="CR56" s="50">
        <v>0</v>
      </c>
      <c r="CS56" s="41">
        <f t="shared" si="57"/>
        <v>1281</v>
      </c>
      <c r="CU56" s="39" t="s">
        <v>441</v>
      </c>
    </row>
    <row r="57" spans="1:99">
      <c r="A57" s="39" t="s">
        <v>63</v>
      </c>
      <c r="B57" s="39" t="s">
        <v>69</v>
      </c>
      <c r="C57" s="39" t="s">
        <v>2</v>
      </c>
      <c r="D57" s="56">
        <v>17100101051</v>
      </c>
      <c r="E57" s="68" t="s">
        <v>71</v>
      </c>
      <c r="H57" s="51">
        <v>0</v>
      </c>
      <c r="I57" s="49">
        <v>0</v>
      </c>
      <c r="J57" s="49">
        <v>0</v>
      </c>
      <c r="K57" s="51">
        <f t="shared" si="48"/>
        <v>0</v>
      </c>
      <c r="L57" s="51">
        <f t="shared" si="44"/>
        <v>0</v>
      </c>
      <c r="M57" s="51">
        <v>0</v>
      </c>
      <c r="N57" s="52"/>
      <c r="O57" s="41">
        <v>0</v>
      </c>
      <c r="P57" s="50">
        <v>0</v>
      </c>
      <c r="Q57" s="50">
        <v>0</v>
      </c>
      <c r="R57" s="50">
        <v>0</v>
      </c>
      <c r="S57" s="41">
        <v>0</v>
      </c>
      <c r="T57" s="41">
        <v>0</v>
      </c>
      <c r="U57" s="41"/>
      <c r="V57" s="41">
        <v>0</v>
      </c>
      <c r="W57" s="50">
        <v>0</v>
      </c>
      <c r="X57" s="50">
        <v>0</v>
      </c>
      <c r="Y57" s="41">
        <f t="shared" si="49"/>
        <v>0</v>
      </c>
      <c r="Z57" s="41">
        <v>0</v>
      </c>
      <c r="AA57" s="41"/>
      <c r="AB57" s="41">
        <v>0</v>
      </c>
      <c r="AC57" s="41">
        <v>0</v>
      </c>
      <c r="AD57" s="50">
        <v>0</v>
      </c>
      <c r="AE57" s="41">
        <v>0</v>
      </c>
      <c r="AF57" s="41">
        <v>0</v>
      </c>
      <c r="AG57" s="41">
        <f t="shared" si="45"/>
        <v>0</v>
      </c>
      <c r="AH57" s="41">
        <v>0</v>
      </c>
      <c r="AI57" s="41"/>
      <c r="AJ57" s="41">
        <v>982</v>
      </c>
      <c r="AK57" s="50">
        <v>0</v>
      </c>
      <c r="AL57" s="41">
        <v>0</v>
      </c>
      <c r="AM57" s="50">
        <v>0</v>
      </c>
      <c r="AN57" s="41">
        <f t="shared" si="50"/>
        <v>0</v>
      </c>
      <c r="AO57" s="41">
        <v>982</v>
      </c>
      <c r="AP57" s="41"/>
      <c r="AQ57" s="53">
        <v>1051</v>
      </c>
      <c r="AR57" s="54">
        <v>0</v>
      </c>
      <c r="AS57" s="54">
        <v>0</v>
      </c>
      <c r="AT57" s="53">
        <v>0</v>
      </c>
      <c r="AU57" s="41">
        <f t="shared" si="51"/>
        <v>0</v>
      </c>
      <c r="AV57" s="41">
        <v>1051</v>
      </c>
      <c r="AW57" s="41"/>
      <c r="AX57" s="41">
        <v>1116</v>
      </c>
      <c r="AY57" s="54">
        <v>0</v>
      </c>
      <c r="AZ57" s="50">
        <v>0</v>
      </c>
      <c r="BA57" s="50">
        <v>0</v>
      </c>
      <c r="BB57" s="41">
        <v>0</v>
      </c>
      <c r="BC57" s="41">
        <f t="shared" si="58"/>
        <v>0</v>
      </c>
      <c r="BD57" s="41">
        <v>1116</v>
      </c>
      <c r="BF57" s="41">
        <v>1053</v>
      </c>
      <c r="BG57" s="50">
        <v>0</v>
      </c>
      <c r="BH57" s="41">
        <v>0</v>
      </c>
      <c r="BI57" s="50">
        <v>0</v>
      </c>
      <c r="BJ57" s="41">
        <v>0</v>
      </c>
      <c r="BK57" s="41">
        <f t="shared" si="52"/>
        <v>0</v>
      </c>
      <c r="BL57" s="41">
        <v>1053</v>
      </c>
      <c r="BM57" s="55"/>
      <c r="BN57" s="41">
        <v>1136</v>
      </c>
      <c r="BO57" s="50">
        <v>0</v>
      </c>
      <c r="BP57" s="50">
        <v>0</v>
      </c>
      <c r="BQ57" s="41">
        <v>0</v>
      </c>
      <c r="BR57" s="41">
        <v>0</v>
      </c>
      <c r="BS57" s="41">
        <f t="shared" si="46"/>
        <v>0</v>
      </c>
      <c r="BT57" s="41">
        <v>1136</v>
      </c>
      <c r="BV57" s="41">
        <v>1142</v>
      </c>
      <c r="BW57" s="50">
        <v>0</v>
      </c>
      <c r="BX57" s="41">
        <f t="shared" si="53"/>
        <v>0</v>
      </c>
      <c r="BY57" s="41">
        <v>1142</v>
      </c>
      <c r="CA57" s="41">
        <v>1126</v>
      </c>
      <c r="CB57" s="50">
        <v>0</v>
      </c>
      <c r="CC57" s="41">
        <f t="shared" si="54"/>
        <v>0</v>
      </c>
      <c r="CD57" s="41">
        <v>1126</v>
      </c>
      <c r="CF57" s="41">
        <v>811</v>
      </c>
      <c r="CG57" s="50">
        <v>65</v>
      </c>
      <c r="CH57" s="41">
        <v>0</v>
      </c>
      <c r="CI57" s="41">
        <f t="shared" si="55"/>
        <v>876</v>
      </c>
      <c r="CJ57" s="41">
        <v>742</v>
      </c>
      <c r="CK57" s="50">
        <v>37</v>
      </c>
      <c r="CL57" s="41">
        <f t="shared" si="47"/>
        <v>779</v>
      </c>
      <c r="CM57" s="41">
        <v>748</v>
      </c>
      <c r="CN57" s="50">
        <v>14</v>
      </c>
      <c r="CO57" s="41">
        <v>0</v>
      </c>
      <c r="CP57" s="41">
        <f t="shared" si="56"/>
        <v>762</v>
      </c>
      <c r="CQ57" s="41">
        <v>726</v>
      </c>
      <c r="CR57" s="50">
        <v>0</v>
      </c>
      <c r="CS57" s="41">
        <f t="shared" si="57"/>
        <v>726</v>
      </c>
      <c r="CU57" s="39" t="s">
        <v>442</v>
      </c>
    </row>
    <row r="58" spans="1:99">
      <c r="A58" s="39" t="s">
        <v>63</v>
      </c>
      <c r="B58" s="39" t="s">
        <v>69</v>
      </c>
      <c r="C58" s="39" t="s">
        <v>2</v>
      </c>
      <c r="D58" s="56">
        <v>17100201051</v>
      </c>
      <c r="E58" s="68" t="s">
        <v>72</v>
      </c>
      <c r="H58" s="51">
        <v>0</v>
      </c>
      <c r="I58" s="49">
        <v>0</v>
      </c>
      <c r="J58" s="49">
        <v>0</v>
      </c>
      <c r="K58" s="51">
        <f t="shared" si="48"/>
        <v>0</v>
      </c>
      <c r="L58" s="51">
        <f t="shared" si="44"/>
        <v>0</v>
      </c>
      <c r="M58" s="51">
        <v>0</v>
      </c>
      <c r="N58" s="52"/>
      <c r="O58" s="41">
        <v>0</v>
      </c>
      <c r="P58" s="50">
        <v>0</v>
      </c>
      <c r="Q58" s="50">
        <v>0</v>
      </c>
      <c r="R58" s="50">
        <v>0</v>
      </c>
      <c r="S58" s="41">
        <v>0</v>
      </c>
      <c r="T58" s="41">
        <v>0</v>
      </c>
      <c r="U58" s="41"/>
      <c r="V58" s="41">
        <v>0</v>
      </c>
      <c r="W58" s="50">
        <v>0</v>
      </c>
      <c r="X58" s="50">
        <v>0</v>
      </c>
      <c r="Y58" s="41">
        <f t="shared" si="49"/>
        <v>0</v>
      </c>
      <c r="Z58" s="41">
        <v>0</v>
      </c>
      <c r="AA58" s="41"/>
      <c r="AB58" s="41">
        <v>0</v>
      </c>
      <c r="AC58" s="41">
        <v>0</v>
      </c>
      <c r="AD58" s="50">
        <v>0</v>
      </c>
      <c r="AE58" s="41">
        <v>0</v>
      </c>
      <c r="AF58" s="41">
        <v>0</v>
      </c>
      <c r="AG58" s="41">
        <f t="shared" si="45"/>
        <v>0</v>
      </c>
      <c r="AH58" s="41">
        <v>0</v>
      </c>
      <c r="AI58" s="41"/>
      <c r="AJ58" s="41">
        <v>292</v>
      </c>
      <c r="AK58" s="50">
        <v>0</v>
      </c>
      <c r="AL58" s="41">
        <v>0</v>
      </c>
      <c r="AM58" s="50">
        <v>0</v>
      </c>
      <c r="AN58" s="41">
        <f t="shared" si="50"/>
        <v>0</v>
      </c>
      <c r="AO58" s="41">
        <v>292</v>
      </c>
      <c r="AP58" s="41"/>
      <c r="AQ58" s="53">
        <v>287</v>
      </c>
      <c r="AR58" s="54">
        <v>0</v>
      </c>
      <c r="AS58" s="54">
        <v>0</v>
      </c>
      <c r="AT58" s="53">
        <v>0</v>
      </c>
      <c r="AU58" s="41">
        <f t="shared" si="51"/>
        <v>0</v>
      </c>
      <c r="AV58" s="41">
        <v>287</v>
      </c>
      <c r="AW58" s="41"/>
      <c r="AX58" s="41">
        <v>266</v>
      </c>
      <c r="AY58" s="54">
        <v>0</v>
      </c>
      <c r="AZ58" s="50">
        <v>0</v>
      </c>
      <c r="BA58" s="50">
        <v>0</v>
      </c>
      <c r="BB58" s="41">
        <v>0</v>
      </c>
      <c r="BC58" s="41">
        <f t="shared" si="58"/>
        <v>0</v>
      </c>
      <c r="BD58" s="41">
        <v>266</v>
      </c>
      <c r="BF58" s="41">
        <v>240</v>
      </c>
      <c r="BG58" s="50">
        <v>0</v>
      </c>
      <c r="BH58" s="41">
        <v>0</v>
      </c>
      <c r="BI58" s="50">
        <v>0</v>
      </c>
      <c r="BJ58" s="41">
        <v>0</v>
      </c>
      <c r="BK58" s="41">
        <f t="shared" si="52"/>
        <v>0</v>
      </c>
      <c r="BL58" s="41">
        <v>240</v>
      </c>
      <c r="BM58" s="55"/>
      <c r="BN58" s="41">
        <v>234</v>
      </c>
      <c r="BO58" s="50">
        <v>0</v>
      </c>
      <c r="BP58" s="50">
        <v>0</v>
      </c>
      <c r="BQ58" s="41">
        <v>0</v>
      </c>
      <c r="BR58" s="41">
        <v>0</v>
      </c>
      <c r="BS58" s="41">
        <f t="shared" si="46"/>
        <v>0</v>
      </c>
      <c r="BT58" s="41">
        <v>234</v>
      </c>
      <c r="BV58" s="41">
        <v>242</v>
      </c>
      <c r="BW58" s="50">
        <v>0</v>
      </c>
      <c r="BX58" s="41">
        <f t="shared" si="53"/>
        <v>0</v>
      </c>
      <c r="BY58" s="41">
        <v>242</v>
      </c>
      <c r="CA58" s="41">
        <v>236</v>
      </c>
      <c r="CB58" s="50">
        <v>0</v>
      </c>
      <c r="CC58" s="41">
        <f t="shared" si="54"/>
        <v>0</v>
      </c>
      <c r="CD58" s="41">
        <v>236</v>
      </c>
      <c r="CF58" s="41">
        <v>169</v>
      </c>
      <c r="CG58" s="50">
        <v>0</v>
      </c>
      <c r="CH58" s="41">
        <v>0</v>
      </c>
      <c r="CI58" s="41">
        <f t="shared" si="55"/>
        <v>169</v>
      </c>
      <c r="CJ58" s="41">
        <v>148</v>
      </c>
      <c r="CK58" s="50">
        <v>0</v>
      </c>
      <c r="CL58" s="41">
        <f t="shared" si="47"/>
        <v>148</v>
      </c>
      <c r="CM58" s="41">
        <v>125</v>
      </c>
      <c r="CN58" s="50">
        <v>0</v>
      </c>
      <c r="CO58" s="41">
        <v>0</v>
      </c>
      <c r="CP58" s="41">
        <f t="shared" si="56"/>
        <v>125</v>
      </c>
      <c r="CQ58" s="41">
        <v>116</v>
      </c>
      <c r="CR58" s="50">
        <v>0</v>
      </c>
      <c r="CS58" s="41">
        <f t="shared" si="57"/>
        <v>116</v>
      </c>
      <c r="CU58" s="39" t="s">
        <v>443</v>
      </c>
    </row>
    <row r="59" spans="1:99">
      <c r="A59" s="39" t="s">
        <v>63</v>
      </c>
      <c r="B59" s="39" t="s">
        <v>69</v>
      </c>
      <c r="C59" s="39" t="s">
        <v>2</v>
      </c>
      <c r="D59" s="57">
        <v>17100301051</v>
      </c>
      <c r="E59" s="68" t="s">
        <v>72</v>
      </c>
      <c r="H59" s="51">
        <v>0</v>
      </c>
      <c r="I59" s="49">
        <v>0</v>
      </c>
      <c r="J59" s="49">
        <v>0</v>
      </c>
      <c r="K59" s="51">
        <f t="shared" si="48"/>
        <v>0</v>
      </c>
      <c r="L59" s="51">
        <f t="shared" si="44"/>
        <v>0</v>
      </c>
      <c r="M59" s="51">
        <v>0</v>
      </c>
      <c r="N59" s="52"/>
      <c r="O59" s="41">
        <v>0</v>
      </c>
      <c r="P59" s="50">
        <v>0</v>
      </c>
      <c r="Q59" s="50">
        <v>0</v>
      </c>
      <c r="R59" s="50">
        <v>0</v>
      </c>
      <c r="S59" s="41">
        <v>0</v>
      </c>
      <c r="T59" s="41">
        <v>0</v>
      </c>
      <c r="U59" s="41"/>
      <c r="V59" s="41">
        <v>0</v>
      </c>
      <c r="W59" s="50">
        <v>0</v>
      </c>
      <c r="X59" s="50">
        <v>0</v>
      </c>
      <c r="Y59" s="41">
        <f t="shared" si="49"/>
        <v>0</v>
      </c>
      <c r="Z59" s="41">
        <v>0</v>
      </c>
      <c r="AA59" s="41"/>
      <c r="AB59" s="41">
        <v>0</v>
      </c>
      <c r="AC59" s="41">
        <v>0</v>
      </c>
      <c r="AD59" s="50">
        <v>0</v>
      </c>
      <c r="AE59" s="41">
        <v>0</v>
      </c>
      <c r="AF59" s="41">
        <v>0</v>
      </c>
      <c r="AG59" s="41">
        <f t="shared" si="45"/>
        <v>0</v>
      </c>
      <c r="AH59" s="41">
        <v>0</v>
      </c>
      <c r="AI59" s="41"/>
      <c r="AJ59" s="41">
        <v>137</v>
      </c>
      <c r="AK59" s="50">
        <v>0</v>
      </c>
      <c r="AL59" s="41">
        <v>0</v>
      </c>
      <c r="AM59" s="50">
        <v>0</v>
      </c>
      <c r="AN59" s="41">
        <f t="shared" si="50"/>
        <v>0</v>
      </c>
      <c r="AO59" s="41">
        <v>137</v>
      </c>
      <c r="AP59" s="41"/>
      <c r="AQ59" s="53">
        <v>145</v>
      </c>
      <c r="AR59" s="54">
        <v>0</v>
      </c>
      <c r="AS59" s="54">
        <v>0</v>
      </c>
      <c r="AT59" s="53">
        <v>0</v>
      </c>
      <c r="AU59" s="41">
        <f t="shared" si="51"/>
        <v>0</v>
      </c>
      <c r="AV59" s="41">
        <v>145</v>
      </c>
      <c r="AW59" s="41"/>
      <c r="AX59" s="41">
        <v>142</v>
      </c>
      <c r="AY59" s="54">
        <v>0</v>
      </c>
      <c r="AZ59" s="50">
        <v>0</v>
      </c>
      <c r="BA59" s="50">
        <v>0</v>
      </c>
      <c r="BB59" s="41">
        <v>0</v>
      </c>
      <c r="BC59" s="41">
        <f t="shared" si="58"/>
        <v>0</v>
      </c>
      <c r="BD59" s="41">
        <v>142</v>
      </c>
      <c r="BF59" s="41">
        <v>134</v>
      </c>
      <c r="BG59" s="50">
        <v>0</v>
      </c>
      <c r="BH59" s="41">
        <v>0</v>
      </c>
      <c r="BI59" s="50">
        <v>0</v>
      </c>
      <c r="BJ59" s="41">
        <v>0</v>
      </c>
      <c r="BK59" s="41">
        <f t="shared" si="52"/>
        <v>0</v>
      </c>
      <c r="BL59" s="41">
        <v>134</v>
      </c>
      <c r="BM59" s="55"/>
      <c r="BN59" s="41">
        <v>129</v>
      </c>
      <c r="BO59" s="50">
        <v>0</v>
      </c>
      <c r="BP59" s="50">
        <v>0</v>
      </c>
      <c r="BQ59" s="41">
        <v>0</v>
      </c>
      <c r="BR59" s="41">
        <v>0</v>
      </c>
      <c r="BS59" s="41">
        <f t="shared" si="46"/>
        <v>0</v>
      </c>
      <c r="BT59" s="41">
        <v>129</v>
      </c>
      <c r="BV59" s="41">
        <v>132</v>
      </c>
      <c r="BW59" s="50">
        <v>0</v>
      </c>
      <c r="BX59" s="41">
        <f t="shared" si="53"/>
        <v>0</v>
      </c>
      <c r="BY59" s="41">
        <v>132</v>
      </c>
      <c r="CA59" s="41">
        <v>135</v>
      </c>
      <c r="CB59" s="50">
        <v>0</v>
      </c>
      <c r="CC59" s="41">
        <f t="shared" si="54"/>
        <v>0</v>
      </c>
      <c r="CD59" s="41">
        <v>135</v>
      </c>
      <c r="CF59" s="41">
        <v>98</v>
      </c>
      <c r="CG59" s="50">
        <v>0</v>
      </c>
      <c r="CH59" s="41">
        <v>0</v>
      </c>
      <c r="CI59" s="41">
        <f t="shared" si="55"/>
        <v>98</v>
      </c>
      <c r="CJ59" s="41">
        <v>89</v>
      </c>
      <c r="CK59" s="50">
        <v>0</v>
      </c>
      <c r="CL59" s="41">
        <f t="shared" si="47"/>
        <v>89</v>
      </c>
      <c r="CM59" s="41">
        <v>74</v>
      </c>
      <c r="CN59" s="50">
        <v>0</v>
      </c>
      <c r="CO59" s="41">
        <v>0</v>
      </c>
      <c r="CP59" s="41">
        <f t="shared" si="56"/>
        <v>74</v>
      </c>
      <c r="CQ59" s="41">
        <v>68</v>
      </c>
      <c r="CR59" s="50">
        <v>0</v>
      </c>
      <c r="CS59" s="41">
        <f t="shared" si="57"/>
        <v>68</v>
      </c>
      <c r="CU59" s="44" t="s">
        <v>444</v>
      </c>
    </row>
    <row r="60" spans="1:99">
      <c r="A60" s="39" t="s">
        <v>63</v>
      </c>
      <c r="B60" s="39" t="s">
        <v>69</v>
      </c>
      <c r="C60" s="39" t="s">
        <v>2</v>
      </c>
      <c r="D60" s="56">
        <v>17110501051</v>
      </c>
      <c r="E60" s="68" t="s">
        <v>73</v>
      </c>
      <c r="H60" s="51">
        <v>7334</v>
      </c>
      <c r="I60" s="49">
        <v>0</v>
      </c>
      <c r="J60" s="49">
        <v>0</v>
      </c>
      <c r="K60" s="51">
        <f t="shared" si="48"/>
        <v>7334</v>
      </c>
      <c r="L60" s="51">
        <f t="shared" si="44"/>
        <v>253</v>
      </c>
      <c r="M60" s="51">
        <v>7587</v>
      </c>
      <c r="N60" s="52"/>
      <c r="O60" s="41">
        <v>8486</v>
      </c>
      <c r="P60" s="50">
        <v>1</v>
      </c>
      <c r="Q60" s="50">
        <v>69</v>
      </c>
      <c r="R60" s="50">
        <v>1200</v>
      </c>
      <c r="S60" s="41">
        <v>200</v>
      </c>
      <c r="T60" s="41">
        <v>9956</v>
      </c>
      <c r="U60" s="41"/>
      <c r="V60" s="41">
        <v>8983</v>
      </c>
      <c r="W60" s="50">
        <v>753</v>
      </c>
      <c r="X60" s="50">
        <v>242</v>
      </c>
      <c r="Y60" s="41">
        <f t="shared" si="49"/>
        <v>207</v>
      </c>
      <c r="Z60" s="41">
        <v>10185</v>
      </c>
      <c r="AA60" s="41"/>
      <c r="AB60" s="41">
        <v>9596</v>
      </c>
      <c r="AC60" s="41">
        <v>0</v>
      </c>
      <c r="AD60" s="50">
        <v>1358</v>
      </c>
      <c r="AE60" s="41">
        <v>0</v>
      </c>
      <c r="AF60" s="41">
        <v>0</v>
      </c>
      <c r="AG60" s="41">
        <f t="shared" si="45"/>
        <v>-140</v>
      </c>
      <c r="AH60" s="41">
        <v>10814</v>
      </c>
      <c r="AI60" s="41"/>
      <c r="AJ60" s="41">
        <v>8879</v>
      </c>
      <c r="AK60" s="50">
        <v>455</v>
      </c>
      <c r="AL60" s="41">
        <v>16</v>
      </c>
      <c r="AM60" s="50">
        <v>841</v>
      </c>
      <c r="AN60" s="41">
        <f t="shared" si="50"/>
        <v>116</v>
      </c>
      <c r="AO60" s="41">
        <v>10307</v>
      </c>
      <c r="AP60" s="41"/>
      <c r="AQ60" s="53">
        <v>9175</v>
      </c>
      <c r="AR60" s="54">
        <v>146</v>
      </c>
      <c r="AS60" s="54">
        <v>1387</v>
      </c>
      <c r="AT60" s="53">
        <v>109</v>
      </c>
      <c r="AU60" s="41">
        <f t="shared" si="51"/>
        <v>-1</v>
      </c>
      <c r="AV60" s="41">
        <v>10816</v>
      </c>
      <c r="AW60" s="41"/>
      <c r="AX60" s="41">
        <v>10280</v>
      </c>
      <c r="AY60" s="54">
        <v>0</v>
      </c>
      <c r="AZ60" s="50">
        <v>56</v>
      </c>
      <c r="BA60" s="50">
        <v>1827</v>
      </c>
      <c r="BB60" s="41">
        <v>0</v>
      </c>
      <c r="BC60" s="41">
        <f t="shared" si="58"/>
        <v>-87</v>
      </c>
      <c r="BD60" s="41">
        <v>12076</v>
      </c>
      <c r="BF60" s="41">
        <v>11793</v>
      </c>
      <c r="BG60" s="50">
        <v>55</v>
      </c>
      <c r="BH60" s="41">
        <v>0</v>
      </c>
      <c r="BI60" s="50">
        <v>1397</v>
      </c>
      <c r="BJ60" s="41">
        <v>128</v>
      </c>
      <c r="BK60" s="41">
        <f t="shared" si="52"/>
        <v>-23</v>
      </c>
      <c r="BL60" s="41">
        <v>13350</v>
      </c>
      <c r="BM60" s="55"/>
      <c r="BN60" s="41">
        <v>12800</v>
      </c>
      <c r="BO60" s="50">
        <v>779</v>
      </c>
      <c r="BP60" s="50">
        <v>145</v>
      </c>
      <c r="BQ60" s="41">
        <v>0</v>
      </c>
      <c r="BR60" s="41">
        <v>0</v>
      </c>
      <c r="BS60" s="41">
        <f t="shared" si="46"/>
        <v>0</v>
      </c>
      <c r="BT60" s="41">
        <v>13724</v>
      </c>
      <c r="BV60" s="41">
        <v>13210</v>
      </c>
      <c r="BW60" s="50">
        <v>733</v>
      </c>
      <c r="BX60" s="41">
        <f t="shared" si="53"/>
        <v>73</v>
      </c>
      <c r="BY60" s="41">
        <v>14016</v>
      </c>
      <c r="CA60" s="41">
        <v>13634</v>
      </c>
      <c r="CB60" s="50">
        <v>659</v>
      </c>
      <c r="CC60" s="41">
        <f t="shared" si="54"/>
        <v>-89</v>
      </c>
      <c r="CD60" s="41">
        <v>14204</v>
      </c>
      <c r="CF60" s="41">
        <v>12515</v>
      </c>
      <c r="CG60" s="50">
        <v>1425</v>
      </c>
      <c r="CH60" s="41">
        <v>0</v>
      </c>
      <c r="CI60" s="41">
        <f t="shared" si="55"/>
        <v>13940</v>
      </c>
      <c r="CJ60" s="41">
        <v>12766</v>
      </c>
      <c r="CK60" s="50">
        <v>778</v>
      </c>
      <c r="CL60" s="41">
        <f t="shared" si="47"/>
        <v>13544</v>
      </c>
      <c r="CM60" s="41">
        <v>12829</v>
      </c>
      <c r="CN60" s="50">
        <v>403</v>
      </c>
      <c r="CO60" s="41">
        <v>0</v>
      </c>
      <c r="CP60" s="41">
        <f t="shared" si="56"/>
        <v>13232</v>
      </c>
      <c r="CQ60" s="41">
        <v>12859</v>
      </c>
      <c r="CR60" s="50">
        <v>171</v>
      </c>
      <c r="CS60" s="41">
        <f t="shared" si="57"/>
        <v>13030</v>
      </c>
      <c r="CU60" s="39" t="s">
        <v>445</v>
      </c>
    </row>
    <row r="61" spans="1:99">
      <c r="A61" s="39" t="s">
        <v>63</v>
      </c>
      <c r="B61" s="39" t="s">
        <v>69</v>
      </c>
      <c r="C61" s="39" t="s">
        <v>2</v>
      </c>
      <c r="D61" s="58">
        <v>17110801051</v>
      </c>
      <c r="E61" s="68" t="s">
        <v>74</v>
      </c>
      <c r="H61" s="51">
        <v>471</v>
      </c>
      <c r="I61" s="49">
        <v>0</v>
      </c>
      <c r="J61" s="49">
        <v>0</v>
      </c>
      <c r="K61" s="51">
        <f t="shared" si="48"/>
        <v>471</v>
      </c>
      <c r="L61" s="51">
        <f t="shared" si="44"/>
        <v>-3</v>
      </c>
      <c r="M61" s="51">
        <v>468</v>
      </c>
      <c r="N61" s="52"/>
      <c r="O61" s="41">
        <v>554</v>
      </c>
      <c r="P61" s="50">
        <v>0</v>
      </c>
      <c r="Q61" s="50">
        <v>0</v>
      </c>
      <c r="R61" s="50">
        <v>0</v>
      </c>
      <c r="S61" s="41">
        <v>-41</v>
      </c>
      <c r="T61" s="41">
        <v>513</v>
      </c>
      <c r="U61" s="41"/>
      <c r="V61" s="41">
        <v>572</v>
      </c>
      <c r="W61" s="50">
        <v>0</v>
      </c>
      <c r="X61" s="50">
        <v>0</v>
      </c>
      <c r="Y61" s="41">
        <f t="shared" si="49"/>
        <v>-13</v>
      </c>
      <c r="Z61" s="41">
        <v>559</v>
      </c>
      <c r="AA61" s="41"/>
      <c r="AB61" s="41">
        <v>637</v>
      </c>
      <c r="AC61" s="41">
        <v>0</v>
      </c>
      <c r="AD61" s="50">
        <v>4</v>
      </c>
      <c r="AE61" s="41">
        <v>0</v>
      </c>
      <c r="AF61" s="41">
        <v>0</v>
      </c>
      <c r="AG61" s="41">
        <f t="shared" si="45"/>
        <v>-36</v>
      </c>
      <c r="AH61" s="41">
        <v>605</v>
      </c>
      <c r="AI61" s="41"/>
      <c r="AJ61" s="41">
        <v>508</v>
      </c>
      <c r="AK61" s="50">
        <v>0</v>
      </c>
      <c r="AL61" s="41">
        <v>5</v>
      </c>
      <c r="AM61" s="50">
        <v>11</v>
      </c>
      <c r="AN61" s="41">
        <f t="shared" si="50"/>
        <v>1</v>
      </c>
      <c r="AO61" s="41">
        <v>525</v>
      </c>
      <c r="AP61" s="41"/>
      <c r="AQ61" s="53">
        <v>542</v>
      </c>
      <c r="AR61" s="54">
        <v>15</v>
      </c>
      <c r="AS61" s="54">
        <v>0</v>
      </c>
      <c r="AT61" s="53">
        <v>6</v>
      </c>
      <c r="AU61" s="41">
        <f t="shared" si="51"/>
        <v>1</v>
      </c>
      <c r="AV61" s="41">
        <v>564</v>
      </c>
      <c r="AW61" s="41"/>
      <c r="AX61" s="41">
        <v>583</v>
      </c>
      <c r="AY61" s="54">
        <v>0</v>
      </c>
      <c r="AZ61" s="50">
        <v>0</v>
      </c>
      <c r="BA61" s="50">
        <v>17</v>
      </c>
      <c r="BB61" s="41">
        <v>0</v>
      </c>
      <c r="BC61" s="41">
        <f t="shared" si="58"/>
        <v>1</v>
      </c>
      <c r="BD61" s="41">
        <v>601</v>
      </c>
      <c r="BF61" s="41">
        <v>585</v>
      </c>
      <c r="BG61" s="50">
        <v>0</v>
      </c>
      <c r="BH61" s="41">
        <v>0</v>
      </c>
      <c r="BI61" s="50">
        <v>29</v>
      </c>
      <c r="BJ61" s="41">
        <v>0</v>
      </c>
      <c r="BK61" s="41">
        <f t="shared" si="52"/>
        <v>38</v>
      </c>
      <c r="BL61" s="41">
        <v>652</v>
      </c>
      <c r="BM61" s="55"/>
      <c r="BN61" s="41">
        <v>615</v>
      </c>
      <c r="BO61" s="50">
        <v>31</v>
      </c>
      <c r="BP61" s="50">
        <v>35</v>
      </c>
      <c r="BQ61" s="41">
        <v>0</v>
      </c>
      <c r="BR61" s="41">
        <v>0</v>
      </c>
      <c r="BS61" s="41">
        <f t="shared" si="46"/>
        <v>1</v>
      </c>
      <c r="BT61" s="41">
        <v>682</v>
      </c>
      <c r="BV61" s="41">
        <v>612</v>
      </c>
      <c r="BW61" s="50">
        <v>45</v>
      </c>
      <c r="BX61" s="41">
        <f t="shared" si="53"/>
        <v>37</v>
      </c>
      <c r="BY61" s="41">
        <v>694</v>
      </c>
      <c r="CA61" s="41">
        <v>645</v>
      </c>
      <c r="CB61" s="50">
        <v>23</v>
      </c>
      <c r="CC61" s="41">
        <f t="shared" si="54"/>
        <v>3</v>
      </c>
      <c r="CD61" s="41">
        <v>671</v>
      </c>
      <c r="CF61" s="41">
        <v>657</v>
      </c>
      <c r="CG61" s="50">
        <v>25</v>
      </c>
      <c r="CH61" s="41">
        <v>0</v>
      </c>
      <c r="CI61" s="41">
        <f t="shared" si="55"/>
        <v>682</v>
      </c>
      <c r="CJ61" s="41">
        <v>655</v>
      </c>
      <c r="CK61" s="50">
        <v>15</v>
      </c>
      <c r="CL61" s="41">
        <f t="shared" si="47"/>
        <v>670</v>
      </c>
      <c r="CM61" s="41">
        <v>660</v>
      </c>
      <c r="CN61" s="50">
        <v>5</v>
      </c>
      <c r="CO61" s="41">
        <v>0</v>
      </c>
      <c r="CP61" s="41">
        <f t="shared" si="56"/>
        <v>665</v>
      </c>
      <c r="CQ61" s="41">
        <v>702</v>
      </c>
      <c r="CR61" s="50">
        <v>3</v>
      </c>
      <c r="CS61" s="41">
        <f t="shared" si="57"/>
        <v>705</v>
      </c>
      <c r="CU61" s="39" t="s">
        <v>446</v>
      </c>
    </row>
    <row r="62" spans="1:99">
      <c r="A62" s="39" t="s">
        <v>63</v>
      </c>
      <c r="B62" s="39" t="s">
        <v>69</v>
      </c>
      <c r="C62" s="39" t="s">
        <v>2</v>
      </c>
      <c r="D62" s="56">
        <v>17140501051</v>
      </c>
      <c r="E62" s="68" t="s">
        <v>75</v>
      </c>
      <c r="H62" s="51">
        <v>1655</v>
      </c>
      <c r="I62" s="49">
        <v>0</v>
      </c>
      <c r="J62" s="49">
        <v>0</v>
      </c>
      <c r="K62" s="51">
        <f t="shared" si="48"/>
        <v>1655</v>
      </c>
      <c r="L62" s="51">
        <f t="shared" si="44"/>
        <v>17</v>
      </c>
      <c r="M62" s="51">
        <v>1672</v>
      </c>
      <c r="N62" s="52"/>
      <c r="O62" s="41">
        <v>1908</v>
      </c>
      <c r="P62" s="50">
        <v>0</v>
      </c>
      <c r="Q62" s="50">
        <v>0</v>
      </c>
      <c r="R62" s="50">
        <v>0</v>
      </c>
      <c r="S62" s="41">
        <v>14</v>
      </c>
      <c r="T62" s="41">
        <v>1922</v>
      </c>
      <c r="U62" s="41"/>
      <c r="V62" s="41">
        <v>2004</v>
      </c>
      <c r="W62" s="50">
        <v>0</v>
      </c>
      <c r="X62" s="50">
        <v>0</v>
      </c>
      <c r="Y62" s="41">
        <f t="shared" si="49"/>
        <v>8</v>
      </c>
      <c r="Z62" s="41">
        <v>2012</v>
      </c>
      <c r="AA62" s="41"/>
      <c r="AB62" s="41">
        <v>2100</v>
      </c>
      <c r="AC62" s="41">
        <v>0</v>
      </c>
      <c r="AD62" s="50">
        <v>9</v>
      </c>
      <c r="AE62" s="41">
        <v>0</v>
      </c>
      <c r="AF62" s="41">
        <v>0</v>
      </c>
      <c r="AG62" s="41">
        <f t="shared" si="45"/>
        <v>-9</v>
      </c>
      <c r="AH62" s="41">
        <v>2100</v>
      </c>
      <c r="AI62" s="41"/>
      <c r="AJ62" s="41">
        <v>1669</v>
      </c>
      <c r="AK62" s="50">
        <v>10</v>
      </c>
      <c r="AL62" s="41">
        <v>38</v>
      </c>
      <c r="AM62" s="50">
        <v>111</v>
      </c>
      <c r="AN62" s="41">
        <f t="shared" si="50"/>
        <v>-7</v>
      </c>
      <c r="AO62" s="41">
        <v>1821</v>
      </c>
      <c r="AP62" s="41"/>
      <c r="AQ62" s="53">
        <v>1756</v>
      </c>
      <c r="AR62" s="54">
        <v>0</v>
      </c>
      <c r="AS62" s="54">
        <v>78</v>
      </c>
      <c r="AT62" s="53">
        <v>8</v>
      </c>
      <c r="AU62" s="41">
        <f t="shared" si="51"/>
        <v>16</v>
      </c>
      <c r="AV62" s="41">
        <v>1858</v>
      </c>
      <c r="AW62" s="41"/>
      <c r="AX62" s="41">
        <v>1790</v>
      </c>
      <c r="AY62" s="54">
        <v>0</v>
      </c>
      <c r="AZ62" s="50">
        <v>0</v>
      </c>
      <c r="BA62" s="50">
        <v>73</v>
      </c>
      <c r="BB62" s="41">
        <v>0</v>
      </c>
      <c r="BC62" s="41">
        <f t="shared" si="58"/>
        <v>11</v>
      </c>
      <c r="BD62" s="41">
        <v>1874</v>
      </c>
      <c r="BF62" s="41">
        <v>1856</v>
      </c>
      <c r="BG62" s="50">
        <v>0</v>
      </c>
      <c r="BH62" s="41">
        <v>0</v>
      </c>
      <c r="BI62" s="50">
        <v>39</v>
      </c>
      <c r="BJ62" s="41">
        <v>0</v>
      </c>
      <c r="BK62" s="41">
        <f t="shared" si="52"/>
        <v>13</v>
      </c>
      <c r="BL62" s="41">
        <v>1908</v>
      </c>
      <c r="BM62" s="55"/>
      <c r="BN62" s="41">
        <v>1920</v>
      </c>
      <c r="BO62" s="50">
        <v>37</v>
      </c>
      <c r="BP62" s="50">
        <v>3</v>
      </c>
      <c r="BQ62" s="41">
        <v>0</v>
      </c>
      <c r="BR62" s="41">
        <v>0</v>
      </c>
      <c r="BS62" s="41">
        <f t="shared" si="46"/>
        <v>-14</v>
      </c>
      <c r="BT62" s="41">
        <v>1946</v>
      </c>
      <c r="BV62" s="41">
        <v>1940</v>
      </c>
      <c r="BW62" s="50">
        <v>49</v>
      </c>
      <c r="BX62" s="41">
        <f t="shared" si="53"/>
        <v>-28</v>
      </c>
      <c r="BY62" s="41">
        <v>1961</v>
      </c>
      <c r="CA62" s="41">
        <v>1936</v>
      </c>
      <c r="CB62" s="50">
        <v>44</v>
      </c>
      <c r="CC62" s="41">
        <f t="shared" si="54"/>
        <v>-30</v>
      </c>
      <c r="CD62" s="41">
        <v>1950</v>
      </c>
      <c r="CF62" s="41">
        <v>1871</v>
      </c>
      <c r="CG62" s="50">
        <v>39</v>
      </c>
      <c r="CH62" s="41">
        <v>0</v>
      </c>
      <c r="CI62" s="41">
        <f t="shared" si="55"/>
        <v>1910</v>
      </c>
      <c r="CJ62" s="41">
        <v>1844</v>
      </c>
      <c r="CK62" s="50">
        <v>20</v>
      </c>
      <c r="CL62" s="41">
        <f t="shared" si="47"/>
        <v>1864</v>
      </c>
      <c r="CM62" s="41">
        <v>1836</v>
      </c>
      <c r="CN62" s="50">
        <v>14</v>
      </c>
      <c r="CO62" s="41">
        <v>0</v>
      </c>
      <c r="CP62" s="41">
        <f t="shared" si="56"/>
        <v>1850</v>
      </c>
      <c r="CQ62" s="41">
        <v>1867</v>
      </c>
      <c r="CR62" s="50">
        <v>13</v>
      </c>
      <c r="CS62" s="41">
        <f t="shared" si="57"/>
        <v>1880</v>
      </c>
      <c r="CU62" s="39" t="s">
        <v>447</v>
      </c>
    </row>
    <row r="63" spans="1:99">
      <c r="A63" s="39" t="s">
        <v>63</v>
      </c>
      <c r="B63" s="39" t="s">
        <v>69</v>
      </c>
      <c r="C63" s="39" t="s">
        <v>2</v>
      </c>
      <c r="D63" s="56">
        <v>17145301051</v>
      </c>
      <c r="E63" s="68" t="s">
        <v>76</v>
      </c>
      <c r="H63" s="51">
        <v>19543</v>
      </c>
      <c r="I63" s="49">
        <v>0</v>
      </c>
      <c r="J63" s="49">
        <v>0</v>
      </c>
      <c r="K63" s="51">
        <f t="shared" si="48"/>
        <v>19543</v>
      </c>
      <c r="L63" s="51">
        <f t="shared" si="44"/>
        <v>687</v>
      </c>
      <c r="M63" s="51">
        <v>20230</v>
      </c>
      <c r="N63" s="52"/>
      <c r="O63" s="41">
        <v>21888</v>
      </c>
      <c r="P63" s="50">
        <v>0</v>
      </c>
      <c r="Q63" s="50">
        <v>214</v>
      </c>
      <c r="R63" s="50">
        <v>1600</v>
      </c>
      <c r="S63" s="41">
        <v>73</v>
      </c>
      <c r="T63" s="41">
        <v>23775</v>
      </c>
      <c r="U63" s="41"/>
      <c r="V63" s="41">
        <v>23238</v>
      </c>
      <c r="W63" s="50">
        <v>816</v>
      </c>
      <c r="X63" s="50">
        <v>28</v>
      </c>
      <c r="Y63" s="41">
        <f t="shared" si="49"/>
        <v>4</v>
      </c>
      <c r="Z63" s="41">
        <v>24086</v>
      </c>
      <c r="AA63" s="41"/>
      <c r="AB63" s="41">
        <v>24376</v>
      </c>
      <c r="AC63" s="41">
        <v>0</v>
      </c>
      <c r="AD63" s="50">
        <v>535</v>
      </c>
      <c r="AE63" s="41">
        <v>0</v>
      </c>
      <c r="AF63" s="41">
        <v>0</v>
      </c>
      <c r="AG63" s="41">
        <f t="shared" si="45"/>
        <v>218</v>
      </c>
      <c r="AH63" s="41">
        <v>25129</v>
      </c>
      <c r="AI63" s="41"/>
      <c r="AJ63" s="41">
        <v>22560</v>
      </c>
      <c r="AK63" s="50">
        <v>144</v>
      </c>
      <c r="AL63" s="41">
        <v>71</v>
      </c>
      <c r="AM63" s="50">
        <v>1321</v>
      </c>
      <c r="AN63" s="41">
        <f t="shared" si="50"/>
        <v>1</v>
      </c>
      <c r="AO63" s="41">
        <v>24097</v>
      </c>
      <c r="AP63" s="41"/>
      <c r="AQ63" s="53">
        <v>22776</v>
      </c>
      <c r="AR63" s="54">
        <v>143</v>
      </c>
      <c r="AS63" s="54">
        <v>692</v>
      </c>
      <c r="AT63" s="53">
        <v>408</v>
      </c>
      <c r="AU63" s="41">
        <f t="shared" si="51"/>
        <v>-2</v>
      </c>
      <c r="AV63" s="41">
        <v>24017</v>
      </c>
      <c r="AW63" s="41"/>
      <c r="AX63" s="41">
        <v>23318</v>
      </c>
      <c r="AY63" s="54">
        <v>0</v>
      </c>
      <c r="AZ63" s="50">
        <v>96</v>
      </c>
      <c r="BA63" s="50">
        <v>894</v>
      </c>
      <c r="BB63" s="41">
        <v>0</v>
      </c>
      <c r="BC63" s="41">
        <f t="shared" si="58"/>
        <v>345</v>
      </c>
      <c r="BD63" s="41">
        <v>24653</v>
      </c>
      <c r="BF63" s="41">
        <v>24038</v>
      </c>
      <c r="BG63" s="50">
        <v>75</v>
      </c>
      <c r="BH63" s="41">
        <v>0</v>
      </c>
      <c r="BI63" s="50">
        <v>1343</v>
      </c>
      <c r="BJ63" s="41">
        <v>284</v>
      </c>
      <c r="BK63" s="41">
        <f t="shared" si="52"/>
        <v>2</v>
      </c>
      <c r="BL63" s="41">
        <v>25742</v>
      </c>
      <c r="BM63" s="55"/>
      <c r="BN63" s="41">
        <v>25289</v>
      </c>
      <c r="BO63" s="50">
        <v>1389</v>
      </c>
      <c r="BP63" s="50">
        <v>40</v>
      </c>
      <c r="BQ63" s="41">
        <v>0</v>
      </c>
      <c r="BR63" s="41">
        <v>0</v>
      </c>
      <c r="BS63" s="41">
        <f t="shared" si="46"/>
        <v>321</v>
      </c>
      <c r="BT63" s="41">
        <v>27039</v>
      </c>
      <c r="BV63" s="41">
        <v>25912</v>
      </c>
      <c r="BW63" s="50">
        <v>1309</v>
      </c>
      <c r="BX63" s="41">
        <f t="shared" si="53"/>
        <v>111</v>
      </c>
      <c r="BY63" s="41">
        <v>27332</v>
      </c>
      <c r="CA63" s="41">
        <v>26804</v>
      </c>
      <c r="CB63" s="50">
        <v>1248</v>
      </c>
      <c r="CC63" s="41">
        <f t="shared" si="54"/>
        <v>-465</v>
      </c>
      <c r="CD63" s="41">
        <v>27587</v>
      </c>
      <c r="CF63" s="41">
        <v>26866</v>
      </c>
      <c r="CG63" s="50">
        <v>774</v>
      </c>
      <c r="CH63" s="41">
        <v>0</v>
      </c>
      <c r="CI63" s="41">
        <f t="shared" si="55"/>
        <v>27640</v>
      </c>
      <c r="CJ63" s="41">
        <v>27232</v>
      </c>
      <c r="CK63" s="50">
        <v>558</v>
      </c>
      <c r="CL63" s="41">
        <f t="shared" si="47"/>
        <v>27790</v>
      </c>
      <c r="CM63" s="41">
        <v>27453</v>
      </c>
      <c r="CN63" s="50">
        <v>332</v>
      </c>
      <c r="CO63" s="41">
        <v>0</v>
      </c>
      <c r="CP63" s="41">
        <f t="shared" si="56"/>
        <v>27785</v>
      </c>
      <c r="CQ63" s="41">
        <v>27835</v>
      </c>
      <c r="CR63" s="50">
        <v>251</v>
      </c>
      <c r="CS63" s="41">
        <f t="shared" si="57"/>
        <v>28086</v>
      </c>
      <c r="CU63" s="39" t="s">
        <v>448</v>
      </c>
    </row>
    <row r="64" spans="1:99">
      <c r="A64" s="39" t="s">
        <v>63</v>
      </c>
      <c r="B64" s="39" t="s">
        <v>69</v>
      </c>
      <c r="C64" s="39" t="s">
        <v>2</v>
      </c>
      <c r="D64" s="56">
        <v>21100401051</v>
      </c>
      <c r="E64" s="68" t="s">
        <v>77</v>
      </c>
      <c r="H64" s="51">
        <v>0</v>
      </c>
      <c r="I64" s="49">
        <v>0</v>
      </c>
      <c r="J64" s="49">
        <v>0</v>
      </c>
      <c r="K64" s="51">
        <f t="shared" si="48"/>
        <v>0</v>
      </c>
      <c r="L64" s="51">
        <f t="shared" si="44"/>
        <v>0</v>
      </c>
      <c r="M64" s="51">
        <v>0</v>
      </c>
      <c r="N64" s="52"/>
      <c r="O64" s="41">
        <v>0</v>
      </c>
      <c r="P64" s="50">
        <v>0</v>
      </c>
      <c r="Q64" s="50">
        <v>0</v>
      </c>
      <c r="R64" s="50">
        <v>0</v>
      </c>
      <c r="S64" s="41">
        <v>0</v>
      </c>
      <c r="T64" s="41">
        <v>0</v>
      </c>
      <c r="U64" s="41"/>
      <c r="V64" s="41">
        <v>0</v>
      </c>
      <c r="W64" s="50">
        <v>0</v>
      </c>
      <c r="X64" s="50">
        <v>0</v>
      </c>
      <c r="Y64" s="41">
        <f t="shared" si="49"/>
        <v>0</v>
      </c>
      <c r="Z64" s="41">
        <v>0</v>
      </c>
      <c r="AA64" s="41"/>
      <c r="AB64" s="41">
        <v>0</v>
      </c>
      <c r="AC64" s="41">
        <v>0</v>
      </c>
      <c r="AD64" s="50">
        <v>0</v>
      </c>
      <c r="AE64" s="41">
        <v>0</v>
      </c>
      <c r="AF64" s="41">
        <v>0</v>
      </c>
      <c r="AG64" s="41">
        <f t="shared" si="45"/>
        <v>0</v>
      </c>
      <c r="AH64" s="41">
        <v>0</v>
      </c>
      <c r="AI64" s="41"/>
      <c r="AJ64" s="41">
        <v>2727</v>
      </c>
      <c r="AK64" s="50">
        <v>0</v>
      </c>
      <c r="AL64" s="41">
        <v>0</v>
      </c>
      <c r="AM64" s="50">
        <v>0</v>
      </c>
      <c r="AN64" s="41">
        <f t="shared" si="50"/>
        <v>0</v>
      </c>
      <c r="AO64" s="41">
        <v>2727</v>
      </c>
      <c r="AP64" s="41"/>
      <c r="AQ64" s="53">
        <v>2915</v>
      </c>
      <c r="AR64" s="54">
        <v>0</v>
      </c>
      <c r="AS64" s="54">
        <v>0</v>
      </c>
      <c r="AT64" s="53">
        <v>0</v>
      </c>
      <c r="AU64" s="41">
        <f t="shared" si="51"/>
        <v>0</v>
      </c>
      <c r="AV64" s="41">
        <v>2915</v>
      </c>
      <c r="AW64" s="41"/>
      <c r="AX64" s="41">
        <v>3132</v>
      </c>
      <c r="AY64" s="54">
        <v>0</v>
      </c>
      <c r="AZ64" s="50">
        <v>0</v>
      </c>
      <c r="BA64" s="50">
        <v>0</v>
      </c>
      <c r="BB64" s="41">
        <v>0</v>
      </c>
      <c r="BC64" s="41">
        <f t="shared" si="58"/>
        <v>0</v>
      </c>
      <c r="BD64" s="41">
        <v>3132</v>
      </c>
      <c r="BF64" s="41">
        <v>2902</v>
      </c>
      <c r="BG64" s="50">
        <v>0</v>
      </c>
      <c r="BH64" s="41">
        <v>0</v>
      </c>
      <c r="BI64" s="50">
        <v>0</v>
      </c>
      <c r="BJ64" s="41">
        <v>0</v>
      </c>
      <c r="BK64" s="41">
        <f t="shared" si="52"/>
        <v>0</v>
      </c>
      <c r="BL64" s="41">
        <v>2902</v>
      </c>
      <c r="BM64" s="55"/>
      <c r="BN64" s="41">
        <v>3124</v>
      </c>
      <c r="BO64" s="50">
        <v>0</v>
      </c>
      <c r="BP64" s="50">
        <v>0</v>
      </c>
      <c r="BQ64" s="41">
        <v>0</v>
      </c>
      <c r="BR64" s="41">
        <v>0</v>
      </c>
      <c r="BS64" s="41">
        <f t="shared" si="46"/>
        <v>0</v>
      </c>
      <c r="BT64" s="41">
        <v>3124</v>
      </c>
      <c r="BV64" s="41">
        <v>3190</v>
      </c>
      <c r="BW64" s="50">
        <v>0</v>
      </c>
      <c r="BX64" s="41">
        <f t="shared" si="53"/>
        <v>0</v>
      </c>
      <c r="BY64" s="41">
        <v>3190</v>
      </c>
      <c r="CA64" s="41">
        <v>3030</v>
      </c>
      <c r="CB64" s="50">
        <v>117</v>
      </c>
      <c r="CC64" s="41">
        <f t="shared" si="54"/>
        <v>0</v>
      </c>
      <c r="CD64" s="41">
        <v>3147</v>
      </c>
      <c r="CF64" s="41">
        <v>2228</v>
      </c>
      <c r="CG64" s="50">
        <v>206</v>
      </c>
      <c r="CH64" s="41">
        <v>0</v>
      </c>
      <c r="CI64" s="41">
        <f t="shared" si="55"/>
        <v>2434</v>
      </c>
      <c r="CJ64" s="41">
        <v>1982</v>
      </c>
      <c r="CK64" s="50">
        <v>127</v>
      </c>
      <c r="CL64" s="41">
        <f t="shared" si="47"/>
        <v>2109</v>
      </c>
      <c r="CM64" s="41">
        <v>1996</v>
      </c>
      <c r="CN64" s="50">
        <v>51</v>
      </c>
      <c r="CO64" s="41">
        <v>0</v>
      </c>
      <c r="CP64" s="41">
        <f t="shared" si="56"/>
        <v>2047</v>
      </c>
      <c r="CQ64" s="41">
        <v>1890</v>
      </c>
      <c r="CR64" s="50">
        <v>0</v>
      </c>
      <c r="CS64" s="41">
        <f t="shared" si="57"/>
        <v>1890</v>
      </c>
      <c r="CU64" s="39" t="s">
        <v>449</v>
      </c>
    </row>
    <row r="65" spans="1:99">
      <c r="A65" s="39" t="s">
        <v>63</v>
      </c>
      <c r="B65" s="39" t="s">
        <v>69</v>
      </c>
      <c r="C65" s="39" t="s">
        <v>2</v>
      </c>
      <c r="D65" s="57">
        <v>21100501051</v>
      </c>
      <c r="E65" s="68" t="s">
        <v>72</v>
      </c>
      <c r="H65" s="51">
        <v>0</v>
      </c>
      <c r="I65" s="49">
        <v>0</v>
      </c>
      <c r="J65" s="49">
        <v>0</v>
      </c>
      <c r="K65" s="51">
        <f t="shared" si="48"/>
        <v>0</v>
      </c>
      <c r="L65" s="51">
        <f t="shared" si="44"/>
        <v>0</v>
      </c>
      <c r="M65" s="51">
        <v>0</v>
      </c>
      <c r="N65" s="52"/>
      <c r="O65" s="41">
        <v>0</v>
      </c>
      <c r="P65" s="50">
        <v>0</v>
      </c>
      <c r="Q65" s="50">
        <v>0</v>
      </c>
      <c r="R65" s="50">
        <v>0</v>
      </c>
      <c r="S65" s="41">
        <v>0</v>
      </c>
      <c r="T65" s="41">
        <v>0</v>
      </c>
      <c r="U65" s="41"/>
      <c r="V65" s="41">
        <v>0</v>
      </c>
      <c r="W65" s="50">
        <v>0</v>
      </c>
      <c r="X65" s="50">
        <v>0</v>
      </c>
      <c r="Y65" s="41">
        <f t="shared" si="49"/>
        <v>0</v>
      </c>
      <c r="Z65" s="41">
        <v>0</v>
      </c>
      <c r="AA65" s="41"/>
      <c r="AB65" s="41">
        <v>0</v>
      </c>
      <c r="AC65" s="41">
        <v>0</v>
      </c>
      <c r="AD65" s="50">
        <v>0</v>
      </c>
      <c r="AE65" s="41">
        <v>0</v>
      </c>
      <c r="AF65" s="41">
        <v>0</v>
      </c>
      <c r="AG65" s="41">
        <f t="shared" si="45"/>
        <v>0</v>
      </c>
      <c r="AH65" s="41">
        <v>0</v>
      </c>
      <c r="AI65" s="41"/>
      <c r="AJ65" s="41">
        <v>717</v>
      </c>
      <c r="AK65" s="50">
        <v>0</v>
      </c>
      <c r="AL65" s="41">
        <v>0</v>
      </c>
      <c r="AM65" s="50">
        <v>0</v>
      </c>
      <c r="AN65" s="41">
        <f t="shared" si="50"/>
        <v>0</v>
      </c>
      <c r="AO65" s="41">
        <v>717</v>
      </c>
      <c r="AP65" s="41"/>
      <c r="AQ65" s="53">
        <v>742</v>
      </c>
      <c r="AR65" s="54">
        <v>0</v>
      </c>
      <c r="AS65" s="54">
        <v>0</v>
      </c>
      <c r="AT65" s="53">
        <v>0</v>
      </c>
      <c r="AU65" s="41">
        <f t="shared" si="51"/>
        <v>0</v>
      </c>
      <c r="AV65" s="41">
        <v>742</v>
      </c>
      <c r="AW65" s="41"/>
      <c r="AX65" s="41">
        <v>718</v>
      </c>
      <c r="AY65" s="54">
        <v>0</v>
      </c>
      <c r="AZ65" s="50">
        <v>0</v>
      </c>
      <c r="BA65" s="50">
        <v>0</v>
      </c>
      <c r="BB65" s="41">
        <v>0</v>
      </c>
      <c r="BC65" s="41">
        <f t="shared" si="58"/>
        <v>0</v>
      </c>
      <c r="BD65" s="41">
        <v>718</v>
      </c>
      <c r="BF65" s="41">
        <v>679</v>
      </c>
      <c r="BG65" s="50">
        <v>0</v>
      </c>
      <c r="BH65" s="41">
        <v>0</v>
      </c>
      <c r="BI65" s="50">
        <v>0</v>
      </c>
      <c r="BJ65" s="41">
        <v>0</v>
      </c>
      <c r="BK65" s="41">
        <f t="shared" si="52"/>
        <v>0</v>
      </c>
      <c r="BL65" s="41">
        <v>679</v>
      </c>
      <c r="BM65" s="55"/>
      <c r="BN65" s="41">
        <v>694</v>
      </c>
      <c r="BO65" s="50">
        <v>0</v>
      </c>
      <c r="BP65" s="50">
        <v>0</v>
      </c>
      <c r="BQ65" s="41">
        <v>0</v>
      </c>
      <c r="BR65" s="41">
        <v>0</v>
      </c>
      <c r="BS65" s="41">
        <f t="shared" si="46"/>
        <v>0</v>
      </c>
      <c r="BT65" s="41">
        <v>694</v>
      </c>
      <c r="BV65" s="41">
        <v>720</v>
      </c>
      <c r="BW65" s="50">
        <v>0</v>
      </c>
      <c r="BX65" s="41">
        <f t="shared" si="53"/>
        <v>0</v>
      </c>
      <c r="BY65" s="41">
        <v>720</v>
      </c>
      <c r="CA65" s="41">
        <v>704</v>
      </c>
      <c r="CB65" s="50">
        <v>0</v>
      </c>
      <c r="CC65" s="41">
        <f t="shared" si="54"/>
        <v>0</v>
      </c>
      <c r="CD65" s="41">
        <v>704</v>
      </c>
      <c r="CF65" s="41">
        <v>522</v>
      </c>
      <c r="CG65" s="50">
        <v>0</v>
      </c>
      <c r="CH65" s="41">
        <v>0</v>
      </c>
      <c r="CI65" s="41">
        <f t="shared" si="55"/>
        <v>522</v>
      </c>
      <c r="CJ65" s="41">
        <v>471</v>
      </c>
      <c r="CK65" s="50">
        <v>0</v>
      </c>
      <c r="CL65" s="41">
        <f t="shared" si="47"/>
        <v>471</v>
      </c>
      <c r="CM65" s="41">
        <v>395</v>
      </c>
      <c r="CN65" s="50">
        <v>0</v>
      </c>
      <c r="CO65" s="41">
        <v>0</v>
      </c>
      <c r="CP65" s="41">
        <f t="shared" si="56"/>
        <v>395</v>
      </c>
      <c r="CQ65" s="41">
        <v>358</v>
      </c>
      <c r="CR65" s="50">
        <v>0</v>
      </c>
      <c r="CS65" s="41">
        <f t="shared" si="57"/>
        <v>358</v>
      </c>
      <c r="CU65" s="44" t="s">
        <v>450</v>
      </c>
    </row>
    <row r="66" spans="1:99">
      <c r="A66" s="39" t="s">
        <v>63</v>
      </c>
      <c r="B66" s="39" t="s">
        <v>69</v>
      </c>
      <c r="C66" s="39" t="s">
        <v>2</v>
      </c>
      <c r="D66" s="56">
        <v>21100601051</v>
      </c>
      <c r="E66" s="68" t="s">
        <v>78</v>
      </c>
      <c r="H66" s="51">
        <v>0</v>
      </c>
      <c r="I66" s="49">
        <v>0</v>
      </c>
      <c r="J66" s="49">
        <v>0</v>
      </c>
      <c r="K66" s="51">
        <f t="shared" si="48"/>
        <v>0</v>
      </c>
      <c r="L66" s="51">
        <f t="shared" si="44"/>
        <v>0</v>
      </c>
      <c r="M66" s="51">
        <v>0</v>
      </c>
      <c r="N66" s="52"/>
      <c r="O66" s="41">
        <v>0</v>
      </c>
      <c r="P66" s="50">
        <v>0</v>
      </c>
      <c r="Q66" s="50">
        <v>0</v>
      </c>
      <c r="R66" s="50">
        <v>0</v>
      </c>
      <c r="S66" s="41">
        <v>0</v>
      </c>
      <c r="T66" s="41">
        <v>0</v>
      </c>
      <c r="U66" s="41"/>
      <c r="V66" s="41">
        <v>0</v>
      </c>
      <c r="W66" s="50">
        <v>0</v>
      </c>
      <c r="X66" s="50">
        <v>0</v>
      </c>
      <c r="Y66" s="41">
        <f t="shared" si="49"/>
        <v>0</v>
      </c>
      <c r="Z66" s="41">
        <v>0</v>
      </c>
      <c r="AA66" s="41"/>
      <c r="AB66" s="41">
        <v>0</v>
      </c>
      <c r="AC66" s="41">
        <v>0</v>
      </c>
      <c r="AD66" s="50">
        <v>0</v>
      </c>
      <c r="AE66" s="41">
        <v>0</v>
      </c>
      <c r="AF66" s="41">
        <v>0</v>
      </c>
      <c r="AG66" s="41">
        <f t="shared" si="45"/>
        <v>0</v>
      </c>
      <c r="AH66" s="41">
        <v>0</v>
      </c>
      <c r="AI66" s="41"/>
      <c r="AJ66" s="41">
        <v>1219</v>
      </c>
      <c r="AK66" s="50">
        <v>0</v>
      </c>
      <c r="AL66" s="41">
        <v>0</v>
      </c>
      <c r="AM66" s="50">
        <v>0</v>
      </c>
      <c r="AN66" s="41">
        <f t="shared" si="50"/>
        <v>0</v>
      </c>
      <c r="AO66" s="41">
        <v>1219</v>
      </c>
      <c r="AP66" s="41"/>
      <c r="AQ66" s="53">
        <v>1232</v>
      </c>
      <c r="AR66" s="54">
        <v>0</v>
      </c>
      <c r="AS66" s="54">
        <v>0</v>
      </c>
      <c r="AT66" s="53">
        <v>0</v>
      </c>
      <c r="AU66" s="41">
        <f t="shared" si="51"/>
        <v>0</v>
      </c>
      <c r="AV66" s="41">
        <v>1232</v>
      </c>
      <c r="AW66" s="41"/>
      <c r="AX66" s="41">
        <v>1262</v>
      </c>
      <c r="AY66" s="54">
        <v>0</v>
      </c>
      <c r="AZ66" s="50">
        <v>0</v>
      </c>
      <c r="BA66" s="50">
        <v>0</v>
      </c>
      <c r="BB66" s="41">
        <v>0</v>
      </c>
      <c r="BC66" s="41">
        <f t="shared" si="58"/>
        <v>0</v>
      </c>
      <c r="BD66" s="41">
        <v>1262</v>
      </c>
      <c r="BF66" s="41">
        <v>1194</v>
      </c>
      <c r="BG66" s="50">
        <v>0</v>
      </c>
      <c r="BH66" s="41">
        <v>0</v>
      </c>
      <c r="BI66" s="50">
        <v>0</v>
      </c>
      <c r="BJ66" s="41">
        <v>0</v>
      </c>
      <c r="BK66" s="41">
        <f t="shared" si="52"/>
        <v>0</v>
      </c>
      <c r="BL66" s="41">
        <v>1194</v>
      </c>
      <c r="BM66" s="55"/>
      <c r="BN66" s="41">
        <v>1217</v>
      </c>
      <c r="BO66" s="50">
        <v>0</v>
      </c>
      <c r="BP66" s="50">
        <v>0</v>
      </c>
      <c r="BQ66" s="41">
        <v>0</v>
      </c>
      <c r="BR66" s="41">
        <v>0</v>
      </c>
      <c r="BS66" s="41">
        <f t="shared" si="46"/>
        <v>0</v>
      </c>
      <c r="BT66" s="41">
        <v>1217</v>
      </c>
      <c r="BV66" s="41">
        <v>1254</v>
      </c>
      <c r="BW66" s="50">
        <v>0</v>
      </c>
      <c r="BX66" s="41">
        <f t="shared" si="53"/>
        <v>0</v>
      </c>
      <c r="BY66" s="41">
        <v>1254</v>
      </c>
      <c r="CA66" s="41">
        <v>1234</v>
      </c>
      <c r="CB66" s="50">
        <v>0</v>
      </c>
      <c r="CC66" s="41">
        <f t="shared" si="54"/>
        <v>0</v>
      </c>
      <c r="CD66" s="41">
        <v>1234</v>
      </c>
      <c r="CF66" s="41">
        <v>909</v>
      </c>
      <c r="CG66" s="50">
        <v>0</v>
      </c>
      <c r="CH66" s="41">
        <v>0</v>
      </c>
      <c r="CI66" s="41">
        <f t="shared" si="55"/>
        <v>909</v>
      </c>
      <c r="CJ66" s="41">
        <v>819</v>
      </c>
      <c r="CK66" s="50">
        <v>0</v>
      </c>
      <c r="CL66" s="41">
        <f t="shared" si="47"/>
        <v>819</v>
      </c>
      <c r="CM66" s="41">
        <v>689</v>
      </c>
      <c r="CN66" s="50">
        <v>0</v>
      </c>
      <c r="CO66" s="41">
        <v>0</v>
      </c>
      <c r="CP66" s="41">
        <f t="shared" si="56"/>
        <v>689</v>
      </c>
      <c r="CQ66" s="41">
        <v>630</v>
      </c>
      <c r="CR66" s="50">
        <v>0</v>
      </c>
      <c r="CS66" s="41">
        <f t="shared" si="57"/>
        <v>630</v>
      </c>
      <c r="CU66" s="39" t="s">
        <v>451</v>
      </c>
    </row>
    <row r="67" spans="1:99">
      <c r="A67" s="39" t="s">
        <v>63</v>
      </c>
      <c r="B67" s="39" t="s">
        <v>69</v>
      </c>
      <c r="C67" s="39" t="s">
        <v>2</v>
      </c>
      <c r="D67" s="56">
        <v>21201001051</v>
      </c>
      <c r="E67" s="68" t="s">
        <v>79</v>
      </c>
      <c r="H67" s="51">
        <v>23689</v>
      </c>
      <c r="I67" s="49">
        <v>0</v>
      </c>
      <c r="J67" s="49">
        <v>0</v>
      </c>
      <c r="K67" s="51">
        <f t="shared" si="48"/>
        <v>23689</v>
      </c>
      <c r="L67" s="51">
        <f t="shared" si="44"/>
        <v>1575</v>
      </c>
      <c r="M67" s="51">
        <v>25264</v>
      </c>
      <c r="N67" s="52"/>
      <c r="O67" s="41">
        <v>26794</v>
      </c>
      <c r="P67" s="50">
        <v>1</v>
      </c>
      <c r="Q67" s="50">
        <v>771</v>
      </c>
      <c r="R67" s="50">
        <v>8152</v>
      </c>
      <c r="S67" s="41">
        <v>-191</v>
      </c>
      <c r="T67" s="41">
        <v>35527</v>
      </c>
      <c r="U67" s="41"/>
      <c r="V67" s="41">
        <v>28256</v>
      </c>
      <c r="W67" s="50">
        <v>12859</v>
      </c>
      <c r="X67" s="50">
        <v>916</v>
      </c>
      <c r="Y67" s="41">
        <f t="shared" si="49"/>
        <v>-1056</v>
      </c>
      <c r="Z67" s="41">
        <v>40975</v>
      </c>
      <c r="AA67" s="41"/>
      <c r="AB67" s="41">
        <v>29410</v>
      </c>
      <c r="AC67" s="41">
        <v>0</v>
      </c>
      <c r="AD67" s="50">
        <f>13609-1542</f>
        <v>12067</v>
      </c>
      <c r="AE67" s="41">
        <v>1542</v>
      </c>
      <c r="AF67" s="41">
        <v>0</v>
      </c>
      <c r="AG67" s="41">
        <f t="shared" si="45"/>
        <v>-2356</v>
      </c>
      <c r="AH67" s="41">
        <v>40663</v>
      </c>
      <c r="AI67" s="41"/>
      <c r="AJ67" s="41">
        <v>27910</v>
      </c>
      <c r="AK67" s="50">
        <v>4713</v>
      </c>
      <c r="AL67" s="41">
        <v>27</v>
      </c>
      <c r="AM67" s="50">
        <v>6587</v>
      </c>
      <c r="AN67" s="41">
        <f t="shared" si="50"/>
        <v>1323</v>
      </c>
      <c r="AO67" s="41">
        <v>40560</v>
      </c>
      <c r="AP67" s="41"/>
      <c r="AQ67" s="53">
        <v>29814</v>
      </c>
      <c r="AR67" s="54">
        <v>4346</v>
      </c>
      <c r="AS67" s="54">
        <v>8440</v>
      </c>
      <c r="AT67" s="53">
        <v>343</v>
      </c>
      <c r="AU67" s="41">
        <f t="shared" si="51"/>
        <v>-1411</v>
      </c>
      <c r="AV67" s="41">
        <v>41532</v>
      </c>
      <c r="AW67" s="41"/>
      <c r="AX67" s="41">
        <v>31535</v>
      </c>
      <c r="AY67" s="54">
        <v>0</v>
      </c>
      <c r="AZ67" s="50">
        <v>783</v>
      </c>
      <c r="BA67" s="50">
        <v>12217</v>
      </c>
      <c r="BB67" s="41">
        <v>0</v>
      </c>
      <c r="BC67" s="41">
        <f t="shared" si="58"/>
        <v>5</v>
      </c>
      <c r="BD67" s="41">
        <v>44540</v>
      </c>
      <c r="BF67" s="41">
        <v>36455</v>
      </c>
      <c r="BG67" s="50">
        <v>839</v>
      </c>
      <c r="BH67" s="41">
        <v>0</v>
      </c>
      <c r="BI67" s="50">
        <v>10043</v>
      </c>
      <c r="BJ67" s="41">
        <v>1708</v>
      </c>
      <c r="BK67" s="41">
        <f t="shared" si="52"/>
        <v>570</v>
      </c>
      <c r="BL67" s="41">
        <v>49615</v>
      </c>
      <c r="BM67" s="55"/>
      <c r="BN67" s="41">
        <v>41006</v>
      </c>
      <c r="BO67" s="50">
        <v>9959</v>
      </c>
      <c r="BP67" s="50">
        <v>1430</v>
      </c>
      <c r="BQ67" s="41">
        <v>0</v>
      </c>
      <c r="BR67" s="41">
        <v>0</v>
      </c>
      <c r="BS67" s="41">
        <f t="shared" si="46"/>
        <v>-169</v>
      </c>
      <c r="BT67" s="41">
        <v>52226</v>
      </c>
      <c r="BV67" s="41">
        <v>41404</v>
      </c>
      <c r="BW67" s="50">
        <v>11107</v>
      </c>
      <c r="BX67" s="41">
        <f t="shared" si="53"/>
        <v>-785</v>
      </c>
      <c r="BY67" s="41">
        <v>51726</v>
      </c>
      <c r="CA67" s="41">
        <v>43299</v>
      </c>
      <c r="CB67" s="50">
        <v>6883</v>
      </c>
      <c r="CC67" s="41">
        <f t="shared" si="54"/>
        <v>487</v>
      </c>
      <c r="CD67" s="41">
        <v>50669</v>
      </c>
      <c r="CF67" s="41">
        <v>40146</v>
      </c>
      <c r="CG67" s="50">
        <v>9790</v>
      </c>
      <c r="CH67" s="41">
        <v>0</v>
      </c>
      <c r="CI67" s="41">
        <f t="shared" si="55"/>
        <v>49936</v>
      </c>
      <c r="CJ67" s="41">
        <v>40788</v>
      </c>
      <c r="CK67" s="50">
        <v>5450</v>
      </c>
      <c r="CL67" s="41">
        <f t="shared" si="47"/>
        <v>46238</v>
      </c>
      <c r="CM67" s="41">
        <v>41116</v>
      </c>
      <c r="CN67" s="50">
        <v>3260</v>
      </c>
      <c r="CO67" s="41">
        <v>0</v>
      </c>
      <c r="CP67" s="41">
        <f t="shared" si="56"/>
        <v>44376</v>
      </c>
      <c r="CQ67" s="41">
        <v>41046</v>
      </c>
      <c r="CR67" s="50">
        <v>1846</v>
      </c>
      <c r="CS67" s="41">
        <f t="shared" si="57"/>
        <v>42892</v>
      </c>
      <c r="CU67" s="39" t="s">
        <v>452</v>
      </c>
    </row>
    <row r="68" spans="1:99">
      <c r="A68" s="39" t="s">
        <v>63</v>
      </c>
      <c r="B68" s="39" t="s">
        <v>69</v>
      </c>
      <c r="C68" s="39" t="s">
        <v>2</v>
      </c>
      <c r="D68" s="56">
        <v>21206001051</v>
      </c>
      <c r="E68" s="68" t="s">
        <v>80</v>
      </c>
      <c r="H68" s="51">
        <v>4044</v>
      </c>
      <c r="I68" s="49">
        <v>0</v>
      </c>
      <c r="J68" s="49">
        <v>0</v>
      </c>
      <c r="K68" s="51">
        <f t="shared" si="48"/>
        <v>4044</v>
      </c>
      <c r="L68" s="51">
        <f t="shared" si="44"/>
        <v>245</v>
      </c>
      <c r="M68" s="51">
        <v>4289</v>
      </c>
      <c r="N68" s="52"/>
      <c r="O68" s="41">
        <v>5115</v>
      </c>
      <c r="P68" s="50">
        <v>0</v>
      </c>
      <c r="Q68" s="50">
        <v>0</v>
      </c>
      <c r="R68" s="50">
        <v>238</v>
      </c>
      <c r="S68" s="41">
        <v>17</v>
      </c>
      <c r="T68" s="41">
        <v>5370</v>
      </c>
      <c r="U68" s="41"/>
      <c r="V68" s="41">
        <v>5353</v>
      </c>
      <c r="W68" s="50">
        <v>0</v>
      </c>
      <c r="X68" s="50">
        <v>0</v>
      </c>
      <c r="Y68" s="41">
        <f t="shared" si="49"/>
        <v>-98</v>
      </c>
      <c r="Z68" s="41">
        <v>5255</v>
      </c>
      <c r="AA68" s="41"/>
      <c r="AB68" s="41">
        <v>5967</v>
      </c>
      <c r="AC68" s="41">
        <v>0</v>
      </c>
      <c r="AD68" s="50">
        <v>291</v>
      </c>
      <c r="AE68" s="41">
        <v>0</v>
      </c>
      <c r="AF68" s="41">
        <v>0</v>
      </c>
      <c r="AG68" s="41">
        <f t="shared" si="45"/>
        <v>121</v>
      </c>
      <c r="AH68" s="41">
        <v>6379</v>
      </c>
      <c r="AI68" s="41"/>
      <c r="AJ68" s="41">
        <v>4865</v>
      </c>
      <c r="AK68" s="50">
        <v>234</v>
      </c>
      <c r="AL68" s="41">
        <v>188</v>
      </c>
      <c r="AM68" s="50">
        <v>112</v>
      </c>
      <c r="AN68" s="41">
        <f t="shared" si="50"/>
        <v>500</v>
      </c>
      <c r="AO68" s="41">
        <v>5899</v>
      </c>
      <c r="AP68" s="41"/>
      <c r="AQ68" s="53">
        <v>5209</v>
      </c>
      <c r="AR68" s="54">
        <v>296</v>
      </c>
      <c r="AS68" s="54">
        <v>423</v>
      </c>
      <c r="AT68" s="53">
        <v>109</v>
      </c>
      <c r="AU68" s="41">
        <f t="shared" si="51"/>
        <v>706</v>
      </c>
      <c r="AV68" s="41">
        <v>6743</v>
      </c>
      <c r="AW68" s="41"/>
      <c r="AX68" s="41">
        <v>5925</v>
      </c>
      <c r="AY68" s="54">
        <v>0</v>
      </c>
      <c r="AZ68" s="50">
        <v>0</v>
      </c>
      <c r="BA68" s="50">
        <v>1370</v>
      </c>
      <c r="BB68" s="41">
        <v>0</v>
      </c>
      <c r="BC68" s="41">
        <f t="shared" si="58"/>
        <v>451</v>
      </c>
      <c r="BD68" s="41">
        <v>7746</v>
      </c>
      <c r="BF68" s="41">
        <v>6616</v>
      </c>
      <c r="BG68" s="50">
        <v>150</v>
      </c>
      <c r="BH68" s="41">
        <v>0</v>
      </c>
      <c r="BI68" s="50">
        <v>1351</v>
      </c>
      <c r="BJ68" s="41">
        <v>425</v>
      </c>
      <c r="BK68" s="41">
        <f t="shared" si="52"/>
        <v>-2</v>
      </c>
      <c r="BL68" s="41">
        <v>8540</v>
      </c>
      <c r="BM68" s="55"/>
      <c r="BN68" s="41">
        <v>7713</v>
      </c>
      <c r="BO68" s="50">
        <v>825</v>
      </c>
      <c r="BP68" s="50">
        <v>33</v>
      </c>
      <c r="BQ68" s="41">
        <v>0</v>
      </c>
      <c r="BR68" s="41">
        <v>0</v>
      </c>
      <c r="BS68" s="41">
        <f t="shared" si="46"/>
        <v>26</v>
      </c>
      <c r="BT68" s="41">
        <v>8597</v>
      </c>
      <c r="BV68" s="41">
        <v>7511</v>
      </c>
      <c r="BW68" s="50">
        <v>853</v>
      </c>
      <c r="BX68" s="41">
        <f t="shared" si="53"/>
        <v>223</v>
      </c>
      <c r="BY68" s="41">
        <v>8587</v>
      </c>
      <c r="CA68" s="41">
        <v>7585</v>
      </c>
      <c r="CB68" s="50">
        <v>630</v>
      </c>
      <c r="CC68" s="41">
        <f t="shared" si="54"/>
        <v>180</v>
      </c>
      <c r="CD68" s="41">
        <v>8395</v>
      </c>
      <c r="CF68" s="41">
        <v>7971</v>
      </c>
      <c r="CG68" s="50">
        <v>584</v>
      </c>
      <c r="CH68" s="41">
        <v>0</v>
      </c>
      <c r="CI68" s="41">
        <f t="shared" si="55"/>
        <v>8555</v>
      </c>
      <c r="CJ68" s="41">
        <v>7776</v>
      </c>
      <c r="CK68" s="50">
        <v>257</v>
      </c>
      <c r="CL68" s="41">
        <f t="shared" si="47"/>
        <v>8033</v>
      </c>
      <c r="CM68" s="41">
        <v>7644</v>
      </c>
      <c r="CN68" s="50">
        <v>175</v>
      </c>
      <c r="CO68" s="41">
        <v>0</v>
      </c>
      <c r="CP68" s="41">
        <f t="shared" si="56"/>
        <v>7819</v>
      </c>
      <c r="CQ68" s="41">
        <v>7892</v>
      </c>
      <c r="CR68" s="50">
        <v>166</v>
      </c>
      <c r="CS68" s="41">
        <f t="shared" si="57"/>
        <v>8058</v>
      </c>
      <c r="CU68" s="39" t="s">
        <v>453</v>
      </c>
    </row>
    <row r="69" spans="1:99">
      <c r="A69" s="39" t="s">
        <v>63</v>
      </c>
      <c r="B69" s="39" t="s">
        <v>69</v>
      </c>
      <c r="C69" s="39" t="s">
        <v>2</v>
      </c>
      <c r="D69" s="56">
        <v>21207001051</v>
      </c>
      <c r="E69" s="68" t="s">
        <v>81</v>
      </c>
      <c r="H69" s="51">
        <v>2675</v>
      </c>
      <c r="I69" s="49">
        <v>0</v>
      </c>
      <c r="J69" s="49">
        <v>0</v>
      </c>
      <c r="K69" s="51">
        <f t="shared" si="48"/>
        <v>2675</v>
      </c>
      <c r="L69" s="51">
        <f t="shared" si="44"/>
        <v>8</v>
      </c>
      <c r="M69" s="51">
        <v>2683</v>
      </c>
      <c r="N69" s="52"/>
      <c r="O69" s="41">
        <v>3353</v>
      </c>
      <c r="P69" s="50">
        <v>21</v>
      </c>
      <c r="Q69" s="50">
        <v>0</v>
      </c>
      <c r="R69" s="50">
        <v>3</v>
      </c>
      <c r="S69" s="41">
        <v>-167</v>
      </c>
      <c r="T69" s="41">
        <v>3210</v>
      </c>
      <c r="U69" s="41"/>
      <c r="V69" s="41">
        <v>3447</v>
      </c>
      <c r="W69" s="50">
        <v>0</v>
      </c>
      <c r="X69" s="50">
        <v>0</v>
      </c>
      <c r="Y69" s="41">
        <f t="shared" si="49"/>
        <v>-88</v>
      </c>
      <c r="Z69" s="41">
        <v>3359</v>
      </c>
      <c r="AA69" s="41"/>
      <c r="AB69" s="41">
        <v>3706</v>
      </c>
      <c r="AC69" s="41">
        <v>0</v>
      </c>
      <c r="AD69" s="50">
        <v>40</v>
      </c>
      <c r="AE69" s="41">
        <v>0</v>
      </c>
      <c r="AF69" s="41">
        <v>0</v>
      </c>
      <c r="AG69" s="41">
        <f t="shared" si="45"/>
        <v>-40</v>
      </c>
      <c r="AH69" s="41">
        <v>3706</v>
      </c>
      <c r="AI69" s="41"/>
      <c r="AJ69" s="41">
        <v>3141</v>
      </c>
      <c r="AK69" s="50">
        <v>139</v>
      </c>
      <c r="AL69" s="41">
        <v>13</v>
      </c>
      <c r="AM69" s="50">
        <v>141</v>
      </c>
      <c r="AN69" s="41">
        <f t="shared" si="50"/>
        <v>-3</v>
      </c>
      <c r="AO69" s="41">
        <v>3431</v>
      </c>
      <c r="AP69" s="41"/>
      <c r="AQ69" s="53">
        <v>3365</v>
      </c>
      <c r="AR69" s="54">
        <v>88</v>
      </c>
      <c r="AS69" s="54">
        <v>147</v>
      </c>
      <c r="AT69" s="53">
        <v>0</v>
      </c>
      <c r="AU69" s="41">
        <f t="shared" si="51"/>
        <v>-85</v>
      </c>
      <c r="AV69" s="41">
        <v>3515</v>
      </c>
      <c r="AW69" s="41"/>
      <c r="AX69" s="41">
        <v>3685</v>
      </c>
      <c r="AY69" s="54">
        <v>0</v>
      </c>
      <c r="AZ69" s="50">
        <v>0</v>
      </c>
      <c r="BA69" s="50">
        <v>304</v>
      </c>
      <c r="BB69" s="41">
        <v>0</v>
      </c>
      <c r="BC69" s="41">
        <f t="shared" si="58"/>
        <v>25</v>
      </c>
      <c r="BD69" s="41">
        <v>4014</v>
      </c>
      <c r="BF69" s="41">
        <v>3904</v>
      </c>
      <c r="BG69" s="50">
        <v>0</v>
      </c>
      <c r="BH69" s="41">
        <v>0</v>
      </c>
      <c r="BI69" s="50">
        <v>281</v>
      </c>
      <c r="BJ69" s="41">
        <v>137</v>
      </c>
      <c r="BK69" s="41">
        <f t="shared" si="52"/>
        <v>-40</v>
      </c>
      <c r="BL69" s="41">
        <v>4282</v>
      </c>
      <c r="BM69" s="55"/>
      <c r="BN69" s="41">
        <v>4308</v>
      </c>
      <c r="BO69" s="50">
        <v>293</v>
      </c>
      <c r="BP69" s="50">
        <v>6</v>
      </c>
      <c r="BQ69" s="41">
        <v>0</v>
      </c>
      <c r="BR69" s="41">
        <v>0</v>
      </c>
      <c r="BS69" s="41">
        <f t="shared" si="46"/>
        <v>-2</v>
      </c>
      <c r="BT69" s="41">
        <v>4605</v>
      </c>
      <c r="BV69" s="41">
        <v>4333</v>
      </c>
      <c r="BW69" s="50">
        <v>268</v>
      </c>
      <c r="BX69" s="41">
        <f t="shared" si="53"/>
        <v>-39</v>
      </c>
      <c r="BY69" s="41">
        <v>4562</v>
      </c>
      <c r="CA69" s="41">
        <v>4290</v>
      </c>
      <c r="CB69" s="50">
        <v>196</v>
      </c>
      <c r="CC69" s="41">
        <f t="shared" si="54"/>
        <v>3</v>
      </c>
      <c r="CD69" s="41">
        <v>4489</v>
      </c>
      <c r="CF69" s="41">
        <v>4452</v>
      </c>
      <c r="CG69" s="50">
        <v>157</v>
      </c>
      <c r="CH69" s="41">
        <v>0</v>
      </c>
      <c r="CI69" s="41">
        <f t="shared" si="55"/>
        <v>4609</v>
      </c>
      <c r="CJ69" s="41">
        <v>4378</v>
      </c>
      <c r="CK69" s="50">
        <v>33</v>
      </c>
      <c r="CL69" s="41">
        <f t="shared" si="47"/>
        <v>4411</v>
      </c>
      <c r="CM69" s="41">
        <v>4318</v>
      </c>
      <c r="CN69" s="50">
        <v>25</v>
      </c>
      <c r="CO69" s="41">
        <v>0</v>
      </c>
      <c r="CP69" s="41">
        <f t="shared" si="56"/>
        <v>4343</v>
      </c>
      <c r="CQ69" s="41">
        <v>4463</v>
      </c>
      <c r="CR69" s="50">
        <v>24</v>
      </c>
      <c r="CS69" s="41">
        <f t="shared" si="57"/>
        <v>4487</v>
      </c>
      <c r="CU69" s="39" t="s">
        <v>454</v>
      </c>
    </row>
    <row r="70" spans="1:99">
      <c r="A70" s="39" t="s">
        <v>63</v>
      </c>
      <c r="B70" s="39" t="s">
        <v>69</v>
      </c>
      <c r="C70" s="39" t="s">
        <v>2</v>
      </c>
      <c r="D70" s="56">
        <v>57100701051</v>
      </c>
      <c r="E70" s="68" t="s">
        <v>82</v>
      </c>
      <c r="H70" s="51">
        <v>0</v>
      </c>
      <c r="I70" s="49">
        <v>0</v>
      </c>
      <c r="J70" s="49">
        <v>0</v>
      </c>
      <c r="K70" s="51">
        <f t="shared" si="48"/>
        <v>0</v>
      </c>
      <c r="L70" s="51">
        <f t="shared" si="44"/>
        <v>0</v>
      </c>
      <c r="M70" s="51">
        <v>0</v>
      </c>
      <c r="N70" s="52"/>
      <c r="O70" s="41">
        <v>0</v>
      </c>
      <c r="P70" s="50">
        <v>0</v>
      </c>
      <c r="Q70" s="50">
        <v>0</v>
      </c>
      <c r="R70" s="50">
        <v>0</v>
      </c>
      <c r="S70" s="41">
        <v>0</v>
      </c>
      <c r="T70" s="41">
        <v>0</v>
      </c>
      <c r="U70" s="41"/>
      <c r="V70" s="41">
        <v>0</v>
      </c>
      <c r="W70" s="50">
        <v>0</v>
      </c>
      <c r="X70" s="50">
        <v>0</v>
      </c>
      <c r="Y70" s="41">
        <f t="shared" si="49"/>
        <v>0</v>
      </c>
      <c r="Z70" s="41">
        <v>0</v>
      </c>
      <c r="AA70" s="41"/>
      <c r="AB70" s="41">
        <v>0</v>
      </c>
      <c r="AC70" s="41">
        <v>0</v>
      </c>
      <c r="AD70" s="50">
        <v>0</v>
      </c>
      <c r="AE70" s="41">
        <v>0</v>
      </c>
      <c r="AF70" s="41">
        <v>0</v>
      </c>
      <c r="AG70" s="41">
        <f t="shared" si="45"/>
        <v>0</v>
      </c>
      <c r="AH70" s="41">
        <v>0</v>
      </c>
      <c r="AI70" s="41"/>
      <c r="AJ70" s="41">
        <v>2033</v>
      </c>
      <c r="AK70" s="50">
        <v>0</v>
      </c>
      <c r="AL70" s="41">
        <v>0</v>
      </c>
      <c r="AM70" s="50">
        <v>0</v>
      </c>
      <c r="AN70" s="41">
        <f t="shared" si="50"/>
        <v>0</v>
      </c>
      <c r="AO70" s="41">
        <v>2033</v>
      </c>
      <c r="AP70" s="41"/>
      <c r="AQ70" s="53">
        <v>2082</v>
      </c>
      <c r="AR70" s="54">
        <v>0</v>
      </c>
      <c r="AS70" s="54">
        <v>0</v>
      </c>
      <c r="AT70" s="53">
        <v>0</v>
      </c>
      <c r="AU70" s="41">
        <f t="shared" si="51"/>
        <v>0</v>
      </c>
      <c r="AV70" s="41">
        <v>2082</v>
      </c>
      <c r="AW70" s="41"/>
      <c r="AX70" s="41">
        <v>1959</v>
      </c>
      <c r="AY70" s="54">
        <v>0</v>
      </c>
      <c r="AZ70" s="50">
        <v>0</v>
      </c>
      <c r="BA70" s="50">
        <v>0</v>
      </c>
      <c r="BB70" s="41">
        <v>0</v>
      </c>
      <c r="BC70" s="41">
        <f t="shared" si="58"/>
        <v>0</v>
      </c>
      <c r="BD70" s="41">
        <v>1959</v>
      </c>
      <c r="BF70" s="41">
        <v>1778</v>
      </c>
      <c r="BG70" s="50">
        <v>0</v>
      </c>
      <c r="BH70" s="41">
        <v>0</v>
      </c>
      <c r="BI70" s="50">
        <v>0</v>
      </c>
      <c r="BJ70" s="41">
        <v>0</v>
      </c>
      <c r="BK70" s="41">
        <f t="shared" si="52"/>
        <v>0</v>
      </c>
      <c r="BL70" s="41">
        <v>1778</v>
      </c>
      <c r="BM70" s="55"/>
      <c r="BN70" s="41">
        <v>1836</v>
      </c>
      <c r="BO70" s="50">
        <v>0</v>
      </c>
      <c r="BP70" s="50">
        <v>0</v>
      </c>
      <c r="BQ70" s="41">
        <v>0</v>
      </c>
      <c r="BR70" s="41">
        <v>0</v>
      </c>
      <c r="BS70" s="41">
        <f t="shared" si="46"/>
        <v>0</v>
      </c>
      <c r="BT70" s="41">
        <v>1836</v>
      </c>
      <c r="BV70" s="41">
        <v>1863</v>
      </c>
      <c r="BW70" s="50">
        <v>0</v>
      </c>
      <c r="BX70" s="41">
        <f t="shared" si="53"/>
        <v>0</v>
      </c>
      <c r="BY70" s="41">
        <v>1863</v>
      </c>
      <c r="CA70" s="41">
        <v>1840</v>
      </c>
      <c r="CB70" s="50">
        <v>0</v>
      </c>
      <c r="CC70" s="41">
        <f t="shared" si="54"/>
        <v>0</v>
      </c>
      <c r="CD70" s="41">
        <v>1840</v>
      </c>
      <c r="CF70" s="41">
        <v>1442</v>
      </c>
      <c r="CG70" s="50">
        <v>0</v>
      </c>
      <c r="CH70" s="41">
        <v>0</v>
      </c>
      <c r="CI70" s="41">
        <f t="shared" si="55"/>
        <v>1442</v>
      </c>
      <c r="CJ70" s="41">
        <v>1317</v>
      </c>
      <c r="CK70" s="50">
        <v>0</v>
      </c>
      <c r="CL70" s="41">
        <f t="shared" si="47"/>
        <v>1317</v>
      </c>
      <c r="CM70" s="41">
        <v>1274</v>
      </c>
      <c r="CN70" s="50">
        <v>0</v>
      </c>
      <c r="CO70" s="41">
        <v>0</v>
      </c>
      <c r="CP70" s="41">
        <f t="shared" si="56"/>
        <v>1274</v>
      </c>
      <c r="CQ70" s="41">
        <v>1239</v>
      </c>
      <c r="CR70" s="50">
        <v>0</v>
      </c>
      <c r="CS70" s="41">
        <f t="shared" si="57"/>
        <v>1239</v>
      </c>
      <c r="CU70" s="39" t="s">
        <v>455</v>
      </c>
    </row>
    <row r="71" spans="1:99">
      <c r="A71" s="39" t="s">
        <v>63</v>
      </c>
      <c r="B71" s="39" t="s">
        <v>69</v>
      </c>
      <c r="C71" s="39" t="s">
        <v>2</v>
      </c>
      <c r="D71" s="57">
        <v>57100801051</v>
      </c>
      <c r="E71" s="68" t="s">
        <v>72</v>
      </c>
      <c r="H71" s="51">
        <v>0</v>
      </c>
      <c r="I71" s="49">
        <v>0</v>
      </c>
      <c r="J71" s="49">
        <v>0</v>
      </c>
      <c r="K71" s="51">
        <f t="shared" si="48"/>
        <v>0</v>
      </c>
      <c r="L71" s="51">
        <f t="shared" si="44"/>
        <v>0</v>
      </c>
      <c r="M71" s="51">
        <v>0</v>
      </c>
      <c r="N71" s="52"/>
      <c r="O71" s="41">
        <v>0</v>
      </c>
      <c r="P71" s="50">
        <v>0</v>
      </c>
      <c r="Q71" s="50">
        <v>0</v>
      </c>
      <c r="R71" s="50">
        <v>0</v>
      </c>
      <c r="S71" s="41">
        <v>0</v>
      </c>
      <c r="T71" s="41">
        <v>0</v>
      </c>
      <c r="U71" s="41"/>
      <c r="V71" s="41">
        <v>0</v>
      </c>
      <c r="W71" s="50">
        <v>0</v>
      </c>
      <c r="X71" s="50">
        <v>0</v>
      </c>
      <c r="Y71" s="41">
        <f t="shared" si="49"/>
        <v>0</v>
      </c>
      <c r="Z71" s="41">
        <v>0</v>
      </c>
      <c r="AA71" s="41"/>
      <c r="AB71" s="41">
        <v>0</v>
      </c>
      <c r="AC71" s="41">
        <v>0</v>
      </c>
      <c r="AD71" s="50">
        <v>0</v>
      </c>
      <c r="AE71" s="41">
        <v>0</v>
      </c>
      <c r="AF71" s="41">
        <v>0</v>
      </c>
      <c r="AG71" s="41">
        <f t="shared" si="45"/>
        <v>0</v>
      </c>
      <c r="AH71" s="41">
        <v>0</v>
      </c>
      <c r="AI71" s="41"/>
      <c r="AJ71" s="41">
        <v>254</v>
      </c>
      <c r="AK71" s="50">
        <v>0</v>
      </c>
      <c r="AL71" s="41">
        <v>0</v>
      </c>
      <c r="AM71" s="50">
        <v>0</v>
      </c>
      <c r="AN71" s="41">
        <f t="shared" si="50"/>
        <v>0</v>
      </c>
      <c r="AO71" s="41">
        <v>254</v>
      </c>
      <c r="AP71" s="41"/>
      <c r="AQ71" s="53">
        <v>268</v>
      </c>
      <c r="AR71" s="54">
        <v>0</v>
      </c>
      <c r="AS71" s="54">
        <v>0</v>
      </c>
      <c r="AT71" s="53">
        <v>0</v>
      </c>
      <c r="AU71" s="41">
        <f t="shared" si="51"/>
        <v>0</v>
      </c>
      <c r="AV71" s="41">
        <v>268</v>
      </c>
      <c r="AW71" s="41"/>
      <c r="AX71" s="41">
        <v>252</v>
      </c>
      <c r="AY71" s="54">
        <v>0</v>
      </c>
      <c r="AZ71" s="50">
        <v>0</v>
      </c>
      <c r="BA71" s="50">
        <v>0</v>
      </c>
      <c r="BB71" s="41">
        <v>0</v>
      </c>
      <c r="BC71" s="41">
        <f t="shared" si="58"/>
        <v>0</v>
      </c>
      <c r="BD71" s="41">
        <v>252</v>
      </c>
      <c r="BF71" s="41">
        <v>224</v>
      </c>
      <c r="BG71" s="50">
        <v>0</v>
      </c>
      <c r="BH71" s="41">
        <v>0</v>
      </c>
      <c r="BI71" s="50">
        <v>0</v>
      </c>
      <c r="BJ71" s="41">
        <v>0</v>
      </c>
      <c r="BK71" s="41">
        <f t="shared" si="52"/>
        <v>0</v>
      </c>
      <c r="BL71" s="41">
        <v>224</v>
      </c>
      <c r="BM71" s="55"/>
      <c r="BN71" s="41">
        <v>225</v>
      </c>
      <c r="BO71" s="50">
        <v>0</v>
      </c>
      <c r="BP71" s="50">
        <v>0</v>
      </c>
      <c r="BQ71" s="41">
        <v>0</v>
      </c>
      <c r="BR71" s="41">
        <v>0</v>
      </c>
      <c r="BS71" s="41">
        <f t="shared" si="46"/>
        <v>0</v>
      </c>
      <c r="BT71" s="41">
        <v>225</v>
      </c>
      <c r="BV71" s="41">
        <v>240</v>
      </c>
      <c r="BW71" s="50">
        <v>0</v>
      </c>
      <c r="BX71" s="41">
        <f t="shared" si="53"/>
        <v>0</v>
      </c>
      <c r="BY71" s="41">
        <v>240</v>
      </c>
      <c r="CA71" s="41">
        <v>239</v>
      </c>
      <c r="CB71" s="50">
        <v>0</v>
      </c>
      <c r="CC71" s="41">
        <f t="shared" si="54"/>
        <v>0</v>
      </c>
      <c r="CD71" s="41">
        <v>239</v>
      </c>
      <c r="CF71" s="41">
        <v>174</v>
      </c>
      <c r="CG71" s="50">
        <v>0</v>
      </c>
      <c r="CH71" s="41">
        <v>0</v>
      </c>
      <c r="CI71" s="41">
        <f t="shared" si="55"/>
        <v>174</v>
      </c>
      <c r="CJ71" s="41">
        <v>156</v>
      </c>
      <c r="CK71" s="50">
        <v>0</v>
      </c>
      <c r="CL71" s="41">
        <f t="shared" si="47"/>
        <v>156</v>
      </c>
      <c r="CM71" s="41">
        <v>127</v>
      </c>
      <c r="CN71" s="50">
        <v>0</v>
      </c>
      <c r="CO71" s="41">
        <v>0</v>
      </c>
      <c r="CP71" s="41">
        <f t="shared" si="56"/>
        <v>127</v>
      </c>
      <c r="CQ71" s="41">
        <v>118</v>
      </c>
      <c r="CR71" s="50">
        <v>0</v>
      </c>
      <c r="CS71" s="41">
        <f t="shared" si="57"/>
        <v>118</v>
      </c>
      <c r="CU71" s="44" t="s">
        <v>456</v>
      </c>
    </row>
    <row r="72" spans="1:99">
      <c r="A72" s="39" t="s">
        <v>63</v>
      </c>
      <c r="B72" s="39" t="s">
        <v>69</v>
      </c>
      <c r="C72" s="39" t="s">
        <v>2</v>
      </c>
      <c r="D72" s="57">
        <v>57100901051</v>
      </c>
      <c r="E72" s="68" t="s">
        <v>78</v>
      </c>
      <c r="H72" s="51">
        <v>0</v>
      </c>
      <c r="I72" s="49">
        <v>0</v>
      </c>
      <c r="J72" s="49">
        <v>0</v>
      </c>
      <c r="K72" s="51">
        <f t="shared" si="48"/>
        <v>0</v>
      </c>
      <c r="L72" s="51">
        <f t="shared" si="44"/>
        <v>0</v>
      </c>
      <c r="M72" s="51">
        <v>0</v>
      </c>
      <c r="N72" s="52"/>
      <c r="O72" s="41">
        <v>0</v>
      </c>
      <c r="P72" s="50">
        <v>0</v>
      </c>
      <c r="Q72" s="50">
        <v>0</v>
      </c>
      <c r="R72" s="50">
        <v>0</v>
      </c>
      <c r="S72" s="41">
        <v>0</v>
      </c>
      <c r="T72" s="41">
        <v>0</v>
      </c>
      <c r="U72" s="41"/>
      <c r="V72" s="41">
        <v>0</v>
      </c>
      <c r="W72" s="50">
        <v>0</v>
      </c>
      <c r="X72" s="50">
        <v>0</v>
      </c>
      <c r="Y72" s="41">
        <f t="shared" si="49"/>
        <v>0</v>
      </c>
      <c r="Z72" s="41">
        <v>0</v>
      </c>
      <c r="AA72" s="41"/>
      <c r="AB72" s="41">
        <v>0</v>
      </c>
      <c r="AC72" s="41">
        <v>0</v>
      </c>
      <c r="AD72" s="50">
        <v>0</v>
      </c>
      <c r="AE72" s="41">
        <v>0</v>
      </c>
      <c r="AF72" s="41">
        <v>0</v>
      </c>
      <c r="AG72" s="41">
        <f t="shared" si="45"/>
        <v>0</v>
      </c>
      <c r="AH72" s="41">
        <v>0</v>
      </c>
      <c r="AI72" s="41"/>
      <c r="AJ72" s="41">
        <v>386</v>
      </c>
      <c r="AK72" s="50">
        <v>0</v>
      </c>
      <c r="AL72" s="41">
        <v>0</v>
      </c>
      <c r="AM72" s="50">
        <v>0</v>
      </c>
      <c r="AN72" s="41">
        <f t="shared" si="50"/>
        <v>0</v>
      </c>
      <c r="AO72" s="41">
        <v>386</v>
      </c>
      <c r="AP72" s="41"/>
      <c r="AQ72" s="53">
        <v>410</v>
      </c>
      <c r="AR72" s="54">
        <v>0</v>
      </c>
      <c r="AS72" s="54">
        <v>0</v>
      </c>
      <c r="AT72" s="53">
        <v>0</v>
      </c>
      <c r="AU72" s="41">
        <f t="shared" si="51"/>
        <v>0</v>
      </c>
      <c r="AV72" s="41">
        <v>410</v>
      </c>
      <c r="AW72" s="41"/>
      <c r="AX72" s="41">
        <v>402</v>
      </c>
      <c r="AY72" s="54">
        <v>0</v>
      </c>
      <c r="AZ72" s="50">
        <v>0</v>
      </c>
      <c r="BA72" s="50">
        <v>0</v>
      </c>
      <c r="BB72" s="41">
        <v>0</v>
      </c>
      <c r="BC72" s="41">
        <f t="shared" si="58"/>
        <v>0</v>
      </c>
      <c r="BD72" s="41">
        <v>402</v>
      </c>
      <c r="BF72" s="41">
        <v>376</v>
      </c>
      <c r="BG72" s="50">
        <v>0</v>
      </c>
      <c r="BH72" s="41">
        <v>0</v>
      </c>
      <c r="BI72" s="50">
        <v>0</v>
      </c>
      <c r="BJ72" s="41">
        <v>0</v>
      </c>
      <c r="BK72" s="41">
        <f t="shared" si="52"/>
        <v>0</v>
      </c>
      <c r="BL72" s="41">
        <v>376</v>
      </c>
      <c r="BM72" s="55"/>
      <c r="BN72" s="41">
        <v>375</v>
      </c>
      <c r="BO72" s="50">
        <v>0</v>
      </c>
      <c r="BP72" s="50">
        <v>0</v>
      </c>
      <c r="BQ72" s="41">
        <v>0</v>
      </c>
      <c r="BR72" s="41">
        <v>0</v>
      </c>
      <c r="BS72" s="41">
        <f t="shared" si="46"/>
        <v>0</v>
      </c>
      <c r="BT72" s="41">
        <v>375</v>
      </c>
      <c r="BV72" s="41">
        <v>387</v>
      </c>
      <c r="BW72" s="50">
        <v>0</v>
      </c>
      <c r="BX72" s="41">
        <f t="shared" si="53"/>
        <v>0</v>
      </c>
      <c r="BY72" s="41">
        <v>387</v>
      </c>
      <c r="CA72" s="41">
        <v>378</v>
      </c>
      <c r="CB72" s="50">
        <v>0</v>
      </c>
      <c r="CC72" s="41">
        <f t="shared" si="54"/>
        <v>0</v>
      </c>
      <c r="CD72" s="41">
        <v>378</v>
      </c>
      <c r="CF72" s="41">
        <v>275</v>
      </c>
      <c r="CG72" s="50">
        <v>0</v>
      </c>
      <c r="CH72" s="41">
        <v>0</v>
      </c>
      <c r="CI72" s="41">
        <f t="shared" si="55"/>
        <v>275</v>
      </c>
      <c r="CJ72" s="41">
        <v>250</v>
      </c>
      <c r="CK72" s="50">
        <v>0</v>
      </c>
      <c r="CL72" s="41">
        <f t="shared" si="47"/>
        <v>250</v>
      </c>
      <c r="CM72" s="41">
        <v>217</v>
      </c>
      <c r="CN72" s="50">
        <v>0</v>
      </c>
      <c r="CO72" s="41">
        <v>0</v>
      </c>
      <c r="CP72" s="41">
        <f t="shared" si="56"/>
        <v>217</v>
      </c>
      <c r="CQ72" s="41">
        <v>204</v>
      </c>
      <c r="CR72" s="50">
        <v>0</v>
      </c>
      <c r="CS72" s="41">
        <f t="shared" si="57"/>
        <v>204</v>
      </c>
      <c r="CU72" s="44" t="s">
        <v>457</v>
      </c>
    </row>
    <row r="73" spans="1:99">
      <c r="A73" s="39" t="s">
        <v>63</v>
      </c>
      <c r="B73" s="39" t="s">
        <v>69</v>
      </c>
      <c r="C73" s="39" t="s">
        <v>2</v>
      </c>
      <c r="D73" s="56">
        <v>57350001051</v>
      </c>
      <c r="E73" s="68" t="s">
        <v>83</v>
      </c>
      <c r="H73" s="51">
        <v>19687</v>
      </c>
      <c r="I73" s="49">
        <v>0</v>
      </c>
      <c r="J73" s="49">
        <v>206</v>
      </c>
      <c r="K73" s="51">
        <f t="shared" si="48"/>
        <v>19893</v>
      </c>
      <c r="L73" s="51">
        <f t="shared" si="44"/>
        <v>2065</v>
      </c>
      <c r="M73" s="51">
        <v>21958</v>
      </c>
      <c r="N73" s="52"/>
      <c r="O73" s="41">
        <v>21918</v>
      </c>
      <c r="P73" s="50">
        <v>0</v>
      </c>
      <c r="Q73" s="50">
        <v>563</v>
      </c>
      <c r="R73" s="50">
        <v>3037</v>
      </c>
      <c r="S73" s="41">
        <v>-64</v>
      </c>
      <c r="T73" s="41">
        <v>25454</v>
      </c>
      <c r="U73" s="41"/>
      <c r="V73" s="41">
        <v>22910</v>
      </c>
      <c r="W73" s="50">
        <v>3385</v>
      </c>
      <c r="X73" s="50">
        <v>65</v>
      </c>
      <c r="Y73" s="41">
        <f t="shared" si="49"/>
        <v>-263</v>
      </c>
      <c r="Z73" s="41">
        <v>26097</v>
      </c>
      <c r="AA73" s="41"/>
      <c r="AB73" s="41">
        <v>24195</v>
      </c>
      <c r="AC73" s="41">
        <v>0</v>
      </c>
      <c r="AD73" s="50">
        <v>1600</v>
      </c>
      <c r="AE73" s="41">
        <v>0</v>
      </c>
      <c r="AF73" s="41">
        <v>0</v>
      </c>
      <c r="AG73" s="41">
        <f t="shared" si="45"/>
        <v>458</v>
      </c>
      <c r="AH73" s="41">
        <v>26253</v>
      </c>
      <c r="AI73" s="41"/>
      <c r="AJ73" s="41">
        <v>22968</v>
      </c>
      <c r="AK73" s="50">
        <v>508</v>
      </c>
      <c r="AL73" s="41">
        <v>111</v>
      </c>
      <c r="AM73" s="50">
        <v>1156</v>
      </c>
      <c r="AN73" s="41">
        <f t="shared" si="50"/>
        <v>247</v>
      </c>
      <c r="AO73" s="41">
        <v>24990</v>
      </c>
      <c r="AP73" s="41"/>
      <c r="AQ73" s="53">
        <v>23565</v>
      </c>
      <c r="AR73" s="54">
        <v>352</v>
      </c>
      <c r="AS73" s="54">
        <v>1079</v>
      </c>
      <c r="AT73" s="53">
        <v>139</v>
      </c>
      <c r="AU73" s="41">
        <f t="shared" si="51"/>
        <v>83</v>
      </c>
      <c r="AV73" s="41">
        <v>25218</v>
      </c>
      <c r="AW73" s="41"/>
      <c r="AX73" s="41">
        <v>24195</v>
      </c>
      <c r="AY73" s="54">
        <v>0</v>
      </c>
      <c r="AZ73" s="50">
        <v>138</v>
      </c>
      <c r="BA73" s="50">
        <v>1356</v>
      </c>
      <c r="BB73" s="41">
        <v>0</v>
      </c>
      <c r="BC73" s="41">
        <f t="shared" si="58"/>
        <v>-270</v>
      </c>
      <c r="BD73" s="41">
        <v>25419</v>
      </c>
      <c r="BF73" s="41">
        <v>25104</v>
      </c>
      <c r="BG73" s="50">
        <v>75</v>
      </c>
      <c r="BH73" s="41">
        <v>0</v>
      </c>
      <c r="BI73" s="50">
        <v>1400</v>
      </c>
      <c r="BJ73" s="41">
        <v>101</v>
      </c>
      <c r="BK73" s="41">
        <f t="shared" si="52"/>
        <v>123</v>
      </c>
      <c r="BL73" s="41">
        <v>26803</v>
      </c>
      <c r="BM73" s="55"/>
      <c r="BN73" s="41">
        <v>26175</v>
      </c>
      <c r="BO73" s="50">
        <v>1667</v>
      </c>
      <c r="BP73" s="50">
        <v>94</v>
      </c>
      <c r="BQ73" s="41">
        <v>0</v>
      </c>
      <c r="BR73" s="41">
        <v>0</v>
      </c>
      <c r="BS73" s="41">
        <f t="shared" si="46"/>
        <v>374</v>
      </c>
      <c r="BT73" s="41">
        <v>28310</v>
      </c>
      <c r="BV73" s="41">
        <v>27106</v>
      </c>
      <c r="BW73" s="50">
        <v>1843</v>
      </c>
      <c r="BX73" s="41">
        <f t="shared" si="53"/>
        <v>-231</v>
      </c>
      <c r="BY73" s="41">
        <v>28718</v>
      </c>
      <c r="CA73" s="41">
        <v>28096</v>
      </c>
      <c r="CB73" s="50">
        <v>1458</v>
      </c>
      <c r="CC73" s="41">
        <f t="shared" si="54"/>
        <v>-298</v>
      </c>
      <c r="CD73" s="41">
        <v>29256</v>
      </c>
      <c r="CF73" s="41">
        <v>28016</v>
      </c>
      <c r="CG73" s="50">
        <v>1287</v>
      </c>
      <c r="CH73" s="41">
        <v>0</v>
      </c>
      <c r="CI73" s="41">
        <f t="shared" si="55"/>
        <v>29303</v>
      </c>
      <c r="CJ73" s="41">
        <v>28520</v>
      </c>
      <c r="CK73" s="50">
        <v>833</v>
      </c>
      <c r="CL73" s="41">
        <f t="shared" si="47"/>
        <v>29353</v>
      </c>
      <c r="CM73" s="41">
        <v>27376</v>
      </c>
      <c r="CN73" s="50">
        <v>728</v>
      </c>
      <c r="CO73" s="41">
        <v>0</v>
      </c>
      <c r="CP73" s="41">
        <f t="shared" si="56"/>
        <v>28104</v>
      </c>
      <c r="CQ73" s="41">
        <v>27679</v>
      </c>
      <c r="CR73" s="50">
        <v>726</v>
      </c>
      <c r="CS73" s="41">
        <f t="shared" si="57"/>
        <v>28405</v>
      </c>
      <c r="CU73" s="39" t="s">
        <v>458</v>
      </c>
    </row>
    <row r="74" spans="1:99">
      <c r="A74" s="39" t="s">
        <v>63</v>
      </c>
      <c r="B74" s="39" t="s">
        <v>69</v>
      </c>
      <c r="C74" s="39" t="s">
        <v>2</v>
      </c>
      <c r="D74" s="56">
        <v>57370001051</v>
      </c>
      <c r="E74" s="68" t="s">
        <v>84</v>
      </c>
      <c r="H74" s="51">
        <v>1061</v>
      </c>
      <c r="I74" s="49">
        <v>0</v>
      </c>
      <c r="J74" s="49">
        <v>0</v>
      </c>
      <c r="K74" s="51">
        <f t="shared" si="48"/>
        <v>1061</v>
      </c>
      <c r="L74" s="51">
        <f t="shared" si="44"/>
        <v>-57</v>
      </c>
      <c r="M74" s="51">
        <v>1004</v>
      </c>
      <c r="N74" s="52"/>
      <c r="O74" s="41">
        <v>1237</v>
      </c>
      <c r="P74" s="50">
        <v>0</v>
      </c>
      <c r="Q74" s="50">
        <v>0</v>
      </c>
      <c r="R74" s="50">
        <v>0</v>
      </c>
      <c r="S74" s="41">
        <v>-53</v>
      </c>
      <c r="T74" s="41">
        <v>1184</v>
      </c>
      <c r="U74" s="41"/>
      <c r="V74" s="41">
        <v>1288</v>
      </c>
      <c r="W74" s="50">
        <v>0</v>
      </c>
      <c r="X74" s="50">
        <v>0</v>
      </c>
      <c r="Y74" s="41">
        <f t="shared" si="49"/>
        <v>-24</v>
      </c>
      <c r="Z74" s="41">
        <v>1264</v>
      </c>
      <c r="AA74" s="41"/>
      <c r="AB74" s="41">
        <v>1470</v>
      </c>
      <c r="AC74" s="41">
        <v>0</v>
      </c>
      <c r="AD74" s="50">
        <v>0</v>
      </c>
      <c r="AE74" s="41">
        <v>0</v>
      </c>
      <c r="AF74" s="41">
        <v>0</v>
      </c>
      <c r="AG74" s="41">
        <f t="shared" si="45"/>
        <v>-16</v>
      </c>
      <c r="AH74" s="41">
        <v>1454</v>
      </c>
      <c r="AI74" s="41"/>
      <c r="AJ74" s="41">
        <v>1284</v>
      </c>
      <c r="AK74" s="50">
        <v>0</v>
      </c>
      <c r="AL74" s="41">
        <v>2</v>
      </c>
      <c r="AM74" s="50">
        <v>2</v>
      </c>
      <c r="AN74" s="41">
        <f t="shared" si="50"/>
        <v>-38</v>
      </c>
      <c r="AO74" s="41">
        <v>1250</v>
      </c>
      <c r="AP74" s="41"/>
      <c r="AQ74" s="53">
        <v>1336</v>
      </c>
      <c r="AR74" s="54">
        <v>0</v>
      </c>
      <c r="AS74" s="54">
        <v>6</v>
      </c>
      <c r="AT74" s="53">
        <v>6</v>
      </c>
      <c r="AU74" s="41">
        <f t="shared" si="51"/>
        <v>-10</v>
      </c>
      <c r="AV74" s="41">
        <v>1338</v>
      </c>
      <c r="AW74" s="41"/>
      <c r="AX74" s="41">
        <v>1364</v>
      </c>
      <c r="AY74" s="54">
        <v>0</v>
      </c>
      <c r="AZ74" s="50">
        <v>0</v>
      </c>
      <c r="BA74" s="50">
        <v>5</v>
      </c>
      <c r="BB74" s="41">
        <v>0</v>
      </c>
      <c r="BC74" s="41">
        <f t="shared" si="58"/>
        <v>5</v>
      </c>
      <c r="BD74" s="41">
        <v>1374</v>
      </c>
      <c r="BF74" s="41">
        <v>1424</v>
      </c>
      <c r="BG74" s="50">
        <v>0</v>
      </c>
      <c r="BH74" s="41">
        <v>0</v>
      </c>
      <c r="BI74" s="50">
        <v>15</v>
      </c>
      <c r="BJ74" s="41">
        <v>0</v>
      </c>
      <c r="BK74" s="41">
        <f t="shared" si="52"/>
        <v>4</v>
      </c>
      <c r="BL74" s="41">
        <v>1443</v>
      </c>
      <c r="BM74" s="55"/>
      <c r="BN74" s="41">
        <v>1592</v>
      </c>
      <c r="BO74" s="50">
        <v>20</v>
      </c>
      <c r="BP74" s="50">
        <v>1</v>
      </c>
      <c r="BQ74" s="41">
        <v>0</v>
      </c>
      <c r="BR74" s="41">
        <v>0</v>
      </c>
      <c r="BS74" s="41">
        <f t="shared" si="46"/>
        <v>-7</v>
      </c>
      <c r="BT74" s="41">
        <v>1606</v>
      </c>
      <c r="BV74" s="41">
        <v>1651</v>
      </c>
      <c r="BW74" s="50">
        <v>27</v>
      </c>
      <c r="BX74" s="41">
        <f t="shared" si="53"/>
        <v>4</v>
      </c>
      <c r="BY74" s="41">
        <v>1682</v>
      </c>
      <c r="CA74" s="41">
        <v>1713</v>
      </c>
      <c r="CB74" s="50">
        <v>26</v>
      </c>
      <c r="CC74" s="41">
        <f t="shared" si="54"/>
        <v>4</v>
      </c>
      <c r="CD74" s="41">
        <v>1743</v>
      </c>
      <c r="CF74" s="41">
        <v>1719</v>
      </c>
      <c r="CG74" s="50">
        <v>25</v>
      </c>
      <c r="CH74" s="41">
        <v>0</v>
      </c>
      <c r="CI74" s="41">
        <f t="shared" si="55"/>
        <v>1744</v>
      </c>
      <c r="CJ74" s="41">
        <v>1723</v>
      </c>
      <c r="CK74" s="50">
        <v>20</v>
      </c>
      <c r="CL74" s="41">
        <f t="shared" si="47"/>
        <v>1743</v>
      </c>
      <c r="CM74" s="41">
        <v>1653</v>
      </c>
      <c r="CN74" s="50">
        <v>19</v>
      </c>
      <c r="CO74" s="41">
        <v>0</v>
      </c>
      <c r="CP74" s="41">
        <f t="shared" si="56"/>
        <v>1672</v>
      </c>
      <c r="CQ74" s="41">
        <v>1683</v>
      </c>
      <c r="CR74" s="50">
        <v>19</v>
      </c>
      <c r="CS74" s="41">
        <f t="shared" si="57"/>
        <v>1702</v>
      </c>
      <c r="CU74" s="39" t="s">
        <v>459</v>
      </c>
    </row>
    <row r="75" spans="1:99">
      <c r="A75" s="39" t="s">
        <v>63</v>
      </c>
      <c r="B75" s="39" t="s">
        <v>69</v>
      </c>
      <c r="C75" s="39" t="s">
        <v>2</v>
      </c>
      <c r="D75" s="56">
        <v>57385001051</v>
      </c>
      <c r="E75" s="68" t="s">
        <v>85</v>
      </c>
      <c r="H75" s="51">
        <v>1787</v>
      </c>
      <c r="I75" s="49">
        <v>0</v>
      </c>
      <c r="J75" s="49">
        <v>0</v>
      </c>
      <c r="K75" s="51">
        <f t="shared" si="48"/>
        <v>1787</v>
      </c>
      <c r="L75" s="51">
        <f t="shared" si="44"/>
        <v>-13</v>
      </c>
      <c r="M75" s="51">
        <v>1774</v>
      </c>
      <c r="N75" s="52"/>
      <c r="O75" s="41">
        <v>2125</v>
      </c>
      <c r="P75" s="50">
        <v>0</v>
      </c>
      <c r="Q75" s="50">
        <v>0</v>
      </c>
      <c r="R75" s="50">
        <v>0</v>
      </c>
      <c r="S75" s="41">
        <v>-84</v>
      </c>
      <c r="T75" s="41">
        <v>2041</v>
      </c>
      <c r="U75" s="41"/>
      <c r="V75" s="41">
        <v>2260</v>
      </c>
      <c r="W75" s="50">
        <v>0</v>
      </c>
      <c r="X75" s="50">
        <v>0</v>
      </c>
      <c r="Y75" s="41">
        <f t="shared" si="49"/>
        <v>60</v>
      </c>
      <c r="Z75" s="41">
        <v>2320</v>
      </c>
      <c r="AA75" s="41"/>
      <c r="AB75" s="41">
        <v>2565</v>
      </c>
      <c r="AC75" s="41">
        <v>0</v>
      </c>
      <c r="AD75" s="50">
        <v>0</v>
      </c>
      <c r="AE75" s="41">
        <v>0</v>
      </c>
      <c r="AF75" s="41">
        <v>0</v>
      </c>
      <c r="AG75" s="41">
        <f t="shared" si="45"/>
        <v>72</v>
      </c>
      <c r="AH75" s="41">
        <v>2637</v>
      </c>
      <c r="AI75" s="41"/>
      <c r="AJ75" s="41">
        <v>2245</v>
      </c>
      <c r="AK75" s="50">
        <v>3</v>
      </c>
      <c r="AL75" s="41">
        <v>67</v>
      </c>
      <c r="AM75" s="50">
        <v>1</v>
      </c>
      <c r="AN75" s="41">
        <f t="shared" si="50"/>
        <v>169</v>
      </c>
      <c r="AO75" s="41">
        <v>2485</v>
      </c>
      <c r="AP75" s="41"/>
      <c r="AQ75" s="53">
        <v>2326</v>
      </c>
      <c r="AR75" s="54">
        <v>0</v>
      </c>
      <c r="AS75" s="54">
        <v>25</v>
      </c>
      <c r="AT75" s="53">
        <v>20</v>
      </c>
      <c r="AU75" s="41">
        <f t="shared" si="51"/>
        <v>100</v>
      </c>
      <c r="AV75" s="41">
        <v>2471</v>
      </c>
      <c r="AW75" s="41"/>
      <c r="AX75" s="41">
        <v>2617</v>
      </c>
      <c r="AY75" s="54">
        <v>0</v>
      </c>
      <c r="AZ75" s="50">
        <v>0</v>
      </c>
      <c r="BA75" s="50">
        <v>4</v>
      </c>
      <c r="BB75" s="41">
        <v>0</v>
      </c>
      <c r="BC75" s="41">
        <f t="shared" si="58"/>
        <v>153</v>
      </c>
      <c r="BD75" s="41">
        <v>2774</v>
      </c>
      <c r="BF75" s="41">
        <v>2742</v>
      </c>
      <c r="BG75" s="50">
        <v>0</v>
      </c>
      <c r="BH75" s="41">
        <v>0</v>
      </c>
      <c r="BI75" s="50">
        <v>45</v>
      </c>
      <c r="BJ75" s="41">
        <v>0</v>
      </c>
      <c r="BK75" s="41">
        <f t="shared" si="52"/>
        <v>72</v>
      </c>
      <c r="BL75" s="41">
        <v>2859</v>
      </c>
      <c r="BM75" s="55"/>
      <c r="BN75" s="41">
        <v>3011</v>
      </c>
      <c r="BO75" s="50">
        <v>10</v>
      </c>
      <c r="BP75" s="50">
        <v>0</v>
      </c>
      <c r="BQ75" s="41">
        <v>0</v>
      </c>
      <c r="BR75" s="41">
        <v>0</v>
      </c>
      <c r="BS75" s="41">
        <f t="shared" si="46"/>
        <v>34</v>
      </c>
      <c r="BT75" s="41">
        <v>3055</v>
      </c>
      <c r="BV75" s="41">
        <v>3060</v>
      </c>
      <c r="BW75" s="50">
        <v>17</v>
      </c>
      <c r="BX75" s="41">
        <f t="shared" si="53"/>
        <v>73</v>
      </c>
      <c r="BY75" s="41">
        <v>3150</v>
      </c>
      <c r="CA75" s="41">
        <v>3089</v>
      </c>
      <c r="CB75" s="50">
        <v>9</v>
      </c>
      <c r="CC75" s="41">
        <f t="shared" si="54"/>
        <v>70</v>
      </c>
      <c r="CD75" s="41">
        <v>3168</v>
      </c>
      <c r="CF75" s="41">
        <v>3150</v>
      </c>
      <c r="CG75" s="50">
        <v>10</v>
      </c>
      <c r="CH75" s="41">
        <v>0</v>
      </c>
      <c r="CI75" s="41">
        <f t="shared" si="55"/>
        <v>3160</v>
      </c>
      <c r="CJ75" s="41">
        <v>3114</v>
      </c>
      <c r="CK75" s="50">
        <v>7</v>
      </c>
      <c r="CL75" s="41">
        <f t="shared" si="47"/>
        <v>3121</v>
      </c>
      <c r="CM75" s="41">
        <v>3119</v>
      </c>
      <c r="CN75" s="50">
        <v>5</v>
      </c>
      <c r="CO75" s="41">
        <v>0</v>
      </c>
      <c r="CP75" s="41">
        <f t="shared" si="56"/>
        <v>3124</v>
      </c>
      <c r="CQ75" s="41">
        <v>3202</v>
      </c>
      <c r="CR75" s="50">
        <v>3</v>
      </c>
      <c r="CS75" s="41">
        <f t="shared" si="57"/>
        <v>3205</v>
      </c>
      <c r="CU75" s="39" t="s">
        <v>460</v>
      </c>
    </row>
    <row r="76" spans="1:99">
      <c r="A76" s="39" t="s">
        <v>63</v>
      </c>
      <c r="B76" s="39" t="s">
        <v>69</v>
      </c>
      <c r="C76" s="39" t="s">
        <v>2</v>
      </c>
      <c r="D76" s="56">
        <v>97800501051</v>
      </c>
      <c r="E76" s="68" t="s">
        <v>86</v>
      </c>
      <c r="H76" s="51">
        <v>0</v>
      </c>
      <c r="I76" s="49">
        <v>0</v>
      </c>
      <c r="J76" s="49">
        <v>3700</v>
      </c>
      <c r="K76" s="51">
        <f t="shared" si="48"/>
        <v>3700</v>
      </c>
      <c r="L76" s="51">
        <f t="shared" si="44"/>
        <v>-3700</v>
      </c>
      <c r="M76" s="51">
        <v>0</v>
      </c>
      <c r="N76" s="52"/>
      <c r="O76" s="41">
        <v>0</v>
      </c>
      <c r="P76" s="50">
        <v>0</v>
      </c>
      <c r="Q76" s="50">
        <v>0</v>
      </c>
      <c r="R76" s="50">
        <v>0</v>
      </c>
      <c r="S76" s="41">
        <v>0</v>
      </c>
      <c r="T76" s="41">
        <v>0</v>
      </c>
      <c r="U76" s="41"/>
      <c r="V76" s="41">
        <v>0</v>
      </c>
      <c r="W76" s="50">
        <v>0</v>
      </c>
      <c r="X76" s="50">
        <v>0</v>
      </c>
      <c r="Y76" s="41">
        <f t="shared" si="49"/>
        <v>0</v>
      </c>
      <c r="Z76" s="41">
        <v>0</v>
      </c>
      <c r="AA76" s="41"/>
      <c r="AB76" s="41">
        <v>0</v>
      </c>
      <c r="AC76" s="41">
        <v>0</v>
      </c>
      <c r="AD76" s="50">
        <v>0</v>
      </c>
      <c r="AE76" s="41">
        <v>0</v>
      </c>
      <c r="AF76" s="41">
        <v>0</v>
      </c>
      <c r="AG76" s="41">
        <f t="shared" si="45"/>
        <v>0</v>
      </c>
      <c r="AH76" s="41">
        <v>0</v>
      </c>
      <c r="AI76" s="41"/>
      <c r="AJ76" s="41">
        <v>0</v>
      </c>
      <c r="AK76" s="50">
        <v>0</v>
      </c>
      <c r="AL76" s="41">
        <v>0</v>
      </c>
      <c r="AM76" s="50">
        <v>1400</v>
      </c>
      <c r="AN76" s="41">
        <f t="shared" si="50"/>
        <v>-1400</v>
      </c>
      <c r="AO76" s="41">
        <v>0</v>
      </c>
      <c r="AP76" s="41"/>
      <c r="AQ76" s="53">
        <v>0</v>
      </c>
      <c r="AR76" s="54">
        <v>0</v>
      </c>
      <c r="AS76" s="54">
        <v>0</v>
      </c>
      <c r="AT76" s="53">
        <v>0</v>
      </c>
      <c r="AU76" s="41">
        <f t="shared" si="51"/>
        <v>0</v>
      </c>
      <c r="AV76" s="41">
        <v>0</v>
      </c>
      <c r="AW76" s="41"/>
      <c r="AX76" s="41">
        <v>0</v>
      </c>
      <c r="AY76" s="54">
        <v>0</v>
      </c>
      <c r="AZ76" s="50">
        <v>0</v>
      </c>
      <c r="BA76" s="50">
        <v>0</v>
      </c>
      <c r="BB76" s="41">
        <v>0</v>
      </c>
      <c r="BC76" s="41">
        <f t="shared" si="58"/>
        <v>0</v>
      </c>
      <c r="BD76" s="41">
        <v>0</v>
      </c>
      <c r="BF76" s="41">
        <v>0</v>
      </c>
      <c r="BG76" s="50">
        <v>0</v>
      </c>
      <c r="BH76" s="41">
        <v>0</v>
      </c>
      <c r="BI76" s="50">
        <v>0</v>
      </c>
      <c r="BJ76" s="41">
        <v>0</v>
      </c>
      <c r="BK76" s="41">
        <f t="shared" si="52"/>
        <v>0</v>
      </c>
      <c r="BL76" s="41">
        <v>0</v>
      </c>
      <c r="BM76" s="55"/>
      <c r="BN76" s="41">
        <v>0</v>
      </c>
      <c r="BO76" s="50">
        <v>0</v>
      </c>
      <c r="BP76" s="50">
        <v>0</v>
      </c>
      <c r="BQ76" s="41">
        <v>0</v>
      </c>
      <c r="BR76" s="41">
        <v>0</v>
      </c>
      <c r="BS76" s="41">
        <f t="shared" si="46"/>
        <v>0</v>
      </c>
      <c r="BT76" s="41">
        <v>0</v>
      </c>
      <c r="BV76" s="41">
        <v>0</v>
      </c>
      <c r="BW76" s="50">
        <v>0</v>
      </c>
      <c r="BX76" s="41">
        <f t="shared" si="53"/>
        <v>0</v>
      </c>
      <c r="BY76" s="41">
        <v>0</v>
      </c>
      <c r="CA76" s="41">
        <v>0</v>
      </c>
      <c r="CB76" s="50">
        <v>0</v>
      </c>
      <c r="CC76" s="41">
        <f t="shared" si="54"/>
        <v>0</v>
      </c>
      <c r="CD76" s="41">
        <v>0</v>
      </c>
      <c r="CF76" s="41">
        <v>0</v>
      </c>
      <c r="CG76" s="50">
        <v>0</v>
      </c>
      <c r="CH76" s="41">
        <v>0</v>
      </c>
      <c r="CI76" s="41">
        <f t="shared" si="55"/>
        <v>0</v>
      </c>
      <c r="CJ76" s="41">
        <v>0</v>
      </c>
      <c r="CK76" s="50">
        <v>0</v>
      </c>
      <c r="CL76" s="41">
        <f t="shared" si="47"/>
        <v>0</v>
      </c>
      <c r="CM76" s="41">
        <v>0</v>
      </c>
      <c r="CN76" s="50">
        <v>0</v>
      </c>
      <c r="CO76" s="41">
        <v>0</v>
      </c>
      <c r="CP76" s="41">
        <f t="shared" si="56"/>
        <v>0</v>
      </c>
      <c r="CQ76" s="41">
        <v>0</v>
      </c>
      <c r="CR76" s="50">
        <v>0</v>
      </c>
      <c r="CS76" s="41">
        <f t="shared" si="57"/>
        <v>0</v>
      </c>
      <c r="CU76" s="39" t="s">
        <v>461</v>
      </c>
    </row>
    <row r="77" spans="1:99">
      <c r="A77" s="39" t="s">
        <v>63</v>
      </c>
      <c r="B77" s="39" t="s">
        <v>69</v>
      </c>
      <c r="C77" s="39" t="s">
        <v>2</v>
      </c>
      <c r="D77" s="57">
        <v>99880201051</v>
      </c>
      <c r="E77" s="71" t="s">
        <v>86</v>
      </c>
      <c r="H77" s="51">
        <v>0</v>
      </c>
      <c r="I77" s="49">
        <v>0</v>
      </c>
      <c r="J77" s="49">
        <v>0</v>
      </c>
      <c r="K77" s="51">
        <v>0</v>
      </c>
      <c r="L77" s="51">
        <v>0</v>
      </c>
      <c r="M77" s="51">
        <v>0</v>
      </c>
      <c r="N77" s="52"/>
      <c r="O77" s="41">
        <v>0</v>
      </c>
      <c r="P77" s="50">
        <v>0</v>
      </c>
      <c r="Q77" s="50">
        <v>0</v>
      </c>
      <c r="R77" s="50">
        <v>0</v>
      </c>
      <c r="S77" s="41">
        <v>0</v>
      </c>
      <c r="T77" s="41">
        <v>0</v>
      </c>
      <c r="U77" s="41"/>
      <c r="V77" s="41">
        <v>0</v>
      </c>
      <c r="W77" s="50">
        <v>0</v>
      </c>
      <c r="X77" s="50">
        <v>0</v>
      </c>
      <c r="Y77" s="41">
        <v>0</v>
      </c>
      <c r="Z77" s="41">
        <v>0</v>
      </c>
      <c r="AA77" s="41"/>
      <c r="AB77" s="41">
        <v>0</v>
      </c>
      <c r="AC77" s="41">
        <v>0</v>
      </c>
      <c r="AD77" s="50">
        <v>0</v>
      </c>
      <c r="AE77" s="41">
        <v>0</v>
      </c>
      <c r="AF77" s="41">
        <v>0</v>
      </c>
      <c r="AG77" s="41">
        <v>0</v>
      </c>
      <c r="AH77" s="41">
        <v>0</v>
      </c>
      <c r="AI77" s="41"/>
      <c r="AJ77" s="41">
        <v>0</v>
      </c>
      <c r="AK77" s="50">
        <v>0</v>
      </c>
      <c r="AL77" s="41">
        <v>0</v>
      </c>
      <c r="AM77" s="50">
        <v>0</v>
      </c>
      <c r="AN77" s="41">
        <v>0</v>
      </c>
      <c r="AO77" s="41">
        <v>0</v>
      </c>
      <c r="AP77" s="41"/>
      <c r="AQ77" s="53">
        <v>0</v>
      </c>
      <c r="AR77" s="54">
        <v>0</v>
      </c>
      <c r="AS77" s="54">
        <v>0</v>
      </c>
      <c r="AT77" s="53">
        <v>0</v>
      </c>
      <c r="AU77" s="41">
        <v>0</v>
      </c>
      <c r="AV77" s="41">
        <v>0</v>
      </c>
      <c r="AW77" s="41"/>
      <c r="AX77" s="41">
        <v>0</v>
      </c>
      <c r="AY77" s="54">
        <v>0</v>
      </c>
      <c r="AZ77" s="50">
        <v>0</v>
      </c>
      <c r="BA77" s="50">
        <v>0</v>
      </c>
      <c r="BB77" s="41">
        <v>0</v>
      </c>
      <c r="BC77" s="41">
        <v>0</v>
      </c>
      <c r="BD77" s="41">
        <v>0</v>
      </c>
      <c r="BF77" s="41">
        <v>0</v>
      </c>
      <c r="BG77" s="50">
        <v>0</v>
      </c>
      <c r="BH77" s="41">
        <v>0</v>
      </c>
      <c r="BI77" s="50">
        <v>534</v>
      </c>
      <c r="BJ77" s="41">
        <v>0</v>
      </c>
      <c r="BK77" s="41">
        <f>BL77-SUM(BF77:BJ77)</f>
        <v>-534</v>
      </c>
      <c r="BL77" s="41">
        <v>0</v>
      </c>
      <c r="BM77" s="55"/>
      <c r="BN77" s="41">
        <v>0</v>
      </c>
      <c r="BO77" s="50">
        <v>0</v>
      </c>
      <c r="BP77" s="50">
        <v>0</v>
      </c>
      <c r="BQ77" s="41">
        <v>0</v>
      </c>
      <c r="BR77" s="41">
        <v>0</v>
      </c>
      <c r="BS77" s="41">
        <f t="shared" si="46"/>
        <v>0</v>
      </c>
      <c r="BT77" s="41">
        <v>0</v>
      </c>
      <c r="BV77" s="41">
        <v>0</v>
      </c>
      <c r="BW77" s="50">
        <v>0</v>
      </c>
      <c r="BX77" s="41">
        <f t="shared" si="53"/>
        <v>0</v>
      </c>
      <c r="BY77" s="41">
        <v>0</v>
      </c>
      <c r="CA77" s="41">
        <v>0</v>
      </c>
      <c r="CB77" s="50">
        <v>0</v>
      </c>
      <c r="CC77" s="41">
        <f t="shared" si="54"/>
        <v>0</v>
      </c>
      <c r="CD77" s="41">
        <v>0</v>
      </c>
      <c r="CF77" s="41">
        <v>0</v>
      </c>
      <c r="CG77" s="50">
        <v>-127</v>
      </c>
      <c r="CH77" s="41">
        <v>0</v>
      </c>
      <c r="CI77" s="41">
        <f t="shared" si="55"/>
        <v>-127</v>
      </c>
      <c r="CJ77" s="41">
        <v>0</v>
      </c>
      <c r="CK77" s="50">
        <v>-53</v>
      </c>
      <c r="CL77" s="41">
        <f t="shared" si="47"/>
        <v>-53</v>
      </c>
      <c r="CM77" s="41">
        <v>88</v>
      </c>
      <c r="CN77" s="50">
        <v>0</v>
      </c>
      <c r="CO77" s="41">
        <v>0</v>
      </c>
      <c r="CP77" s="41">
        <f t="shared" si="56"/>
        <v>88</v>
      </c>
      <c r="CQ77" s="41">
        <v>300</v>
      </c>
      <c r="CR77" s="50">
        <v>0</v>
      </c>
      <c r="CS77" s="41">
        <f t="shared" si="57"/>
        <v>300</v>
      </c>
      <c r="CT77" s="59"/>
      <c r="CU77" s="44" t="s">
        <v>462</v>
      </c>
    </row>
    <row r="78" spans="1:99">
      <c r="A78" s="39" t="s">
        <v>63</v>
      </c>
      <c r="B78" s="39" t="s">
        <v>87</v>
      </c>
      <c r="C78" s="39" t="s">
        <v>88</v>
      </c>
      <c r="D78" s="56">
        <v>17051301051</v>
      </c>
      <c r="E78" s="70" t="s">
        <v>463</v>
      </c>
      <c r="H78" s="51"/>
      <c r="I78" s="49"/>
      <c r="J78" s="49"/>
      <c r="K78" s="51"/>
      <c r="L78" s="51"/>
      <c r="M78" s="51"/>
      <c r="N78" s="52"/>
      <c r="O78" s="41"/>
      <c r="P78" s="50"/>
      <c r="Q78" s="50"/>
      <c r="R78" s="50"/>
      <c r="S78" s="41"/>
      <c r="T78" s="41"/>
      <c r="U78" s="41"/>
      <c r="V78" s="41"/>
      <c r="W78" s="50"/>
      <c r="X78" s="50"/>
      <c r="Y78" s="41"/>
      <c r="Z78" s="41"/>
      <c r="AA78" s="41"/>
      <c r="AB78" s="41"/>
      <c r="AC78" s="41"/>
      <c r="AD78" s="50"/>
      <c r="AE78" s="41"/>
      <c r="AF78" s="41"/>
      <c r="AG78" s="41"/>
      <c r="AH78" s="41"/>
      <c r="AI78" s="41"/>
      <c r="AJ78" s="41"/>
      <c r="AK78" s="50"/>
      <c r="AL78" s="41"/>
      <c r="AM78" s="50"/>
      <c r="AN78" s="41"/>
      <c r="AO78" s="41"/>
      <c r="AP78" s="41"/>
      <c r="AQ78" s="53"/>
      <c r="AR78" s="54"/>
      <c r="AS78" s="54"/>
      <c r="AT78" s="53"/>
      <c r="AU78" s="41"/>
      <c r="AV78" s="41"/>
      <c r="AW78" s="41"/>
      <c r="AX78" s="41"/>
      <c r="AY78" s="54"/>
      <c r="BF78" s="41"/>
      <c r="BG78" s="50"/>
      <c r="BH78" s="41"/>
      <c r="BI78" s="50"/>
      <c r="BJ78" s="41"/>
      <c r="BK78" s="41"/>
      <c r="BL78" s="41"/>
      <c r="BM78" s="55"/>
      <c r="BN78" s="41"/>
      <c r="BO78" s="50"/>
      <c r="BP78" s="50"/>
      <c r="BQ78" s="41"/>
      <c r="BR78" s="41"/>
      <c r="BS78" s="41"/>
      <c r="BT78" s="41"/>
      <c r="BV78" s="41"/>
      <c r="BW78" s="50"/>
      <c r="BX78" s="41"/>
      <c r="BY78" s="41"/>
      <c r="CA78" s="41"/>
      <c r="CB78" s="50"/>
      <c r="CC78" s="41"/>
      <c r="CD78" s="41"/>
      <c r="CF78" s="41">
        <v>2379</v>
      </c>
      <c r="CG78" s="50">
        <v>0</v>
      </c>
      <c r="CH78" s="41">
        <v>0</v>
      </c>
      <c r="CI78" s="41">
        <f t="shared" si="55"/>
        <v>2379</v>
      </c>
      <c r="CJ78" s="41">
        <v>324</v>
      </c>
      <c r="CK78" s="50">
        <v>0</v>
      </c>
      <c r="CL78" s="41">
        <f t="shared" si="47"/>
        <v>324</v>
      </c>
      <c r="CM78" s="41">
        <v>540</v>
      </c>
      <c r="CN78" s="50">
        <v>0</v>
      </c>
      <c r="CO78" s="41">
        <v>0</v>
      </c>
      <c r="CP78" s="41">
        <f t="shared" si="56"/>
        <v>540</v>
      </c>
      <c r="CQ78" s="41">
        <v>0</v>
      </c>
      <c r="CR78" s="50">
        <v>0</v>
      </c>
      <c r="CS78" s="41">
        <f t="shared" si="57"/>
        <v>0</v>
      </c>
      <c r="CT78" s="44"/>
      <c r="CU78" s="39" t="s">
        <v>464</v>
      </c>
    </row>
    <row r="79" spans="1:99">
      <c r="A79" s="39" t="s">
        <v>63</v>
      </c>
      <c r="B79" s="39" t="s">
        <v>87</v>
      </c>
      <c r="C79" s="39" t="s">
        <v>88</v>
      </c>
      <c r="D79" s="56">
        <v>17110601051</v>
      </c>
      <c r="E79" s="68" t="s">
        <v>89</v>
      </c>
      <c r="H79" s="51">
        <v>2901</v>
      </c>
      <c r="I79" s="49">
        <v>0</v>
      </c>
      <c r="J79" s="49">
        <v>0</v>
      </c>
      <c r="K79" s="51">
        <f t="shared" si="48"/>
        <v>2901</v>
      </c>
      <c r="L79" s="51">
        <f t="shared" si="44"/>
        <v>61</v>
      </c>
      <c r="M79" s="51">
        <v>2962</v>
      </c>
      <c r="N79" s="52"/>
      <c r="O79" s="41">
        <v>3259</v>
      </c>
      <c r="P79" s="50">
        <v>260</v>
      </c>
      <c r="Q79" s="50">
        <v>202</v>
      </c>
      <c r="R79" s="50">
        <v>1936</v>
      </c>
      <c r="S79" s="41">
        <v>-135</v>
      </c>
      <c r="T79" s="41">
        <v>5522</v>
      </c>
      <c r="U79" s="41"/>
      <c r="V79" s="41">
        <v>3403</v>
      </c>
      <c r="W79" s="50">
        <v>1206</v>
      </c>
      <c r="X79" s="50">
        <v>1665</v>
      </c>
      <c r="Y79" s="41">
        <f t="shared" si="49"/>
        <v>337</v>
      </c>
      <c r="Z79" s="41">
        <v>6611</v>
      </c>
      <c r="AA79" s="41"/>
      <c r="AB79" s="41">
        <v>3575</v>
      </c>
      <c r="AC79" s="41">
        <v>-6</v>
      </c>
      <c r="AD79" s="50">
        <f>985-AE79</f>
        <v>982</v>
      </c>
      <c r="AE79" s="41">
        <v>3</v>
      </c>
      <c r="AF79" s="41">
        <v>0</v>
      </c>
      <c r="AG79" s="41">
        <f t="shared" si="45"/>
        <v>40</v>
      </c>
      <c r="AH79" s="41">
        <v>4594</v>
      </c>
      <c r="AI79" s="41"/>
      <c r="AJ79" s="41">
        <v>3650</v>
      </c>
      <c r="AK79" s="50">
        <v>1833</v>
      </c>
      <c r="AL79" s="41">
        <v>6</v>
      </c>
      <c r="AM79" s="50">
        <v>1640</v>
      </c>
      <c r="AN79" s="41">
        <f t="shared" si="50"/>
        <v>-67</v>
      </c>
      <c r="AO79" s="41">
        <v>7062</v>
      </c>
      <c r="AP79" s="41"/>
      <c r="AQ79" s="53">
        <v>3787</v>
      </c>
      <c r="AR79" s="54">
        <v>2689</v>
      </c>
      <c r="AS79" s="54">
        <v>1147</v>
      </c>
      <c r="AT79" s="53">
        <v>0</v>
      </c>
      <c r="AU79" s="41">
        <f t="shared" si="51"/>
        <v>-13</v>
      </c>
      <c r="AV79" s="41">
        <v>7610</v>
      </c>
      <c r="AW79" s="41"/>
      <c r="AX79" s="41">
        <v>4768</v>
      </c>
      <c r="AY79" s="54">
        <v>304</v>
      </c>
      <c r="AZ79" s="50">
        <v>3966</v>
      </c>
      <c r="BA79" s="50">
        <v>76</v>
      </c>
      <c r="BB79" s="41">
        <v>84</v>
      </c>
      <c r="BC79" s="41">
        <f t="shared" si="58"/>
        <v>55</v>
      </c>
      <c r="BD79" s="41">
        <v>9253</v>
      </c>
      <c r="BF79" s="41">
        <v>5508</v>
      </c>
      <c r="BG79" s="50">
        <v>3213</v>
      </c>
      <c r="BH79" s="41">
        <v>114</v>
      </c>
      <c r="BI79" s="50">
        <v>1034</v>
      </c>
      <c r="BJ79" s="41">
        <v>-54</v>
      </c>
      <c r="BK79" s="41">
        <f t="shared" si="52"/>
        <v>42</v>
      </c>
      <c r="BL79" s="41">
        <v>9857</v>
      </c>
      <c r="BM79" s="55"/>
      <c r="BN79" s="41">
        <v>5512</v>
      </c>
      <c r="BO79" s="50">
        <v>3909</v>
      </c>
      <c r="BP79" s="50">
        <v>772</v>
      </c>
      <c r="BQ79" s="41">
        <v>57</v>
      </c>
      <c r="BR79" s="41">
        <v>-32</v>
      </c>
      <c r="BS79" s="41">
        <f t="shared" si="46"/>
        <v>41</v>
      </c>
      <c r="BT79" s="41">
        <v>10259</v>
      </c>
      <c r="BV79" s="41">
        <v>5496</v>
      </c>
      <c r="BW79" s="50">
        <v>4298</v>
      </c>
      <c r="BX79" s="41">
        <f t="shared" si="53"/>
        <v>34</v>
      </c>
      <c r="BY79" s="41">
        <v>9828</v>
      </c>
      <c r="CA79" s="41">
        <v>5543</v>
      </c>
      <c r="CB79" s="50">
        <v>3538</v>
      </c>
      <c r="CC79" s="41">
        <f t="shared" si="54"/>
        <v>464</v>
      </c>
      <c r="CD79" s="41">
        <v>9545</v>
      </c>
      <c r="CF79" s="41">
        <v>5580</v>
      </c>
      <c r="CG79" s="50">
        <v>3811</v>
      </c>
      <c r="CH79" s="41">
        <v>0</v>
      </c>
      <c r="CI79" s="41">
        <f t="shared" si="55"/>
        <v>9391</v>
      </c>
      <c r="CJ79" s="41">
        <v>5398</v>
      </c>
      <c r="CK79" s="50">
        <v>3370</v>
      </c>
      <c r="CL79" s="41">
        <f t="shared" si="47"/>
        <v>8768</v>
      </c>
      <c r="CM79" s="41">
        <v>5610</v>
      </c>
      <c r="CN79" s="50">
        <v>1851</v>
      </c>
      <c r="CO79" s="41">
        <v>0</v>
      </c>
      <c r="CP79" s="41">
        <f t="shared" si="56"/>
        <v>7461</v>
      </c>
      <c r="CQ79" s="41">
        <v>5718</v>
      </c>
      <c r="CR79" s="50">
        <v>1373</v>
      </c>
      <c r="CS79" s="41">
        <f t="shared" si="57"/>
        <v>7091</v>
      </c>
      <c r="CU79" s="39" t="s">
        <v>465</v>
      </c>
    </row>
    <row r="80" spans="1:99">
      <c r="A80" s="39" t="s">
        <v>63</v>
      </c>
      <c r="B80" s="39" t="s">
        <v>87</v>
      </c>
      <c r="C80" s="39" t="s">
        <v>88</v>
      </c>
      <c r="D80" s="56">
        <v>17110701051</v>
      </c>
      <c r="E80" s="68" t="s">
        <v>90</v>
      </c>
      <c r="H80" s="51">
        <v>143</v>
      </c>
      <c r="I80" s="49">
        <v>0</v>
      </c>
      <c r="J80" s="49">
        <v>0</v>
      </c>
      <c r="K80" s="51">
        <f t="shared" si="48"/>
        <v>143</v>
      </c>
      <c r="L80" s="51">
        <f t="shared" si="44"/>
        <v>-4</v>
      </c>
      <c r="M80" s="51">
        <v>139</v>
      </c>
      <c r="N80" s="52"/>
      <c r="O80" s="41">
        <v>179</v>
      </c>
      <c r="P80" s="50">
        <v>0</v>
      </c>
      <c r="Q80" s="50">
        <v>0</v>
      </c>
      <c r="R80" s="50">
        <v>20</v>
      </c>
      <c r="S80" s="41">
        <v>20</v>
      </c>
      <c r="T80" s="41">
        <v>219</v>
      </c>
      <c r="U80" s="41"/>
      <c r="V80" s="41">
        <v>173</v>
      </c>
      <c r="W80" s="50">
        <v>16</v>
      </c>
      <c r="X80" s="50">
        <v>0</v>
      </c>
      <c r="Y80" s="41">
        <f t="shared" si="49"/>
        <v>0</v>
      </c>
      <c r="Z80" s="41">
        <v>189</v>
      </c>
      <c r="AA80" s="41"/>
      <c r="AB80" s="41">
        <v>187</v>
      </c>
      <c r="AC80" s="41">
        <v>0</v>
      </c>
      <c r="AD80" s="50">
        <v>25</v>
      </c>
      <c r="AE80" s="41">
        <v>0</v>
      </c>
      <c r="AF80" s="41">
        <v>0</v>
      </c>
      <c r="AG80" s="41">
        <f t="shared" si="45"/>
        <v>-11</v>
      </c>
      <c r="AH80" s="41">
        <v>201</v>
      </c>
      <c r="AI80" s="41"/>
      <c r="AJ80" s="41">
        <v>200</v>
      </c>
      <c r="AK80" s="50">
        <v>28</v>
      </c>
      <c r="AL80" s="41">
        <v>14</v>
      </c>
      <c r="AM80" s="50">
        <v>88</v>
      </c>
      <c r="AN80" s="41">
        <f t="shared" si="50"/>
        <v>1</v>
      </c>
      <c r="AO80" s="41">
        <v>331</v>
      </c>
      <c r="AP80" s="41"/>
      <c r="AQ80" s="53">
        <v>208</v>
      </c>
      <c r="AR80" s="54">
        <v>48</v>
      </c>
      <c r="AS80" s="54">
        <v>14</v>
      </c>
      <c r="AT80" s="53">
        <v>0</v>
      </c>
      <c r="AU80" s="41">
        <f t="shared" si="51"/>
        <v>0</v>
      </c>
      <c r="AV80" s="41">
        <v>270</v>
      </c>
      <c r="AW80" s="41"/>
      <c r="AX80" s="41">
        <v>208</v>
      </c>
      <c r="AY80" s="54">
        <v>0</v>
      </c>
      <c r="AZ80" s="50">
        <v>46</v>
      </c>
      <c r="BA80" s="50">
        <v>23</v>
      </c>
      <c r="BB80" s="41">
        <v>47</v>
      </c>
      <c r="BC80" s="41">
        <f t="shared" si="58"/>
        <v>22</v>
      </c>
      <c r="BD80" s="41">
        <v>346</v>
      </c>
      <c r="BF80" s="41">
        <v>212</v>
      </c>
      <c r="BG80" s="50">
        <v>47</v>
      </c>
      <c r="BH80" s="41">
        <v>40</v>
      </c>
      <c r="BI80" s="50">
        <v>31</v>
      </c>
      <c r="BJ80" s="41">
        <v>-1</v>
      </c>
      <c r="BK80" s="41">
        <f t="shared" si="52"/>
        <v>-1</v>
      </c>
      <c r="BL80" s="41">
        <v>328</v>
      </c>
      <c r="BM80" s="55"/>
      <c r="BN80" s="41">
        <v>223</v>
      </c>
      <c r="BO80" s="50">
        <v>87</v>
      </c>
      <c r="BP80" s="50">
        <v>0</v>
      </c>
      <c r="BQ80" s="41">
        <v>1</v>
      </c>
      <c r="BR80" s="41">
        <v>-2</v>
      </c>
      <c r="BS80" s="41">
        <f t="shared" si="46"/>
        <v>0</v>
      </c>
      <c r="BT80" s="41">
        <v>309</v>
      </c>
      <c r="BV80" s="41">
        <v>275</v>
      </c>
      <c r="BW80" s="50">
        <v>30</v>
      </c>
      <c r="BX80" s="41">
        <f t="shared" si="53"/>
        <v>-1</v>
      </c>
      <c r="BY80" s="41">
        <v>304</v>
      </c>
      <c r="CA80" s="41">
        <v>272</v>
      </c>
      <c r="CB80" s="50">
        <v>36</v>
      </c>
      <c r="CC80" s="41">
        <f t="shared" si="54"/>
        <v>0</v>
      </c>
      <c r="CD80" s="41">
        <v>308</v>
      </c>
      <c r="CF80" s="41">
        <v>256</v>
      </c>
      <c r="CG80" s="50">
        <v>23</v>
      </c>
      <c r="CH80" s="41">
        <v>0</v>
      </c>
      <c r="CI80" s="41">
        <f t="shared" si="55"/>
        <v>279</v>
      </c>
      <c r="CJ80" s="41">
        <v>255</v>
      </c>
      <c r="CK80" s="50">
        <v>13</v>
      </c>
      <c r="CL80" s="41">
        <f t="shared" si="47"/>
        <v>268</v>
      </c>
      <c r="CM80" s="41">
        <v>271</v>
      </c>
      <c r="CN80" s="50">
        <v>11</v>
      </c>
      <c r="CO80" s="41">
        <v>0</v>
      </c>
      <c r="CP80" s="41">
        <f t="shared" si="56"/>
        <v>282</v>
      </c>
      <c r="CQ80" s="41">
        <v>275</v>
      </c>
      <c r="CR80" s="50">
        <v>3</v>
      </c>
      <c r="CS80" s="41">
        <f t="shared" si="57"/>
        <v>278</v>
      </c>
      <c r="CU80" s="39" t="s">
        <v>466</v>
      </c>
    </row>
    <row r="81" spans="1:99">
      <c r="A81" s="39" t="s">
        <v>63</v>
      </c>
      <c r="B81" s="39" t="s">
        <v>87</v>
      </c>
      <c r="C81" s="39" t="s">
        <v>88</v>
      </c>
      <c r="D81" s="56"/>
      <c r="E81" s="68" t="s">
        <v>91</v>
      </c>
      <c r="H81" s="51">
        <v>67</v>
      </c>
      <c r="I81" s="49">
        <v>0</v>
      </c>
      <c r="J81" s="49">
        <v>0</v>
      </c>
      <c r="K81" s="51">
        <f t="shared" si="48"/>
        <v>67</v>
      </c>
      <c r="L81" s="51">
        <f t="shared" si="44"/>
        <v>0</v>
      </c>
      <c r="M81" s="51">
        <v>67</v>
      </c>
      <c r="N81" s="52"/>
      <c r="O81" s="41">
        <v>75</v>
      </c>
      <c r="P81" s="50">
        <v>0</v>
      </c>
      <c r="Q81" s="50">
        <v>0</v>
      </c>
      <c r="R81" s="50">
        <v>0</v>
      </c>
      <c r="S81" s="41">
        <v>0</v>
      </c>
      <c r="T81" s="41">
        <v>75</v>
      </c>
      <c r="U81" s="41"/>
      <c r="V81" s="41">
        <v>18</v>
      </c>
      <c r="W81" s="50">
        <v>0</v>
      </c>
      <c r="X81" s="50">
        <v>0</v>
      </c>
      <c r="Y81" s="41">
        <f t="shared" si="49"/>
        <v>0</v>
      </c>
      <c r="Z81" s="41">
        <v>18</v>
      </c>
      <c r="AA81" s="41"/>
      <c r="AB81" s="41">
        <v>0</v>
      </c>
      <c r="AC81" s="41">
        <v>0</v>
      </c>
      <c r="AD81" s="50">
        <v>0</v>
      </c>
      <c r="AE81" s="41">
        <v>0</v>
      </c>
      <c r="AF81" s="41">
        <v>0</v>
      </c>
      <c r="AG81" s="41">
        <f t="shared" si="45"/>
        <v>0</v>
      </c>
      <c r="AH81" s="41">
        <v>0</v>
      </c>
      <c r="AI81" s="41"/>
      <c r="AJ81" s="41">
        <v>0</v>
      </c>
      <c r="AK81" s="50">
        <v>0</v>
      </c>
      <c r="AL81" s="41">
        <v>0</v>
      </c>
      <c r="AM81" s="50">
        <v>0</v>
      </c>
      <c r="AN81" s="41">
        <f t="shared" si="50"/>
        <v>0</v>
      </c>
      <c r="AO81" s="41">
        <v>0</v>
      </c>
      <c r="AP81" s="41"/>
      <c r="AQ81" s="53">
        <v>0</v>
      </c>
      <c r="AR81" s="54">
        <v>0</v>
      </c>
      <c r="AS81" s="54">
        <v>0</v>
      </c>
      <c r="AT81" s="53">
        <v>0</v>
      </c>
      <c r="AU81" s="41">
        <f t="shared" si="51"/>
        <v>0</v>
      </c>
      <c r="AV81" s="41">
        <v>0</v>
      </c>
      <c r="AW81" s="41"/>
      <c r="AX81" s="41">
        <v>0</v>
      </c>
      <c r="AY81" s="54">
        <v>0</v>
      </c>
      <c r="AZ81" s="50">
        <v>0</v>
      </c>
      <c r="BA81" s="50">
        <v>0</v>
      </c>
      <c r="BB81" s="41">
        <v>0</v>
      </c>
      <c r="BC81" s="41">
        <f t="shared" si="58"/>
        <v>0</v>
      </c>
      <c r="BD81" s="41">
        <v>0</v>
      </c>
      <c r="BF81" s="41">
        <v>0</v>
      </c>
      <c r="BG81" s="50">
        <v>0</v>
      </c>
      <c r="BH81" s="41">
        <v>0</v>
      </c>
      <c r="BI81" s="50">
        <v>0</v>
      </c>
      <c r="BJ81" s="41">
        <v>0</v>
      </c>
      <c r="BK81" s="41">
        <f t="shared" si="52"/>
        <v>0</v>
      </c>
      <c r="BL81" s="41">
        <v>0</v>
      </c>
      <c r="BM81" s="55"/>
      <c r="BN81" s="41">
        <v>0</v>
      </c>
      <c r="BO81" s="50">
        <v>0</v>
      </c>
      <c r="BP81" s="50">
        <v>0</v>
      </c>
      <c r="BQ81" s="41">
        <v>0</v>
      </c>
      <c r="BR81" s="41">
        <v>0</v>
      </c>
      <c r="BS81" s="41">
        <f t="shared" si="46"/>
        <v>0</v>
      </c>
      <c r="BT81" s="41">
        <v>0</v>
      </c>
      <c r="BV81" s="41">
        <v>0</v>
      </c>
      <c r="BW81" s="50">
        <v>0</v>
      </c>
      <c r="BX81" s="41">
        <f t="shared" si="53"/>
        <v>0</v>
      </c>
      <c r="BY81" s="41">
        <v>0</v>
      </c>
      <c r="CA81" s="41">
        <v>0</v>
      </c>
      <c r="CB81" s="50">
        <v>0</v>
      </c>
      <c r="CC81" s="41">
        <f t="shared" si="54"/>
        <v>0</v>
      </c>
      <c r="CD81" s="41">
        <v>0</v>
      </c>
      <c r="CF81" s="41">
        <v>0</v>
      </c>
      <c r="CG81" s="50">
        <v>0</v>
      </c>
      <c r="CH81" s="41">
        <v>0</v>
      </c>
      <c r="CI81" s="41">
        <f t="shared" si="55"/>
        <v>0</v>
      </c>
      <c r="CJ81" s="41">
        <v>0</v>
      </c>
      <c r="CK81" s="50">
        <v>0</v>
      </c>
      <c r="CL81" s="41">
        <f t="shared" si="47"/>
        <v>0</v>
      </c>
      <c r="CM81" s="41">
        <v>0</v>
      </c>
      <c r="CN81" s="50">
        <v>0</v>
      </c>
      <c r="CO81" s="41">
        <v>0</v>
      </c>
      <c r="CP81" s="41">
        <f t="shared" si="56"/>
        <v>0</v>
      </c>
      <c r="CQ81" s="41">
        <v>0</v>
      </c>
      <c r="CR81" s="50">
        <v>0</v>
      </c>
      <c r="CS81" s="41">
        <f t="shared" si="57"/>
        <v>0</v>
      </c>
    </row>
    <row r="82" spans="1:99">
      <c r="A82" s="39" t="s">
        <v>63</v>
      </c>
      <c r="B82" s="39" t="s">
        <v>87</v>
      </c>
      <c r="C82" s="39" t="s">
        <v>88</v>
      </c>
      <c r="D82" s="56"/>
      <c r="E82" s="72" t="s">
        <v>92</v>
      </c>
      <c r="H82" s="51">
        <v>0</v>
      </c>
      <c r="I82" s="49">
        <v>0</v>
      </c>
      <c r="J82" s="49">
        <v>0</v>
      </c>
      <c r="K82" s="51">
        <f t="shared" si="48"/>
        <v>0</v>
      </c>
      <c r="L82" s="51">
        <f t="shared" si="44"/>
        <v>0</v>
      </c>
      <c r="M82" s="51">
        <v>0</v>
      </c>
      <c r="N82" s="52"/>
      <c r="O82" s="41">
        <v>0</v>
      </c>
      <c r="P82" s="50">
        <v>0</v>
      </c>
      <c r="Q82" s="50">
        <v>0</v>
      </c>
      <c r="R82" s="50">
        <v>0</v>
      </c>
      <c r="S82" s="41">
        <v>75</v>
      </c>
      <c r="T82" s="41">
        <v>75</v>
      </c>
      <c r="U82" s="41"/>
      <c r="V82" s="41">
        <v>18</v>
      </c>
      <c r="W82" s="50">
        <v>0</v>
      </c>
      <c r="X82" s="50">
        <v>0</v>
      </c>
      <c r="Y82" s="41">
        <f t="shared" si="49"/>
        <v>0</v>
      </c>
      <c r="Z82" s="41">
        <v>18</v>
      </c>
      <c r="AA82" s="41"/>
      <c r="AB82" s="41">
        <v>0</v>
      </c>
      <c r="AC82" s="41">
        <v>0</v>
      </c>
      <c r="AD82" s="50">
        <v>0</v>
      </c>
      <c r="AE82" s="41">
        <v>0</v>
      </c>
      <c r="AF82" s="41">
        <v>0</v>
      </c>
      <c r="AG82" s="41">
        <f t="shared" si="45"/>
        <v>0</v>
      </c>
      <c r="AH82" s="41">
        <v>0</v>
      </c>
      <c r="AI82" s="41"/>
      <c r="AJ82" s="41">
        <v>0</v>
      </c>
      <c r="AK82" s="50">
        <v>0</v>
      </c>
      <c r="AL82" s="41">
        <v>0</v>
      </c>
      <c r="AM82" s="50">
        <v>0</v>
      </c>
      <c r="AN82" s="41">
        <f t="shared" si="50"/>
        <v>0</v>
      </c>
      <c r="AO82" s="41">
        <v>0</v>
      </c>
      <c r="AP82" s="41"/>
      <c r="AQ82" s="53">
        <v>0</v>
      </c>
      <c r="AR82" s="54">
        <v>0</v>
      </c>
      <c r="AS82" s="54">
        <v>0</v>
      </c>
      <c r="AT82" s="53">
        <v>0</v>
      </c>
      <c r="AU82" s="41">
        <f t="shared" si="51"/>
        <v>0</v>
      </c>
      <c r="AV82" s="41">
        <v>0</v>
      </c>
      <c r="AW82" s="41"/>
      <c r="AX82" s="41">
        <v>0</v>
      </c>
      <c r="AY82" s="54">
        <v>0</v>
      </c>
      <c r="AZ82" s="50">
        <v>0</v>
      </c>
      <c r="BA82" s="50">
        <v>0</v>
      </c>
      <c r="BB82" s="41">
        <v>0</v>
      </c>
      <c r="BC82" s="41">
        <f t="shared" si="58"/>
        <v>0</v>
      </c>
      <c r="BD82" s="41">
        <v>0</v>
      </c>
      <c r="BF82" s="41">
        <v>0</v>
      </c>
      <c r="BG82" s="50">
        <v>0</v>
      </c>
      <c r="BH82" s="41">
        <v>0</v>
      </c>
      <c r="BI82" s="50">
        <v>0</v>
      </c>
      <c r="BJ82" s="41">
        <v>0</v>
      </c>
      <c r="BK82" s="41">
        <f t="shared" si="52"/>
        <v>0</v>
      </c>
      <c r="BL82" s="41">
        <v>0</v>
      </c>
      <c r="BM82" s="55"/>
      <c r="BN82" s="41">
        <v>0</v>
      </c>
      <c r="BO82" s="50">
        <v>0</v>
      </c>
      <c r="BP82" s="50">
        <v>0</v>
      </c>
      <c r="BQ82" s="41">
        <v>0</v>
      </c>
      <c r="BR82" s="41">
        <v>0</v>
      </c>
      <c r="BS82" s="41">
        <f t="shared" si="46"/>
        <v>0</v>
      </c>
      <c r="BT82" s="41">
        <v>0</v>
      </c>
      <c r="BV82" s="41">
        <v>0</v>
      </c>
      <c r="BW82" s="50">
        <v>0</v>
      </c>
      <c r="BX82" s="41">
        <f t="shared" si="53"/>
        <v>0</v>
      </c>
      <c r="BY82" s="41">
        <v>0</v>
      </c>
      <c r="CA82" s="41">
        <v>0</v>
      </c>
      <c r="CB82" s="50">
        <v>0</v>
      </c>
      <c r="CC82" s="41">
        <f t="shared" si="54"/>
        <v>0</v>
      </c>
      <c r="CD82" s="41">
        <v>0</v>
      </c>
      <c r="CF82" s="41">
        <v>0</v>
      </c>
      <c r="CG82" s="50">
        <v>0</v>
      </c>
      <c r="CH82" s="41">
        <v>0</v>
      </c>
      <c r="CI82" s="41">
        <f t="shared" si="55"/>
        <v>0</v>
      </c>
      <c r="CJ82" s="41">
        <v>0</v>
      </c>
      <c r="CK82" s="50">
        <v>0</v>
      </c>
      <c r="CL82" s="41">
        <f t="shared" si="47"/>
        <v>0</v>
      </c>
      <c r="CM82" s="41">
        <v>0</v>
      </c>
      <c r="CN82" s="50">
        <v>0</v>
      </c>
      <c r="CO82" s="41">
        <v>0</v>
      </c>
      <c r="CP82" s="41">
        <f t="shared" si="56"/>
        <v>0</v>
      </c>
      <c r="CQ82" s="41">
        <v>0</v>
      </c>
      <c r="CR82" s="50">
        <v>0</v>
      </c>
      <c r="CS82" s="41">
        <f t="shared" si="57"/>
        <v>0</v>
      </c>
      <c r="CT82" s="60"/>
    </row>
    <row r="83" spans="1:99">
      <c r="A83" s="39" t="s">
        <v>63</v>
      </c>
      <c r="B83" s="39" t="s">
        <v>87</v>
      </c>
      <c r="C83" s="39" t="s">
        <v>88</v>
      </c>
      <c r="D83" s="56">
        <v>17180401051</v>
      </c>
      <c r="E83" s="68" t="s">
        <v>93</v>
      </c>
      <c r="H83" s="51">
        <v>26662</v>
      </c>
      <c r="I83" s="49">
        <v>0</v>
      </c>
      <c r="J83" s="49">
        <v>37</v>
      </c>
      <c r="K83" s="51">
        <f t="shared" si="48"/>
        <v>26699</v>
      </c>
      <c r="L83" s="51">
        <f t="shared" si="44"/>
        <v>1667</v>
      </c>
      <c r="M83" s="51">
        <v>28366</v>
      </c>
      <c r="N83" s="52"/>
      <c r="O83" s="41">
        <v>28434</v>
      </c>
      <c r="P83" s="50">
        <v>608</v>
      </c>
      <c r="Q83" s="50">
        <v>436</v>
      </c>
      <c r="R83" s="50">
        <v>5898</v>
      </c>
      <c r="S83" s="41">
        <v>134</v>
      </c>
      <c r="T83" s="41">
        <v>35510</v>
      </c>
      <c r="U83" s="41"/>
      <c r="V83" s="41">
        <v>27590</v>
      </c>
      <c r="W83" s="50">
        <v>1964</v>
      </c>
      <c r="X83" s="50">
        <v>367</v>
      </c>
      <c r="Y83" s="41">
        <f t="shared" si="49"/>
        <v>629</v>
      </c>
      <c r="Z83" s="41">
        <v>30550</v>
      </c>
      <c r="AA83" s="41"/>
      <c r="AB83" s="41">
        <f>29081</f>
        <v>29081</v>
      </c>
      <c r="AC83" s="41">
        <v>458</v>
      </c>
      <c r="AD83" s="50">
        <f>3155-AE83</f>
        <v>3031</v>
      </c>
      <c r="AE83" s="41">
        <v>124</v>
      </c>
      <c r="AF83" s="41">
        <v>0</v>
      </c>
      <c r="AG83" s="41">
        <f t="shared" si="45"/>
        <v>619</v>
      </c>
      <c r="AH83" s="41">
        <v>33313</v>
      </c>
      <c r="AI83" s="41"/>
      <c r="AJ83" s="41">
        <v>29482</v>
      </c>
      <c r="AK83" s="50">
        <v>1810</v>
      </c>
      <c r="AL83" s="41">
        <v>493</v>
      </c>
      <c r="AM83" s="50">
        <v>2697</v>
      </c>
      <c r="AN83" s="41">
        <f t="shared" si="50"/>
        <v>784</v>
      </c>
      <c r="AO83" s="41">
        <v>35266</v>
      </c>
      <c r="AP83" s="41"/>
      <c r="AQ83" s="53">
        <v>30766</v>
      </c>
      <c r="AR83" s="54">
        <v>1525</v>
      </c>
      <c r="AS83" s="54">
        <v>4557</v>
      </c>
      <c r="AT83" s="53">
        <v>0</v>
      </c>
      <c r="AU83" s="41">
        <f t="shared" si="51"/>
        <v>519</v>
      </c>
      <c r="AV83" s="41">
        <v>37367</v>
      </c>
      <c r="AW83" s="41"/>
      <c r="AX83" s="41">
        <v>32924</v>
      </c>
      <c r="AY83" s="54">
        <v>28</v>
      </c>
      <c r="AZ83" s="50">
        <v>3554</v>
      </c>
      <c r="BA83" s="50">
        <v>2083</v>
      </c>
      <c r="BB83" s="41">
        <v>782</v>
      </c>
      <c r="BC83" s="41">
        <f t="shared" si="58"/>
        <v>448</v>
      </c>
      <c r="BD83" s="41">
        <v>39819</v>
      </c>
      <c r="BF83" s="41">
        <v>34770</v>
      </c>
      <c r="BG83" s="50">
        <v>3445</v>
      </c>
      <c r="BH83" s="41">
        <v>657</v>
      </c>
      <c r="BI83" s="50">
        <v>2275</v>
      </c>
      <c r="BJ83" s="41">
        <v>-881</v>
      </c>
      <c r="BK83" s="41">
        <f t="shared" si="52"/>
        <v>312</v>
      </c>
      <c r="BL83" s="41">
        <v>40578</v>
      </c>
      <c r="BM83" s="55"/>
      <c r="BN83" s="41">
        <v>34971</v>
      </c>
      <c r="BO83" s="50">
        <v>5674</v>
      </c>
      <c r="BP83" s="50">
        <v>1832</v>
      </c>
      <c r="BQ83" s="41">
        <v>903</v>
      </c>
      <c r="BR83" s="41">
        <v>-189</v>
      </c>
      <c r="BS83" s="41">
        <f t="shared" si="46"/>
        <v>-11</v>
      </c>
      <c r="BT83" s="41">
        <v>43180</v>
      </c>
      <c r="BV83" s="41">
        <v>38039</v>
      </c>
      <c r="BW83" s="50">
        <v>9074</v>
      </c>
      <c r="BX83" s="41">
        <f t="shared" si="53"/>
        <v>-150</v>
      </c>
      <c r="BY83" s="41">
        <v>46963</v>
      </c>
      <c r="CA83" s="41">
        <v>38121</v>
      </c>
      <c r="CB83" s="50">
        <v>7518</v>
      </c>
      <c r="CC83" s="41">
        <f t="shared" si="54"/>
        <v>1358</v>
      </c>
      <c r="CD83" s="41">
        <v>46997</v>
      </c>
      <c r="CF83" s="41">
        <v>38531</v>
      </c>
      <c r="CG83" s="50">
        <v>5415</v>
      </c>
      <c r="CH83" s="41">
        <v>38</v>
      </c>
      <c r="CI83" s="41">
        <f t="shared" si="55"/>
        <v>43984</v>
      </c>
      <c r="CJ83" s="41">
        <v>35869</v>
      </c>
      <c r="CK83" s="50">
        <v>8471</v>
      </c>
      <c r="CL83" s="41">
        <f t="shared" si="47"/>
        <v>44340</v>
      </c>
      <c r="CM83" s="41">
        <v>37591</v>
      </c>
      <c r="CN83" s="50">
        <v>6254</v>
      </c>
      <c r="CO83" s="41">
        <v>0</v>
      </c>
      <c r="CP83" s="41">
        <f t="shared" si="56"/>
        <v>43845</v>
      </c>
      <c r="CQ83" s="41">
        <v>39599</v>
      </c>
      <c r="CR83" s="50">
        <v>7170</v>
      </c>
      <c r="CS83" s="41">
        <f t="shared" si="57"/>
        <v>46769</v>
      </c>
      <c r="CU83" s="39" t="s">
        <v>467</v>
      </c>
    </row>
    <row r="84" spans="1:99">
      <c r="A84" s="39" t="s">
        <v>63</v>
      </c>
      <c r="B84" s="39" t="s">
        <v>87</v>
      </c>
      <c r="C84" s="39" t="s">
        <v>88</v>
      </c>
      <c r="D84" s="56">
        <v>17180601051</v>
      </c>
      <c r="E84" s="68" t="s">
        <v>94</v>
      </c>
      <c r="H84" s="51">
        <v>997</v>
      </c>
      <c r="I84" s="49">
        <v>0</v>
      </c>
      <c r="J84" s="49">
        <v>0</v>
      </c>
      <c r="K84" s="51">
        <f t="shared" si="48"/>
        <v>997</v>
      </c>
      <c r="L84" s="51">
        <f t="shared" si="44"/>
        <v>21</v>
      </c>
      <c r="M84" s="51">
        <v>1018</v>
      </c>
      <c r="N84" s="52"/>
      <c r="O84" s="41">
        <v>1134</v>
      </c>
      <c r="P84" s="50">
        <v>74</v>
      </c>
      <c r="Q84" s="50">
        <v>0</v>
      </c>
      <c r="R84" s="50">
        <v>7</v>
      </c>
      <c r="S84" s="41">
        <v>29</v>
      </c>
      <c r="T84" s="41">
        <v>1244</v>
      </c>
      <c r="U84" s="41"/>
      <c r="V84" s="41">
        <v>1167</v>
      </c>
      <c r="W84" s="50">
        <v>0</v>
      </c>
      <c r="X84" s="50">
        <v>0</v>
      </c>
      <c r="Y84" s="41">
        <f t="shared" si="49"/>
        <v>8</v>
      </c>
      <c r="Z84" s="41">
        <v>1175</v>
      </c>
      <c r="AA84" s="41"/>
      <c r="AB84" s="41">
        <v>1235</v>
      </c>
      <c r="AC84" s="41">
        <v>1</v>
      </c>
      <c r="AD84" s="50">
        <v>75</v>
      </c>
      <c r="AE84" s="41">
        <v>0</v>
      </c>
      <c r="AF84" s="41">
        <v>0</v>
      </c>
      <c r="AG84" s="41">
        <f t="shared" si="45"/>
        <v>58</v>
      </c>
      <c r="AH84" s="41">
        <v>1369</v>
      </c>
      <c r="AI84" s="41"/>
      <c r="AJ84" s="41">
        <v>1230</v>
      </c>
      <c r="AK84" s="50">
        <v>6</v>
      </c>
      <c r="AL84" s="41">
        <v>421</v>
      </c>
      <c r="AM84" s="50">
        <v>79</v>
      </c>
      <c r="AN84" s="41">
        <f t="shared" si="50"/>
        <v>-264</v>
      </c>
      <c r="AO84" s="41">
        <v>1472</v>
      </c>
      <c r="AP84" s="41"/>
      <c r="AQ84" s="53">
        <v>1270</v>
      </c>
      <c r="AR84" s="54">
        <v>10</v>
      </c>
      <c r="AS84" s="54">
        <v>111</v>
      </c>
      <c r="AT84" s="53">
        <v>0</v>
      </c>
      <c r="AU84" s="41">
        <f t="shared" si="51"/>
        <v>9</v>
      </c>
      <c r="AV84" s="41">
        <v>1400</v>
      </c>
      <c r="AW84" s="41"/>
      <c r="AX84" s="41">
        <v>1142</v>
      </c>
      <c r="AY84" s="54">
        <v>0</v>
      </c>
      <c r="AZ84" s="50">
        <v>42</v>
      </c>
      <c r="BA84" s="50">
        <v>38</v>
      </c>
      <c r="BB84" s="41">
        <v>72</v>
      </c>
      <c r="BC84" s="41">
        <f t="shared" si="58"/>
        <v>9</v>
      </c>
      <c r="BD84" s="41">
        <v>1303</v>
      </c>
      <c r="BF84" s="41">
        <v>1305</v>
      </c>
      <c r="BG84" s="50">
        <v>42</v>
      </c>
      <c r="BH84" s="41">
        <v>55</v>
      </c>
      <c r="BI84" s="50">
        <v>26</v>
      </c>
      <c r="BJ84" s="41">
        <v>-63</v>
      </c>
      <c r="BK84" s="41">
        <f t="shared" si="52"/>
        <v>9</v>
      </c>
      <c r="BL84" s="41">
        <v>1374</v>
      </c>
      <c r="BM84" s="55"/>
      <c r="BN84" s="41">
        <v>1281</v>
      </c>
      <c r="BO84" s="50">
        <v>68</v>
      </c>
      <c r="BP84" s="50">
        <v>17</v>
      </c>
      <c r="BQ84" s="41">
        <v>59</v>
      </c>
      <c r="BR84" s="41">
        <v>-14</v>
      </c>
      <c r="BS84" s="41">
        <f t="shared" si="46"/>
        <v>-1</v>
      </c>
      <c r="BT84" s="41">
        <v>1410</v>
      </c>
      <c r="BV84" s="41">
        <v>1344</v>
      </c>
      <c r="BW84" s="50">
        <v>94</v>
      </c>
      <c r="BX84" s="41">
        <f t="shared" si="53"/>
        <v>9</v>
      </c>
      <c r="BY84" s="41">
        <v>1447</v>
      </c>
      <c r="CA84" s="41">
        <v>1305</v>
      </c>
      <c r="CB84" s="50">
        <v>74</v>
      </c>
      <c r="CC84" s="41">
        <f t="shared" si="54"/>
        <v>1</v>
      </c>
      <c r="CD84" s="41">
        <v>1380</v>
      </c>
      <c r="CF84" s="41">
        <v>1153</v>
      </c>
      <c r="CG84" s="50">
        <v>51</v>
      </c>
      <c r="CH84" s="41">
        <v>0</v>
      </c>
      <c r="CI84" s="41">
        <f t="shared" si="55"/>
        <v>1204</v>
      </c>
      <c r="CJ84" s="41">
        <v>1158</v>
      </c>
      <c r="CK84" s="50">
        <v>56</v>
      </c>
      <c r="CL84" s="41">
        <f t="shared" ref="CL84:CL117" si="59">SUM(CJ84:CK84)</f>
        <v>1214</v>
      </c>
      <c r="CM84" s="41">
        <v>1021</v>
      </c>
      <c r="CN84" s="50">
        <v>46</v>
      </c>
      <c r="CO84" s="41">
        <v>0</v>
      </c>
      <c r="CP84" s="41">
        <f t="shared" si="56"/>
        <v>1067</v>
      </c>
      <c r="CQ84" s="41">
        <v>998</v>
      </c>
      <c r="CR84" s="50">
        <v>32</v>
      </c>
      <c r="CS84" s="41">
        <f t="shared" si="57"/>
        <v>1030</v>
      </c>
      <c r="CU84" s="39" t="s">
        <v>468</v>
      </c>
    </row>
    <row r="85" spans="1:99">
      <c r="A85" s="39" t="s">
        <v>63</v>
      </c>
      <c r="B85" s="39" t="s">
        <v>87</v>
      </c>
      <c r="C85" s="39" t="s">
        <v>88</v>
      </c>
      <c r="D85" s="56">
        <v>21202001051</v>
      </c>
      <c r="E85" s="68" t="s">
        <v>95</v>
      </c>
      <c r="H85" s="51">
        <v>21975</v>
      </c>
      <c r="I85" s="49">
        <v>0</v>
      </c>
      <c r="J85" s="49">
        <v>107</v>
      </c>
      <c r="K85" s="51">
        <f t="shared" si="48"/>
        <v>22082</v>
      </c>
      <c r="L85" s="51">
        <f t="shared" si="44"/>
        <v>3470</v>
      </c>
      <c r="M85" s="51">
        <v>25552</v>
      </c>
      <c r="N85" s="52"/>
      <c r="O85" s="41">
        <v>23623</v>
      </c>
      <c r="P85" s="50">
        <v>128</v>
      </c>
      <c r="Q85" s="50">
        <v>1340</v>
      </c>
      <c r="R85" s="50">
        <v>18084</v>
      </c>
      <c r="S85" s="41">
        <v>758</v>
      </c>
      <c r="T85" s="41">
        <v>43933</v>
      </c>
      <c r="U85" s="41"/>
      <c r="V85" s="41">
        <v>24522</v>
      </c>
      <c r="W85" s="50">
        <v>24144</v>
      </c>
      <c r="X85" s="50">
        <v>13550</v>
      </c>
      <c r="Y85" s="41">
        <f t="shared" si="49"/>
        <v>2811</v>
      </c>
      <c r="Z85" s="41">
        <v>65027</v>
      </c>
      <c r="AA85" s="41"/>
      <c r="AB85" s="41">
        <v>25288</v>
      </c>
      <c r="AC85" s="41">
        <v>2</v>
      </c>
      <c r="AD85" s="50">
        <v>17480</v>
      </c>
      <c r="AE85" s="41">
        <v>0</v>
      </c>
      <c r="AF85" s="41">
        <v>0</v>
      </c>
      <c r="AG85" s="41">
        <f t="shared" si="45"/>
        <v>2822</v>
      </c>
      <c r="AH85" s="41">
        <v>45592</v>
      </c>
      <c r="AI85" s="41"/>
      <c r="AJ85" s="41">
        <v>23650</v>
      </c>
      <c r="AK85" s="50">
        <v>21349</v>
      </c>
      <c r="AL85" s="41">
        <v>133</v>
      </c>
      <c r="AM85" s="50">
        <v>17744</v>
      </c>
      <c r="AN85" s="41">
        <f t="shared" si="50"/>
        <v>361</v>
      </c>
      <c r="AO85" s="41">
        <v>63237</v>
      </c>
      <c r="AP85" s="41"/>
      <c r="AQ85" s="53">
        <v>24052</v>
      </c>
      <c r="AR85" s="54">
        <v>28364</v>
      </c>
      <c r="AS85" s="54">
        <v>20373</v>
      </c>
      <c r="AT85" s="53">
        <v>0</v>
      </c>
      <c r="AU85" s="41">
        <f t="shared" si="51"/>
        <v>-539</v>
      </c>
      <c r="AV85" s="41">
        <v>72250</v>
      </c>
      <c r="AW85" s="41"/>
      <c r="AX85" s="41">
        <v>27226</v>
      </c>
      <c r="AY85" s="54">
        <v>538</v>
      </c>
      <c r="AZ85" s="50">
        <v>35152</v>
      </c>
      <c r="BA85" s="50">
        <v>16581</v>
      </c>
      <c r="BB85" s="41">
        <v>643</v>
      </c>
      <c r="BC85" s="41">
        <f t="shared" si="58"/>
        <v>926</v>
      </c>
      <c r="BD85" s="41">
        <v>81066</v>
      </c>
      <c r="BF85" s="41">
        <v>31196</v>
      </c>
      <c r="BG85" s="50">
        <v>38403</v>
      </c>
      <c r="BH85" s="41">
        <v>1475</v>
      </c>
      <c r="BI85" s="50">
        <v>13769</v>
      </c>
      <c r="BJ85" s="41">
        <v>-352</v>
      </c>
      <c r="BK85" s="41">
        <f t="shared" si="52"/>
        <v>-873</v>
      </c>
      <c r="BL85" s="41">
        <v>83618</v>
      </c>
      <c r="BM85" s="55"/>
      <c r="BN85" s="41">
        <v>31558</v>
      </c>
      <c r="BO85" s="50">
        <v>49146</v>
      </c>
      <c r="BP85" s="50">
        <v>11333</v>
      </c>
      <c r="BQ85" s="41">
        <v>387</v>
      </c>
      <c r="BR85" s="41">
        <v>-268</v>
      </c>
      <c r="BS85" s="41">
        <f t="shared" si="46"/>
        <v>-327</v>
      </c>
      <c r="BT85" s="41">
        <v>91829</v>
      </c>
      <c r="BV85" s="41">
        <v>33334</v>
      </c>
      <c r="BW85" s="50">
        <v>59350</v>
      </c>
      <c r="BX85" s="41">
        <f t="shared" si="53"/>
        <v>-2266</v>
      </c>
      <c r="BY85" s="41">
        <v>90418</v>
      </c>
      <c r="CA85" s="41">
        <v>30553</v>
      </c>
      <c r="CB85" s="50">
        <v>42241</v>
      </c>
      <c r="CC85" s="41">
        <f t="shared" si="54"/>
        <v>2651</v>
      </c>
      <c r="CD85" s="41">
        <v>75445</v>
      </c>
      <c r="CF85" s="41">
        <v>32794</v>
      </c>
      <c r="CG85" s="50">
        <v>26386</v>
      </c>
      <c r="CH85" s="41">
        <v>5</v>
      </c>
      <c r="CI85" s="41">
        <f t="shared" si="55"/>
        <v>59185</v>
      </c>
      <c r="CJ85" s="41">
        <v>30768</v>
      </c>
      <c r="CK85" s="50">
        <v>32369</v>
      </c>
      <c r="CL85" s="41">
        <f t="shared" si="59"/>
        <v>63137</v>
      </c>
      <c r="CM85" s="41">
        <v>31962</v>
      </c>
      <c r="CN85" s="50">
        <v>18109</v>
      </c>
      <c r="CO85" s="41">
        <v>0</v>
      </c>
      <c r="CP85" s="41">
        <f t="shared" si="56"/>
        <v>50071</v>
      </c>
      <c r="CQ85" s="41">
        <v>32261</v>
      </c>
      <c r="CR85" s="50">
        <v>14995</v>
      </c>
      <c r="CS85" s="41">
        <f t="shared" si="57"/>
        <v>47256</v>
      </c>
      <c r="CU85" s="39" t="s">
        <v>469</v>
      </c>
    </row>
    <row r="86" spans="1:99">
      <c r="A86" s="39" t="s">
        <v>63</v>
      </c>
      <c r="B86" s="39" t="s">
        <v>87</v>
      </c>
      <c r="C86" s="39" t="s">
        <v>88</v>
      </c>
      <c r="D86" s="56">
        <v>21206501051</v>
      </c>
      <c r="E86" s="68" t="s">
        <v>96</v>
      </c>
      <c r="H86" s="51">
        <v>3733</v>
      </c>
      <c r="I86" s="49">
        <v>0</v>
      </c>
      <c r="J86" s="49">
        <v>0</v>
      </c>
      <c r="K86" s="51">
        <f t="shared" si="48"/>
        <v>3733</v>
      </c>
      <c r="L86" s="51">
        <f t="shared" si="44"/>
        <v>21</v>
      </c>
      <c r="M86" s="51">
        <v>3754</v>
      </c>
      <c r="N86" s="52"/>
      <c r="O86" s="41">
        <v>4092</v>
      </c>
      <c r="P86" s="50">
        <v>145</v>
      </c>
      <c r="Q86" s="50">
        <v>0</v>
      </c>
      <c r="R86" s="50">
        <v>75</v>
      </c>
      <c r="S86" s="41">
        <v>35</v>
      </c>
      <c r="T86" s="41">
        <v>4347</v>
      </c>
      <c r="U86" s="41"/>
      <c r="V86" s="41">
        <v>4309</v>
      </c>
      <c r="W86" s="50">
        <v>0</v>
      </c>
      <c r="X86" s="50">
        <v>0</v>
      </c>
      <c r="Y86" s="41">
        <f t="shared" si="49"/>
        <v>153</v>
      </c>
      <c r="Z86" s="41">
        <v>4462</v>
      </c>
      <c r="AA86" s="41"/>
      <c r="AB86" s="41">
        <v>4437</v>
      </c>
      <c r="AC86" s="41">
        <v>12</v>
      </c>
      <c r="AD86" s="50">
        <v>327</v>
      </c>
      <c r="AE86" s="41">
        <v>0</v>
      </c>
      <c r="AF86" s="41">
        <v>0</v>
      </c>
      <c r="AG86" s="41">
        <f t="shared" ref="AG86:AG149" si="60">AH86-SUM(AB86:AF86)</f>
        <v>116</v>
      </c>
      <c r="AH86" s="41">
        <v>4892</v>
      </c>
      <c r="AI86" s="41"/>
      <c r="AJ86" s="41">
        <v>4441</v>
      </c>
      <c r="AK86" s="50">
        <v>183</v>
      </c>
      <c r="AL86" s="41">
        <v>126</v>
      </c>
      <c r="AM86" s="50">
        <v>179</v>
      </c>
      <c r="AN86" s="41">
        <f t="shared" si="50"/>
        <v>241</v>
      </c>
      <c r="AO86" s="41">
        <v>5170</v>
      </c>
      <c r="AP86" s="41"/>
      <c r="AQ86" s="53">
        <v>4700</v>
      </c>
      <c r="AR86" s="54">
        <v>424</v>
      </c>
      <c r="AS86" s="54">
        <v>84</v>
      </c>
      <c r="AT86" s="53">
        <v>0</v>
      </c>
      <c r="AU86" s="41">
        <f t="shared" si="51"/>
        <v>529</v>
      </c>
      <c r="AV86" s="41">
        <v>5737</v>
      </c>
      <c r="AW86" s="41"/>
      <c r="AX86" s="41">
        <v>5737</v>
      </c>
      <c r="AY86" s="54">
        <v>0</v>
      </c>
      <c r="AZ86" s="50">
        <v>327</v>
      </c>
      <c r="BA86" s="50">
        <v>637</v>
      </c>
      <c r="BB86" s="41">
        <v>49</v>
      </c>
      <c r="BC86" s="41">
        <f t="shared" si="58"/>
        <v>117</v>
      </c>
      <c r="BD86" s="41">
        <v>6867</v>
      </c>
      <c r="BF86" s="41">
        <v>5849</v>
      </c>
      <c r="BG86" s="50">
        <v>334</v>
      </c>
      <c r="BH86" s="41">
        <v>266</v>
      </c>
      <c r="BI86" s="50">
        <v>178</v>
      </c>
      <c r="BJ86" s="41">
        <v>-58</v>
      </c>
      <c r="BK86" s="41">
        <f t="shared" si="52"/>
        <v>135</v>
      </c>
      <c r="BL86" s="41">
        <v>6704</v>
      </c>
      <c r="BM86" s="55"/>
      <c r="BN86" s="41">
        <v>6215</v>
      </c>
      <c r="BO86" s="50">
        <v>322</v>
      </c>
      <c r="BP86" s="50">
        <v>143</v>
      </c>
      <c r="BQ86" s="41">
        <v>38</v>
      </c>
      <c r="BR86" s="41">
        <v>-29</v>
      </c>
      <c r="BS86" s="41">
        <f t="shared" si="46"/>
        <v>43</v>
      </c>
      <c r="BT86" s="41">
        <v>6732</v>
      </c>
      <c r="BV86" s="41">
        <v>6406</v>
      </c>
      <c r="BW86" s="50">
        <v>498</v>
      </c>
      <c r="BX86" s="41">
        <f t="shared" si="53"/>
        <v>-53</v>
      </c>
      <c r="BY86" s="41">
        <v>6851</v>
      </c>
      <c r="CA86" s="41">
        <v>6924</v>
      </c>
      <c r="CB86" s="50">
        <v>378</v>
      </c>
      <c r="CC86" s="41">
        <f t="shared" si="54"/>
        <v>-3</v>
      </c>
      <c r="CD86" s="41">
        <v>7299</v>
      </c>
      <c r="CF86" s="41">
        <v>6601</v>
      </c>
      <c r="CG86" s="50">
        <v>362</v>
      </c>
      <c r="CH86" s="41">
        <v>3</v>
      </c>
      <c r="CI86" s="41">
        <f t="shared" si="55"/>
        <v>6966</v>
      </c>
      <c r="CJ86" s="41">
        <v>6858</v>
      </c>
      <c r="CK86" s="50">
        <v>130</v>
      </c>
      <c r="CL86" s="41">
        <f t="shared" si="59"/>
        <v>6988</v>
      </c>
      <c r="CM86" s="41">
        <v>6176</v>
      </c>
      <c r="CN86" s="50">
        <v>78</v>
      </c>
      <c r="CO86" s="41">
        <v>0</v>
      </c>
      <c r="CP86" s="41">
        <f t="shared" si="56"/>
        <v>6254</v>
      </c>
      <c r="CQ86" s="41">
        <v>6595</v>
      </c>
      <c r="CR86" s="50">
        <v>136</v>
      </c>
      <c r="CS86" s="41">
        <f t="shared" si="57"/>
        <v>6731</v>
      </c>
      <c r="CU86" s="39" t="s">
        <v>470</v>
      </c>
    </row>
    <row r="87" spans="1:99">
      <c r="A87" s="39" t="s">
        <v>63</v>
      </c>
      <c r="B87" s="39" t="s">
        <v>87</v>
      </c>
      <c r="C87" s="39" t="s">
        <v>88</v>
      </c>
      <c r="D87" s="56">
        <v>21208001051</v>
      </c>
      <c r="E87" s="68" t="s">
        <v>97</v>
      </c>
      <c r="H87" s="51">
        <v>1752</v>
      </c>
      <c r="I87" s="49">
        <v>0</v>
      </c>
      <c r="J87" s="49">
        <v>0</v>
      </c>
      <c r="K87" s="51">
        <f t="shared" si="48"/>
        <v>1752</v>
      </c>
      <c r="L87" s="51">
        <f t="shared" si="44"/>
        <v>15</v>
      </c>
      <c r="M87" s="51">
        <v>1767</v>
      </c>
      <c r="N87" s="52"/>
      <c r="O87" s="41">
        <v>1859</v>
      </c>
      <c r="P87" s="50">
        <v>85</v>
      </c>
      <c r="Q87" s="50">
        <v>0</v>
      </c>
      <c r="R87" s="50">
        <v>3</v>
      </c>
      <c r="S87" s="41">
        <v>180</v>
      </c>
      <c r="T87" s="41">
        <v>2127</v>
      </c>
      <c r="U87" s="41"/>
      <c r="V87" s="41">
        <v>1979</v>
      </c>
      <c r="W87" s="50">
        <v>0</v>
      </c>
      <c r="X87" s="50">
        <v>0</v>
      </c>
      <c r="Y87" s="41">
        <f t="shared" si="49"/>
        <v>56</v>
      </c>
      <c r="Z87" s="41">
        <v>2035</v>
      </c>
      <c r="AA87" s="41"/>
      <c r="AB87" s="41">
        <v>1986</v>
      </c>
      <c r="AC87" s="41">
        <v>1</v>
      </c>
      <c r="AD87" s="50">
        <v>26</v>
      </c>
      <c r="AE87" s="41">
        <v>0</v>
      </c>
      <c r="AF87" s="41">
        <v>0</v>
      </c>
      <c r="AG87" s="41">
        <f t="shared" si="60"/>
        <v>4</v>
      </c>
      <c r="AH87" s="41">
        <v>2017</v>
      </c>
      <c r="AI87" s="41"/>
      <c r="AJ87" s="41">
        <v>1949</v>
      </c>
      <c r="AK87" s="50">
        <v>48</v>
      </c>
      <c r="AL87" s="41">
        <v>14</v>
      </c>
      <c r="AM87" s="50">
        <v>100</v>
      </c>
      <c r="AN87" s="41">
        <f t="shared" si="50"/>
        <v>23</v>
      </c>
      <c r="AO87" s="41">
        <v>2134</v>
      </c>
      <c r="AP87" s="41"/>
      <c r="AQ87" s="53">
        <v>2151</v>
      </c>
      <c r="AR87" s="54">
        <v>212</v>
      </c>
      <c r="AS87" s="54">
        <v>74</v>
      </c>
      <c r="AT87" s="53">
        <v>0</v>
      </c>
      <c r="AU87" s="41">
        <f t="shared" si="51"/>
        <v>13</v>
      </c>
      <c r="AV87" s="41">
        <v>2450</v>
      </c>
      <c r="AW87" s="41"/>
      <c r="AX87" s="41">
        <v>2498</v>
      </c>
      <c r="AY87" s="54">
        <v>0</v>
      </c>
      <c r="AZ87" s="50">
        <v>78</v>
      </c>
      <c r="BA87" s="50">
        <v>149</v>
      </c>
      <c r="BB87" s="41">
        <v>16</v>
      </c>
      <c r="BC87" s="41">
        <f t="shared" si="58"/>
        <v>-15</v>
      </c>
      <c r="BD87" s="41">
        <v>2726</v>
      </c>
      <c r="BF87" s="41">
        <v>2624</v>
      </c>
      <c r="BG87" s="50">
        <v>79</v>
      </c>
      <c r="BH87" s="41">
        <v>98</v>
      </c>
      <c r="BI87" s="50">
        <v>110</v>
      </c>
      <c r="BJ87" s="41">
        <v>-23</v>
      </c>
      <c r="BK87" s="41">
        <f t="shared" si="52"/>
        <v>6</v>
      </c>
      <c r="BL87" s="41">
        <v>2894</v>
      </c>
      <c r="BM87" s="55"/>
      <c r="BN87" s="41">
        <v>2618</v>
      </c>
      <c r="BO87" s="50">
        <v>204</v>
      </c>
      <c r="BP87" s="50">
        <v>30</v>
      </c>
      <c r="BQ87" s="41">
        <v>11</v>
      </c>
      <c r="BR87" s="41">
        <v>-16</v>
      </c>
      <c r="BS87" s="41">
        <f t="shared" si="46"/>
        <v>1</v>
      </c>
      <c r="BT87" s="41">
        <v>2848</v>
      </c>
      <c r="BV87" s="41">
        <v>2840</v>
      </c>
      <c r="BW87" s="50">
        <v>207</v>
      </c>
      <c r="BX87" s="41">
        <f t="shared" si="53"/>
        <v>-132</v>
      </c>
      <c r="BY87" s="41">
        <v>2915</v>
      </c>
      <c r="CA87" s="41">
        <v>3071</v>
      </c>
      <c r="CB87" s="50">
        <v>218</v>
      </c>
      <c r="CC87" s="41">
        <f t="shared" si="54"/>
        <v>-25</v>
      </c>
      <c r="CD87" s="41">
        <v>3264</v>
      </c>
      <c r="CF87" s="41">
        <v>2938</v>
      </c>
      <c r="CG87" s="50">
        <v>146</v>
      </c>
      <c r="CH87" s="41">
        <v>0</v>
      </c>
      <c r="CI87" s="41">
        <f t="shared" si="55"/>
        <v>3084</v>
      </c>
      <c r="CJ87" s="41">
        <v>2941</v>
      </c>
      <c r="CK87" s="50">
        <v>35</v>
      </c>
      <c r="CL87" s="41">
        <f t="shared" si="59"/>
        <v>2976</v>
      </c>
      <c r="CM87" s="41">
        <v>2513</v>
      </c>
      <c r="CN87" s="50">
        <v>42</v>
      </c>
      <c r="CO87" s="41">
        <v>0</v>
      </c>
      <c r="CP87" s="41">
        <f t="shared" si="56"/>
        <v>2555</v>
      </c>
      <c r="CQ87" s="41">
        <v>2647</v>
      </c>
      <c r="CR87" s="50">
        <v>100</v>
      </c>
      <c r="CS87" s="41">
        <f t="shared" si="57"/>
        <v>2747</v>
      </c>
      <c r="CU87" s="39" t="s">
        <v>471</v>
      </c>
    </row>
    <row r="88" spans="1:99">
      <c r="A88" s="39" t="s">
        <v>63</v>
      </c>
      <c r="B88" s="39" t="s">
        <v>87</v>
      </c>
      <c r="C88" s="39" t="s">
        <v>88</v>
      </c>
      <c r="D88" s="56">
        <v>21209101051</v>
      </c>
      <c r="E88" s="68" t="s">
        <v>98</v>
      </c>
      <c r="H88" s="51">
        <v>0</v>
      </c>
      <c r="I88" s="49">
        <v>0</v>
      </c>
      <c r="J88" s="49">
        <v>0</v>
      </c>
      <c r="K88" s="51">
        <f t="shared" si="48"/>
        <v>0</v>
      </c>
      <c r="L88" s="51">
        <f t="shared" si="44"/>
        <v>0</v>
      </c>
      <c r="M88" s="51">
        <v>0</v>
      </c>
      <c r="N88" s="52"/>
      <c r="O88" s="41">
        <v>0</v>
      </c>
      <c r="P88" s="50">
        <v>0</v>
      </c>
      <c r="Q88" s="50">
        <v>0</v>
      </c>
      <c r="R88" s="50">
        <v>0</v>
      </c>
      <c r="S88" s="41">
        <v>0</v>
      </c>
      <c r="T88" s="41">
        <v>0</v>
      </c>
      <c r="U88" s="41"/>
      <c r="V88" s="41">
        <v>0</v>
      </c>
      <c r="W88" s="50">
        <v>0</v>
      </c>
      <c r="X88" s="50">
        <v>0</v>
      </c>
      <c r="Y88" s="41">
        <f t="shared" si="49"/>
        <v>0</v>
      </c>
      <c r="Z88" s="41">
        <v>0</v>
      </c>
      <c r="AA88" s="41"/>
      <c r="AB88" s="41">
        <v>0</v>
      </c>
      <c r="AC88" s="41">
        <v>0</v>
      </c>
      <c r="AD88" s="50">
        <v>995</v>
      </c>
      <c r="AE88" s="41">
        <v>0</v>
      </c>
      <c r="AF88" s="41">
        <v>0</v>
      </c>
      <c r="AG88" s="41">
        <f t="shared" si="60"/>
        <v>0</v>
      </c>
      <c r="AH88" s="41">
        <v>995</v>
      </c>
      <c r="AI88" s="41"/>
      <c r="AJ88" s="41">
        <v>0</v>
      </c>
      <c r="AK88" s="50">
        <v>0</v>
      </c>
      <c r="AL88" s="41">
        <v>0</v>
      </c>
      <c r="AM88" s="50">
        <v>1908</v>
      </c>
      <c r="AN88" s="41">
        <f t="shared" si="50"/>
        <v>0</v>
      </c>
      <c r="AO88" s="41">
        <v>1908</v>
      </c>
      <c r="AP88" s="41"/>
      <c r="AQ88" s="53">
        <v>0</v>
      </c>
      <c r="AR88" s="54">
        <v>1500</v>
      </c>
      <c r="AS88" s="54">
        <v>5906</v>
      </c>
      <c r="AT88" s="53">
        <v>0</v>
      </c>
      <c r="AU88" s="41">
        <f t="shared" si="51"/>
        <v>0</v>
      </c>
      <c r="AV88" s="41">
        <v>7406</v>
      </c>
      <c r="AW88" s="41"/>
      <c r="AX88" s="41">
        <v>0</v>
      </c>
      <c r="AY88" s="54">
        <v>0</v>
      </c>
      <c r="AZ88" s="50">
        <v>1350</v>
      </c>
      <c r="BA88" s="50">
        <v>1400</v>
      </c>
      <c r="BB88" s="41">
        <v>0</v>
      </c>
      <c r="BC88" s="41">
        <f t="shared" si="58"/>
        <v>0</v>
      </c>
      <c r="BD88" s="41">
        <v>2750</v>
      </c>
      <c r="BF88" s="41">
        <v>0</v>
      </c>
      <c r="BG88" s="50">
        <v>2000</v>
      </c>
      <c r="BH88" s="41">
        <v>0</v>
      </c>
      <c r="BI88" s="50">
        <v>3607</v>
      </c>
      <c r="BJ88" s="41">
        <v>0</v>
      </c>
      <c r="BK88" s="41">
        <f t="shared" si="52"/>
        <v>0</v>
      </c>
      <c r="BL88" s="41">
        <v>5607</v>
      </c>
      <c r="BM88" s="55"/>
      <c r="BN88" s="41">
        <v>0</v>
      </c>
      <c r="BO88" s="50">
        <v>6563</v>
      </c>
      <c r="BP88" s="50">
        <v>2604</v>
      </c>
      <c r="BQ88" s="41">
        <v>0</v>
      </c>
      <c r="BR88" s="41">
        <v>0</v>
      </c>
      <c r="BS88" s="41">
        <f t="shared" si="46"/>
        <v>0</v>
      </c>
      <c r="BT88" s="41">
        <v>9167</v>
      </c>
      <c r="BV88" s="41">
        <v>0</v>
      </c>
      <c r="BW88" s="50">
        <v>11619</v>
      </c>
      <c r="BX88" s="41">
        <f t="shared" si="53"/>
        <v>0</v>
      </c>
      <c r="BY88" s="41">
        <v>11619</v>
      </c>
      <c r="CA88" s="41">
        <v>0</v>
      </c>
      <c r="CB88" s="50">
        <v>11200</v>
      </c>
      <c r="CC88" s="41">
        <f t="shared" si="54"/>
        <v>-1000</v>
      </c>
      <c r="CD88" s="41">
        <v>10200</v>
      </c>
      <c r="CF88" s="41">
        <v>0</v>
      </c>
      <c r="CG88" s="50">
        <v>4124</v>
      </c>
      <c r="CH88" s="41">
        <v>0</v>
      </c>
      <c r="CI88" s="41">
        <f t="shared" si="55"/>
        <v>4124</v>
      </c>
      <c r="CJ88" s="41">
        <v>0</v>
      </c>
      <c r="CK88" s="50">
        <v>4727</v>
      </c>
      <c r="CL88" s="41">
        <f t="shared" si="59"/>
        <v>4727</v>
      </c>
      <c r="CM88" s="41">
        <v>0</v>
      </c>
      <c r="CN88" s="50">
        <v>3345</v>
      </c>
      <c r="CO88" s="41">
        <v>0</v>
      </c>
      <c r="CP88" s="41">
        <f t="shared" si="56"/>
        <v>3345</v>
      </c>
      <c r="CQ88" s="41">
        <v>0</v>
      </c>
      <c r="CR88" s="50">
        <v>3252</v>
      </c>
      <c r="CS88" s="41">
        <f t="shared" si="57"/>
        <v>3252</v>
      </c>
      <c r="CU88" s="39" t="s">
        <v>472</v>
      </c>
    </row>
    <row r="89" spans="1:99">
      <c r="A89" s="39" t="s">
        <v>63</v>
      </c>
      <c r="B89" s="39" t="s">
        <v>87</v>
      </c>
      <c r="C89" s="39" t="s">
        <v>88</v>
      </c>
      <c r="D89" s="56">
        <v>21209201051</v>
      </c>
      <c r="E89" s="68" t="s">
        <v>99</v>
      </c>
      <c r="H89" s="51">
        <v>0</v>
      </c>
      <c r="I89" s="49">
        <v>0</v>
      </c>
      <c r="J89" s="49">
        <v>0</v>
      </c>
      <c r="K89" s="51">
        <f t="shared" si="48"/>
        <v>0</v>
      </c>
      <c r="L89" s="51">
        <f t="shared" si="44"/>
        <v>0</v>
      </c>
      <c r="M89" s="51">
        <v>0</v>
      </c>
      <c r="N89" s="52"/>
      <c r="O89" s="41">
        <v>0</v>
      </c>
      <c r="P89" s="50">
        <v>0</v>
      </c>
      <c r="Q89" s="50">
        <v>0</v>
      </c>
      <c r="R89" s="50">
        <v>0</v>
      </c>
      <c r="S89" s="41">
        <v>0</v>
      </c>
      <c r="T89" s="41">
        <v>0</v>
      </c>
      <c r="U89" s="41"/>
      <c r="V89" s="41">
        <v>0</v>
      </c>
      <c r="W89" s="50">
        <v>0</v>
      </c>
      <c r="X89" s="50">
        <v>0</v>
      </c>
      <c r="Y89" s="41">
        <f t="shared" si="49"/>
        <v>0</v>
      </c>
      <c r="Z89" s="41">
        <v>0</v>
      </c>
      <c r="AA89" s="41"/>
      <c r="AB89" s="41">
        <v>0</v>
      </c>
      <c r="AC89" s="41">
        <v>0</v>
      </c>
      <c r="AD89" s="50">
        <v>5490</v>
      </c>
      <c r="AE89" s="41">
        <v>0</v>
      </c>
      <c r="AF89" s="41">
        <v>0</v>
      </c>
      <c r="AG89" s="41">
        <f t="shared" si="60"/>
        <v>0</v>
      </c>
      <c r="AH89" s="41">
        <v>5490</v>
      </c>
      <c r="AI89" s="41"/>
      <c r="AJ89" s="41">
        <v>0</v>
      </c>
      <c r="AK89" s="50">
        <v>0</v>
      </c>
      <c r="AL89" s="41">
        <v>0</v>
      </c>
      <c r="AM89" s="50">
        <v>3007</v>
      </c>
      <c r="AN89" s="41">
        <f t="shared" si="50"/>
        <v>0</v>
      </c>
      <c r="AO89" s="41">
        <v>3007</v>
      </c>
      <c r="AP89" s="41"/>
      <c r="AQ89" s="53">
        <v>0</v>
      </c>
      <c r="AR89" s="54">
        <v>1700</v>
      </c>
      <c r="AS89" s="54">
        <v>3842</v>
      </c>
      <c r="AT89" s="53">
        <v>0</v>
      </c>
      <c r="AU89" s="41">
        <f t="shared" si="51"/>
        <v>0</v>
      </c>
      <c r="AV89" s="41">
        <v>5542</v>
      </c>
      <c r="AW89" s="41"/>
      <c r="AX89" s="41">
        <v>0</v>
      </c>
      <c r="AY89" s="54">
        <v>0</v>
      </c>
      <c r="AZ89" s="50">
        <v>1500</v>
      </c>
      <c r="BA89" s="50">
        <v>1500</v>
      </c>
      <c r="BB89" s="41">
        <v>0</v>
      </c>
      <c r="BC89" s="41">
        <f t="shared" si="58"/>
        <v>0</v>
      </c>
      <c r="BD89" s="41">
        <v>3000</v>
      </c>
      <c r="BF89" s="41">
        <v>0</v>
      </c>
      <c r="BG89" s="50">
        <v>1000</v>
      </c>
      <c r="BH89" s="41">
        <v>0</v>
      </c>
      <c r="BI89" s="50">
        <v>0</v>
      </c>
      <c r="BJ89" s="41">
        <v>0</v>
      </c>
      <c r="BK89" s="41">
        <f t="shared" si="52"/>
        <v>0</v>
      </c>
      <c r="BL89" s="41">
        <v>1000</v>
      </c>
      <c r="BM89" s="55"/>
      <c r="BN89" s="41">
        <v>0</v>
      </c>
      <c r="BO89" s="50">
        <v>0</v>
      </c>
      <c r="BP89" s="50">
        <v>1000</v>
      </c>
      <c r="BQ89" s="41">
        <v>0</v>
      </c>
      <c r="BR89" s="41">
        <v>0</v>
      </c>
      <c r="BS89" s="41">
        <f t="shared" si="46"/>
        <v>0</v>
      </c>
      <c r="BT89" s="41">
        <v>1000</v>
      </c>
      <c r="BV89" s="41">
        <v>0</v>
      </c>
      <c r="BW89" s="50">
        <v>1500</v>
      </c>
      <c r="BX89" s="41">
        <f t="shared" si="53"/>
        <v>0</v>
      </c>
      <c r="BY89" s="41">
        <v>1500</v>
      </c>
      <c r="CA89" s="41">
        <v>0</v>
      </c>
      <c r="CB89" s="50">
        <v>0</v>
      </c>
      <c r="CC89" s="41">
        <f t="shared" si="54"/>
        <v>0</v>
      </c>
      <c r="CD89" s="41">
        <v>0</v>
      </c>
      <c r="CF89" s="41">
        <v>0</v>
      </c>
      <c r="CG89" s="50">
        <v>0</v>
      </c>
      <c r="CH89" s="41">
        <v>0</v>
      </c>
      <c r="CI89" s="41">
        <f t="shared" si="55"/>
        <v>0</v>
      </c>
      <c r="CJ89" s="41">
        <v>0</v>
      </c>
      <c r="CK89" s="50">
        <v>0</v>
      </c>
      <c r="CL89" s="41">
        <f t="shared" si="59"/>
        <v>0</v>
      </c>
      <c r="CM89" s="41">
        <v>0</v>
      </c>
      <c r="CN89" s="50">
        <v>0</v>
      </c>
      <c r="CO89" s="41">
        <v>0</v>
      </c>
      <c r="CP89" s="41">
        <f t="shared" si="56"/>
        <v>0</v>
      </c>
      <c r="CQ89" s="41">
        <v>0</v>
      </c>
      <c r="CR89" s="50">
        <v>0</v>
      </c>
      <c r="CS89" s="41">
        <f t="shared" si="57"/>
        <v>0</v>
      </c>
      <c r="CU89" s="39" t="s">
        <v>473</v>
      </c>
    </row>
    <row r="90" spans="1:99" ht="15">
      <c r="A90" s="39" t="s">
        <v>63</v>
      </c>
      <c r="B90" s="39" t="s">
        <v>87</v>
      </c>
      <c r="C90" s="39" t="s">
        <v>88</v>
      </c>
      <c r="D90" s="57">
        <v>21209501051</v>
      </c>
      <c r="E90" s="73" t="s">
        <v>474</v>
      </c>
      <c r="H90" s="51"/>
      <c r="I90" s="49"/>
      <c r="J90" s="49"/>
      <c r="K90" s="51"/>
      <c r="L90" s="51"/>
      <c r="M90" s="51"/>
      <c r="N90" s="52"/>
      <c r="O90" s="41"/>
      <c r="P90" s="50"/>
      <c r="Q90" s="50"/>
      <c r="R90" s="50"/>
      <c r="S90" s="41"/>
      <c r="T90" s="41"/>
      <c r="U90" s="41"/>
      <c r="V90" s="41"/>
      <c r="W90" s="50"/>
      <c r="X90" s="50"/>
      <c r="Y90" s="41"/>
      <c r="Z90" s="41"/>
      <c r="AA90" s="41"/>
      <c r="AB90" s="41"/>
      <c r="AC90" s="41"/>
      <c r="AD90" s="50"/>
      <c r="AE90" s="41"/>
      <c r="AF90" s="41"/>
      <c r="AG90" s="41"/>
      <c r="AH90" s="41"/>
      <c r="AI90" s="41"/>
      <c r="AJ90" s="41"/>
      <c r="AK90" s="50"/>
      <c r="AL90" s="41"/>
      <c r="AM90" s="50"/>
      <c r="AN90" s="41"/>
      <c r="AO90" s="41"/>
      <c r="AP90" s="41"/>
      <c r="AQ90" s="53"/>
      <c r="AR90" s="54"/>
      <c r="AS90" s="54"/>
      <c r="AT90" s="53"/>
      <c r="AU90" s="41"/>
      <c r="AV90" s="41"/>
      <c r="AW90" s="41"/>
      <c r="AX90" s="41"/>
      <c r="AY90" s="54"/>
      <c r="BF90" s="41"/>
      <c r="BG90" s="50"/>
      <c r="BH90" s="41"/>
      <c r="BI90" s="50"/>
      <c r="BJ90" s="41"/>
      <c r="BK90" s="41"/>
      <c r="BL90" s="41"/>
      <c r="BM90" s="55"/>
      <c r="BN90" s="41"/>
      <c r="BO90" s="50"/>
      <c r="BP90" s="50"/>
      <c r="BQ90" s="41"/>
      <c r="BR90" s="41"/>
      <c r="BS90" s="41"/>
      <c r="BT90" s="41"/>
      <c r="BV90" s="41"/>
      <c r="BW90" s="50"/>
      <c r="BX90" s="41"/>
      <c r="BY90" s="41"/>
      <c r="CA90" s="41"/>
      <c r="CB90" s="50"/>
      <c r="CC90" s="41"/>
      <c r="CD90" s="41"/>
      <c r="CF90" s="41"/>
      <c r="CG90" s="50"/>
      <c r="CH90" s="41"/>
      <c r="CI90" s="41"/>
      <c r="CJ90" s="41"/>
      <c r="CK90" s="50"/>
      <c r="CL90" s="41"/>
      <c r="CM90" s="41">
        <v>0</v>
      </c>
      <c r="CN90" s="50">
        <v>0</v>
      </c>
      <c r="CO90" s="41">
        <v>0</v>
      </c>
      <c r="CP90" s="41">
        <f t="shared" si="56"/>
        <v>0</v>
      </c>
      <c r="CQ90" s="41">
        <v>0</v>
      </c>
      <c r="CR90" s="50">
        <v>0</v>
      </c>
      <c r="CS90" s="41">
        <f t="shared" si="57"/>
        <v>0</v>
      </c>
      <c r="CU90" s="44" t="s">
        <v>475</v>
      </c>
    </row>
    <row r="91" spans="1:99">
      <c r="A91" s="39" t="s">
        <v>63</v>
      </c>
      <c r="B91" s="39" t="s">
        <v>87</v>
      </c>
      <c r="C91" s="39" t="s">
        <v>88</v>
      </c>
      <c r="D91" s="56">
        <v>21209601051</v>
      </c>
      <c r="E91" s="71" t="s">
        <v>100</v>
      </c>
      <c r="H91" s="51">
        <v>0</v>
      </c>
      <c r="I91" s="49">
        <v>0</v>
      </c>
      <c r="J91" s="49">
        <v>0</v>
      </c>
      <c r="K91" s="51">
        <v>0</v>
      </c>
      <c r="L91" s="51">
        <v>0</v>
      </c>
      <c r="M91" s="51">
        <v>0</v>
      </c>
      <c r="N91" s="52"/>
      <c r="O91" s="41">
        <v>0</v>
      </c>
      <c r="P91" s="50">
        <v>0</v>
      </c>
      <c r="Q91" s="50">
        <v>0</v>
      </c>
      <c r="R91" s="50">
        <v>0</v>
      </c>
      <c r="S91" s="41">
        <v>0</v>
      </c>
      <c r="T91" s="41">
        <v>0</v>
      </c>
      <c r="U91" s="41"/>
      <c r="V91" s="41">
        <v>0</v>
      </c>
      <c r="W91" s="50">
        <v>0</v>
      </c>
      <c r="X91" s="50">
        <v>0</v>
      </c>
      <c r="Y91" s="41">
        <v>0</v>
      </c>
      <c r="Z91" s="41">
        <v>0</v>
      </c>
      <c r="AA91" s="41"/>
      <c r="AB91" s="41">
        <v>0</v>
      </c>
      <c r="AC91" s="41">
        <v>0</v>
      </c>
      <c r="AD91" s="50">
        <v>0</v>
      </c>
      <c r="AE91" s="41">
        <v>0</v>
      </c>
      <c r="AF91" s="41">
        <v>0</v>
      </c>
      <c r="AG91" s="41">
        <v>0</v>
      </c>
      <c r="AH91" s="41">
        <v>0</v>
      </c>
      <c r="AI91" s="41"/>
      <c r="AJ91" s="41">
        <v>0</v>
      </c>
      <c r="AK91" s="50">
        <v>0</v>
      </c>
      <c r="AL91" s="41">
        <v>0</v>
      </c>
      <c r="AM91" s="50">
        <v>0</v>
      </c>
      <c r="AN91" s="41">
        <v>0</v>
      </c>
      <c r="AO91" s="41">
        <v>0</v>
      </c>
      <c r="AP91" s="41"/>
      <c r="AQ91" s="53">
        <v>0</v>
      </c>
      <c r="AR91" s="54">
        <v>0</v>
      </c>
      <c r="AS91" s="54">
        <v>0</v>
      </c>
      <c r="AT91" s="53">
        <v>0</v>
      </c>
      <c r="AU91" s="41">
        <v>0</v>
      </c>
      <c r="AV91" s="41">
        <v>0</v>
      </c>
      <c r="AW91" s="41"/>
      <c r="AX91" s="41">
        <v>0</v>
      </c>
      <c r="AY91" s="54">
        <v>0</v>
      </c>
      <c r="AZ91" s="50">
        <v>0</v>
      </c>
      <c r="BA91" s="50">
        <v>0</v>
      </c>
      <c r="BB91" s="41">
        <v>0</v>
      </c>
      <c r="BC91" s="41">
        <v>0</v>
      </c>
      <c r="BD91" s="41">
        <v>0</v>
      </c>
      <c r="BF91" s="41">
        <v>0</v>
      </c>
      <c r="BG91" s="50">
        <v>0</v>
      </c>
      <c r="BH91" s="41">
        <v>0</v>
      </c>
      <c r="BI91" s="50">
        <v>0</v>
      </c>
      <c r="BJ91" s="41">
        <v>0</v>
      </c>
      <c r="BK91" s="41">
        <v>0</v>
      </c>
      <c r="BL91" s="41">
        <v>0</v>
      </c>
      <c r="BM91" s="55"/>
      <c r="BN91" s="41">
        <v>0</v>
      </c>
      <c r="BO91" s="50">
        <v>0</v>
      </c>
      <c r="BP91" s="50">
        <v>0</v>
      </c>
      <c r="BQ91" s="41">
        <v>0</v>
      </c>
      <c r="BR91" s="41">
        <v>0</v>
      </c>
      <c r="BS91" s="41">
        <f t="shared" si="46"/>
        <v>0</v>
      </c>
      <c r="BT91" s="41">
        <v>0</v>
      </c>
      <c r="BV91" s="41">
        <v>0</v>
      </c>
      <c r="BW91" s="50">
        <v>400</v>
      </c>
      <c r="BX91" s="41">
        <f t="shared" si="53"/>
        <v>0</v>
      </c>
      <c r="BY91" s="41">
        <v>400</v>
      </c>
      <c r="CA91" s="41">
        <v>0</v>
      </c>
      <c r="CB91" s="50">
        <v>400</v>
      </c>
      <c r="CC91" s="41">
        <f t="shared" si="54"/>
        <v>0</v>
      </c>
      <c r="CD91" s="41">
        <v>400</v>
      </c>
      <c r="CF91" s="41">
        <v>0</v>
      </c>
      <c r="CG91" s="50">
        <v>325</v>
      </c>
      <c r="CH91" s="41">
        <v>0</v>
      </c>
      <c r="CI91" s="41">
        <f t="shared" si="55"/>
        <v>325</v>
      </c>
      <c r="CJ91" s="41">
        <v>0</v>
      </c>
      <c r="CK91" s="50">
        <v>199</v>
      </c>
      <c r="CL91" s="41">
        <f t="shared" si="59"/>
        <v>199</v>
      </c>
      <c r="CM91" s="41">
        <v>0</v>
      </c>
      <c r="CN91" s="50">
        <v>0</v>
      </c>
      <c r="CO91" s="41">
        <v>0</v>
      </c>
      <c r="CP91" s="41">
        <f t="shared" si="56"/>
        <v>0</v>
      </c>
      <c r="CQ91" s="41">
        <v>0</v>
      </c>
      <c r="CR91" s="50">
        <v>0</v>
      </c>
      <c r="CS91" s="41">
        <f t="shared" si="57"/>
        <v>0</v>
      </c>
      <c r="CT91" s="59"/>
      <c r="CU91" s="39" t="s">
        <v>476</v>
      </c>
    </row>
    <row r="92" spans="1:99" ht="15">
      <c r="A92" s="39" t="s">
        <v>63</v>
      </c>
      <c r="B92" s="39" t="s">
        <v>87</v>
      </c>
      <c r="C92" s="39" t="s">
        <v>88</v>
      </c>
      <c r="D92" s="37">
        <v>21209701051</v>
      </c>
      <c r="E92" s="74" t="s">
        <v>477</v>
      </c>
      <c r="H92" s="51"/>
      <c r="I92" s="49"/>
      <c r="J92" s="49"/>
      <c r="K92" s="51"/>
      <c r="L92" s="51"/>
      <c r="M92" s="51"/>
      <c r="N92" s="52"/>
      <c r="O92" s="41"/>
      <c r="P92" s="50"/>
      <c r="Q92" s="50"/>
      <c r="R92" s="50"/>
      <c r="S92" s="41"/>
      <c r="T92" s="41"/>
      <c r="U92" s="41"/>
      <c r="V92" s="41"/>
      <c r="W92" s="50"/>
      <c r="X92" s="50"/>
      <c r="Y92" s="41"/>
      <c r="Z92" s="41"/>
      <c r="AA92" s="41"/>
      <c r="AB92" s="41"/>
      <c r="AC92" s="41"/>
      <c r="AD92" s="50"/>
      <c r="AE92" s="41"/>
      <c r="AF92" s="41"/>
      <c r="AG92" s="41"/>
      <c r="AH92" s="41"/>
      <c r="AI92" s="41"/>
      <c r="AJ92" s="41"/>
      <c r="AK92" s="50"/>
      <c r="AL92" s="41"/>
      <c r="AM92" s="50"/>
      <c r="AN92" s="41"/>
      <c r="AO92" s="41"/>
      <c r="AP92" s="41"/>
      <c r="AQ92" s="53"/>
      <c r="AR92" s="54"/>
      <c r="AS92" s="54"/>
      <c r="AT92" s="53"/>
      <c r="AU92" s="41"/>
      <c r="AV92" s="41"/>
      <c r="AW92" s="41"/>
      <c r="AX92" s="41"/>
      <c r="AY92" s="54"/>
      <c r="BF92" s="41"/>
      <c r="BG92" s="50"/>
      <c r="BH92" s="41"/>
      <c r="BI92" s="50"/>
      <c r="BJ92" s="41"/>
      <c r="BK92" s="41"/>
      <c r="BL92" s="41"/>
      <c r="BM92" s="55"/>
      <c r="BN92" s="41"/>
      <c r="BO92" s="50"/>
      <c r="BP92" s="50"/>
      <c r="BQ92" s="41"/>
      <c r="BR92" s="41"/>
      <c r="BS92" s="41"/>
      <c r="BT92" s="41"/>
      <c r="BV92" s="41"/>
      <c r="BW92" s="50"/>
      <c r="BX92" s="41"/>
      <c r="BY92" s="41"/>
      <c r="CA92" s="41"/>
      <c r="CB92" s="50"/>
      <c r="CC92" s="41"/>
      <c r="CD92" s="41"/>
      <c r="CF92" s="41"/>
      <c r="CG92" s="50"/>
      <c r="CH92" s="41"/>
      <c r="CI92" s="41"/>
      <c r="CJ92" s="41"/>
      <c r="CK92" s="50"/>
      <c r="CL92" s="41"/>
      <c r="CM92" s="41"/>
      <c r="CN92" s="50"/>
      <c r="CO92" s="41"/>
      <c r="CP92" s="41"/>
      <c r="CQ92" s="41">
        <v>0</v>
      </c>
      <c r="CR92" s="50">
        <v>715</v>
      </c>
      <c r="CS92" s="41">
        <f t="shared" si="57"/>
        <v>715</v>
      </c>
      <c r="CT92" s="59"/>
    </row>
    <row r="93" spans="1:99">
      <c r="A93" s="39" t="s">
        <v>63</v>
      </c>
      <c r="B93" s="39" t="s">
        <v>87</v>
      </c>
      <c r="C93" s="39" t="s">
        <v>88</v>
      </c>
      <c r="D93" s="56">
        <v>57340001051</v>
      </c>
      <c r="E93" s="68" t="s">
        <v>101</v>
      </c>
      <c r="H93" s="51">
        <v>25581</v>
      </c>
      <c r="I93" s="49">
        <v>0</v>
      </c>
      <c r="J93" s="49">
        <v>41</v>
      </c>
      <c r="K93" s="51">
        <f t="shared" si="48"/>
        <v>25622</v>
      </c>
      <c r="L93" s="51">
        <f t="shared" si="44"/>
        <v>2785</v>
      </c>
      <c r="M93" s="51">
        <v>28407</v>
      </c>
      <c r="N93" s="52"/>
      <c r="O93" s="41">
        <v>26285</v>
      </c>
      <c r="P93" s="50">
        <v>754</v>
      </c>
      <c r="Q93" s="50">
        <v>1767</v>
      </c>
      <c r="R93" s="50">
        <v>7649</v>
      </c>
      <c r="S93" s="41">
        <v>357</v>
      </c>
      <c r="T93" s="41">
        <v>36812</v>
      </c>
      <c r="U93" s="41"/>
      <c r="V93" s="41">
        <v>25532</v>
      </c>
      <c r="W93" s="50">
        <v>5586</v>
      </c>
      <c r="X93" s="50">
        <v>419</v>
      </c>
      <c r="Y93" s="41">
        <f t="shared" si="49"/>
        <v>1145</v>
      </c>
      <c r="Z93" s="41">
        <v>32682</v>
      </c>
      <c r="AA93" s="41"/>
      <c r="AB93" s="41">
        <v>26484</v>
      </c>
      <c r="AC93" s="41">
        <v>165</v>
      </c>
      <c r="AD93" s="50">
        <f>5657-AE93</f>
        <v>5627</v>
      </c>
      <c r="AE93" s="41">
        <v>30</v>
      </c>
      <c r="AF93" s="41">
        <v>0</v>
      </c>
      <c r="AG93" s="41">
        <f t="shared" si="60"/>
        <v>613</v>
      </c>
      <c r="AH93" s="41">
        <v>32919</v>
      </c>
      <c r="AI93" s="41"/>
      <c r="AJ93" s="41">
        <v>29659</v>
      </c>
      <c r="AK93" s="50">
        <v>2484</v>
      </c>
      <c r="AL93" s="41">
        <v>508</v>
      </c>
      <c r="AM93" s="50">
        <v>5576</v>
      </c>
      <c r="AN93" s="41">
        <f t="shared" si="50"/>
        <v>1044</v>
      </c>
      <c r="AO93" s="41">
        <v>39271</v>
      </c>
      <c r="AP93" s="41"/>
      <c r="AQ93" s="53">
        <v>30253</v>
      </c>
      <c r="AR93" s="54">
        <v>2688</v>
      </c>
      <c r="AS93" s="54">
        <v>6651</v>
      </c>
      <c r="AT93" s="53">
        <v>0</v>
      </c>
      <c r="AU93" s="41">
        <f t="shared" si="51"/>
        <v>675</v>
      </c>
      <c r="AV93" s="41">
        <v>40267</v>
      </c>
      <c r="AW93" s="41"/>
      <c r="AX93" s="41">
        <v>32014</v>
      </c>
      <c r="AY93" s="54">
        <v>46</v>
      </c>
      <c r="AZ93" s="50">
        <v>4778</v>
      </c>
      <c r="BA93" s="50">
        <v>5058</v>
      </c>
      <c r="BB93" s="41">
        <v>915</v>
      </c>
      <c r="BC93" s="41">
        <f t="shared" si="58"/>
        <v>608</v>
      </c>
      <c r="BD93" s="41">
        <v>43419</v>
      </c>
      <c r="BF93" s="41">
        <v>35376</v>
      </c>
      <c r="BG93" s="50">
        <v>5078</v>
      </c>
      <c r="BH93" s="41">
        <v>1096</v>
      </c>
      <c r="BI93" s="50">
        <v>5980</v>
      </c>
      <c r="BJ93" s="41">
        <v>-925</v>
      </c>
      <c r="BK93" s="41">
        <f t="shared" si="52"/>
        <v>-6</v>
      </c>
      <c r="BL93" s="41">
        <v>46599</v>
      </c>
      <c r="BM93" s="55"/>
      <c r="BN93" s="41">
        <v>33565</v>
      </c>
      <c r="BO93" s="50">
        <v>9296</v>
      </c>
      <c r="BP93" s="50">
        <v>2974</v>
      </c>
      <c r="BQ93" s="41">
        <v>861</v>
      </c>
      <c r="BR93" s="41">
        <v>-216</v>
      </c>
      <c r="BS93" s="41">
        <f t="shared" si="46"/>
        <v>158</v>
      </c>
      <c r="BT93" s="41">
        <v>46638</v>
      </c>
      <c r="BV93" s="41">
        <v>36460</v>
      </c>
      <c r="BW93" s="50">
        <v>13020</v>
      </c>
      <c r="BX93" s="41">
        <f t="shared" si="53"/>
        <v>253</v>
      </c>
      <c r="BY93" s="41">
        <v>49733</v>
      </c>
      <c r="CA93" s="41">
        <v>34978</v>
      </c>
      <c r="CB93" s="50">
        <v>10419</v>
      </c>
      <c r="CC93" s="41">
        <f t="shared" si="54"/>
        <v>2589</v>
      </c>
      <c r="CD93" s="41">
        <v>47986</v>
      </c>
      <c r="CF93" s="41">
        <v>31996</v>
      </c>
      <c r="CG93" s="50">
        <v>8521</v>
      </c>
      <c r="CH93" s="41">
        <v>9</v>
      </c>
      <c r="CI93" s="41">
        <f t="shared" si="55"/>
        <v>40526</v>
      </c>
      <c r="CJ93" s="41">
        <v>33172</v>
      </c>
      <c r="CK93" s="50">
        <v>12746</v>
      </c>
      <c r="CL93" s="41">
        <f t="shared" si="59"/>
        <v>45918</v>
      </c>
      <c r="CM93" s="41">
        <v>34540</v>
      </c>
      <c r="CN93" s="50">
        <v>10076</v>
      </c>
      <c r="CO93" s="41">
        <v>0</v>
      </c>
      <c r="CP93" s="41">
        <f t="shared" si="56"/>
        <v>44616</v>
      </c>
      <c r="CQ93" s="41">
        <v>35476</v>
      </c>
      <c r="CR93" s="50">
        <v>11129</v>
      </c>
      <c r="CS93" s="41">
        <f t="shared" si="57"/>
        <v>46605</v>
      </c>
      <c r="CU93" s="39" t="s">
        <v>478</v>
      </c>
    </row>
    <row r="94" spans="1:99">
      <c r="A94" s="39" t="s">
        <v>63</v>
      </c>
      <c r="B94" s="39" t="s">
        <v>87</v>
      </c>
      <c r="C94" s="39" t="s">
        <v>88</v>
      </c>
      <c r="D94" s="56">
        <v>57374001051</v>
      </c>
      <c r="E94" s="68" t="s">
        <v>102</v>
      </c>
      <c r="H94" s="51">
        <v>2006</v>
      </c>
      <c r="I94" s="49">
        <v>0</v>
      </c>
      <c r="J94" s="49">
        <v>0</v>
      </c>
      <c r="K94" s="51">
        <f t="shared" si="48"/>
        <v>2006</v>
      </c>
      <c r="L94" s="51">
        <f t="shared" si="44"/>
        <v>0</v>
      </c>
      <c r="M94" s="51">
        <v>2006</v>
      </c>
      <c r="N94" s="52"/>
      <c r="O94" s="41">
        <v>2129</v>
      </c>
      <c r="P94" s="50">
        <v>21</v>
      </c>
      <c r="Q94" s="50">
        <v>0</v>
      </c>
      <c r="R94" s="50">
        <v>0</v>
      </c>
      <c r="S94" s="41">
        <v>2</v>
      </c>
      <c r="T94" s="41">
        <v>2152</v>
      </c>
      <c r="U94" s="41"/>
      <c r="V94" s="41">
        <v>2169</v>
      </c>
      <c r="W94" s="50">
        <v>53</v>
      </c>
      <c r="X94" s="50">
        <v>0</v>
      </c>
      <c r="Y94" s="41">
        <f t="shared" si="49"/>
        <v>-168</v>
      </c>
      <c r="Z94" s="41">
        <v>2054</v>
      </c>
      <c r="AA94" s="41"/>
      <c r="AB94" s="41">
        <v>2237</v>
      </c>
      <c r="AC94" s="41">
        <v>2</v>
      </c>
      <c r="AD94" s="50">
        <v>0</v>
      </c>
      <c r="AE94" s="41">
        <v>0</v>
      </c>
      <c r="AF94" s="41">
        <v>0</v>
      </c>
      <c r="AG94" s="41">
        <f t="shared" si="60"/>
        <v>30</v>
      </c>
      <c r="AH94" s="41">
        <v>2269</v>
      </c>
      <c r="AI94" s="41"/>
      <c r="AJ94" s="41">
        <v>2469</v>
      </c>
      <c r="AK94" s="50">
        <v>5</v>
      </c>
      <c r="AL94" s="41">
        <v>3</v>
      </c>
      <c r="AM94" s="50">
        <v>19</v>
      </c>
      <c r="AN94" s="41">
        <f t="shared" si="50"/>
        <v>75</v>
      </c>
      <c r="AO94" s="41">
        <v>2571</v>
      </c>
      <c r="AP94" s="41"/>
      <c r="AQ94" s="53">
        <v>2607</v>
      </c>
      <c r="AR94" s="54">
        <v>65</v>
      </c>
      <c r="AS94" s="54">
        <v>10</v>
      </c>
      <c r="AT94" s="53">
        <v>0</v>
      </c>
      <c r="AU94" s="41">
        <f t="shared" si="51"/>
        <v>43</v>
      </c>
      <c r="AV94" s="41">
        <v>2725</v>
      </c>
      <c r="AW94" s="41"/>
      <c r="AX94" s="41">
        <v>2802</v>
      </c>
      <c r="AY94" s="54">
        <v>0</v>
      </c>
      <c r="AZ94" s="50">
        <v>12</v>
      </c>
      <c r="BA94" s="50">
        <v>5</v>
      </c>
      <c r="BB94" s="41">
        <v>161</v>
      </c>
      <c r="BC94" s="41">
        <f t="shared" si="58"/>
        <v>1</v>
      </c>
      <c r="BD94" s="41">
        <v>2981</v>
      </c>
      <c r="BF94" s="41">
        <v>3012</v>
      </c>
      <c r="BG94" s="50">
        <v>12</v>
      </c>
      <c r="BH94" s="41">
        <v>13</v>
      </c>
      <c r="BI94" s="50">
        <v>35</v>
      </c>
      <c r="BJ94" s="41">
        <v>-164</v>
      </c>
      <c r="BK94" s="41">
        <f t="shared" si="52"/>
        <v>2</v>
      </c>
      <c r="BL94" s="41">
        <v>2910</v>
      </c>
      <c r="BM94" s="55"/>
      <c r="BN94" s="41">
        <v>3129</v>
      </c>
      <c r="BO94" s="50">
        <v>126</v>
      </c>
      <c r="BP94" s="50">
        <v>5</v>
      </c>
      <c r="BQ94" s="41">
        <v>119</v>
      </c>
      <c r="BR94" s="41">
        <v>-16</v>
      </c>
      <c r="BS94" s="41">
        <f t="shared" si="46"/>
        <v>-40</v>
      </c>
      <c r="BT94" s="41">
        <v>3323</v>
      </c>
      <c r="BV94" s="41">
        <v>3291</v>
      </c>
      <c r="BW94" s="50">
        <v>189</v>
      </c>
      <c r="BX94" s="41">
        <f t="shared" si="53"/>
        <v>-100</v>
      </c>
      <c r="BY94" s="41">
        <v>3380</v>
      </c>
      <c r="CA94" s="41">
        <v>3274</v>
      </c>
      <c r="CB94" s="50">
        <v>142</v>
      </c>
      <c r="CC94" s="41">
        <f t="shared" si="54"/>
        <v>-27</v>
      </c>
      <c r="CD94" s="41">
        <v>3389</v>
      </c>
      <c r="CF94" s="41">
        <v>2996</v>
      </c>
      <c r="CG94" s="50">
        <v>56</v>
      </c>
      <c r="CH94" s="41">
        <v>0</v>
      </c>
      <c r="CI94" s="41">
        <f t="shared" si="55"/>
        <v>3052</v>
      </c>
      <c r="CJ94" s="41">
        <v>3062</v>
      </c>
      <c r="CK94" s="50">
        <v>33</v>
      </c>
      <c r="CL94" s="41">
        <f t="shared" si="59"/>
        <v>3095</v>
      </c>
      <c r="CM94" s="41">
        <v>3026</v>
      </c>
      <c r="CN94" s="50">
        <v>78</v>
      </c>
      <c r="CO94" s="41">
        <v>0</v>
      </c>
      <c r="CP94" s="41">
        <f t="shared" si="56"/>
        <v>3104</v>
      </c>
      <c r="CQ94" s="41">
        <v>2981</v>
      </c>
      <c r="CR94" s="50">
        <v>58</v>
      </c>
      <c r="CS94" s="41">
        <f t="shared" si="57"/>
        <v>3039</v>
      </c>
      <c r="CU94" s="39" t="s">
        <v>479</v>
      </c>
    </row>
    <row r="95" spans="1:99">
      <c r="A95" s="39" t="s">
        <v>63</v>
      </c>
      <c r="B95" s="39" t="s">
        <v>87</v>
      </c>
      <c r="C95" s="39" t="s">
        <v>88</v>
      </c>
      <c r="D95" s="56">
        <v>57384001051</v>
      </c>
      <c r="E95" s="68" t="s">
        <v>103</v>
      </c>
      <c r="H95" s="51">
        <v>3952</v>
      </c>
      <c r="I95" s="49">
        <v>0</v>
      </c>
      <c r="J95" s="49">
        <v>0</v>
      </c>
      <c r="K95" s="51">
        <f t="shared" si="48"/>
        <v>3952</v>
      </c>
      <c r="L95" s="51">
        <f t="shared" si="44"/>
        <v>-1</v>
      </c>
      <c r="M95" s="51">
        <v>3951</v>
      </c>
      <c r="N95" s="52"/>
      <c r="O95" s="41">
        <v>4054</v>
      </c>
      <c r="P95" s="50">
        <v>38</v>
      </c>
      <c r="Q95" s="50">
        <v>0</v>
      </c>
      <c r="R95" s="50">
        <v>20</v>
      </c>
      <c r="S95" s="41">
        <v>178</v>
      </c>
      <c r="T95" s="41">
        <v>4290</v>
      </c>
      <c r="U95" s="41"/>
      <c r="V95" s="41">
        <v>4469</v>
      </c>
      <c r="W95" s="50">
        <v>214</v>
      </c>
      <c r="X95" s="50">
        <v>0</v>
      </c>
      <c r="Y95" s="41">
        <f t="shared" si="49"/>
        <v>-167</v>
      </c>
      <c r="Z95" s="41">
        <v>4516</v>
      </c>
      <c r="AA95" s="41"/>
      <c r="AB95" s="41">
        <v>4462</v>
      </c>
      <c r="AC95" s="41">
        <v>2</v>
      </c>
      <c r="AD95" s="50">
        <v>0</v>
      </c>
      <c r="AE95" s="41">
        <v>0</v>
      </c>
      <c r="AF95" s="41">
        <v>0</v>
      </c>
      <c r="AG95" s="41">
        <f t="shared" si="60"/>
        <v>101</v>
      </c>
      <c r="AH95" s="41">
        <v>4565</v>
      </c>
      <c r="AI95" s="41"/>
      <c r="AJ95" s="41">
        <v>4644</v>
      </c>
      <c r="AK95" s="50">
        <v>7</v>
      </c>
      <c r="AL95" s="41">
        <v>41</v>
      </c>
      <c r="AM95" s="50">
        <v>30</v>
      </c>
      <c r="AN95" s="41">
        <f t="shared" si="50"/>
        <v>146</v>
      </c>
      <c r="AO95" s="41">
        <v>4868</v>
      </c>
      <c r="AP95" s="41"/>
      <c r="AQ95" s="53">
        <v>4989</v>
      </c>
      <c r="AR95" s="54">
        <v>200</v>
      </c>
      <c r="AS95" s="54">
        <v>38</v>
      </c>
      <c r="AT95" s="53">
        <v>0</v>
      </c>
      <c r="AU95" s="41">
        <f t="shared" si="51"/>
        <v>19</v>
      </c>
      <c r="AV95" s="41">
        <v>5246</v>
      </c>
      <c r="AW95" s="41"/>
      <c r="AX95" s="41">
        <v>5441</v>
      </c>
      <c r="AY95" s="54">
        <v>0</v>
      </c>
      <c r="AZ95" s="50">
        <v>52</v>
      </c>
      <c r="BA95" s="50">
        <v>24</v>
      </c>
      <c r="BB95" s="41">
        <v>263</v>
      </c>
      <c r="BC95" s="41">
        <f t="shared" si="58"/>
        <v>45</v>
      </c>
      <c r="BD95" s="41">
        <v>5825</v>
      </c>
      <c r="BF95" s="41">
        <v>5889</v>
      </c>
      <c r="BG95" s="50">
        <v>53</v>
      </c>
      <c r="BH95" s="41">
        <v>26</v>
      </c>
      <c r="BI95" s="50">
        <v>0</v>
      </c>
      <c r="BJ95" s="41">
        <v>-251</v>
      </c>
      <c r="BK95" s="41">
        <f t="shared" si="52"/>
        <v>2</v>
      </c>
      <c r="BL95" s="41">
        <v>5719</v>
      </c>
      <c r="BM95" s="55"/>
      <c r="BN95" s="41">
        <v>5892</v>
      </c>
      <c r="BO95" s="50">
        <v>290</v>
      </c>
      <c r="BP95" s="50">
        <v>26</v>
      </c>
      <c r="BQ95" s="41">
        <v>177</v>
      </c>
      <c r="BR95" s="41">
        <v>-30</v>
      </c>
      <c r="BS95" s="41">
        <f t="shared" si="46"/>
        <v>-270</v>
      </c>
      <c r="BT95" s="41">
        <v>6085</v>
      </c>
      <c r="BV95" s="41">
        <v>5919</v>
      </c>
      <c r="BW95" s="50">
        <v>403</v>
      </c>
      <c r="BX95" s="41">
        <f t="shared" si="53"/>
        <v>-77</v>
      </c>
      <c r="BY95" s="41">
        <v>6245</v>
      </c>
      <c r="CA95" s="41">
        <v>6099</v>
      </c>
      <c r="CB95" s="50">
        <v>34</v>
      </c>
      <c r="CC95" s="41">
        <f t="shared" si="54"/>
        <v>73</v>
      </c>
      <c r="CD95" s="41">
        <v>6206</v>
      </c>
      <c r="CF95" s="41">
        <v>6008</v>
      </c>
      <c r="CG95" s="50">
        <v>32</v>
      </c>
      <c r="CH95" s="41">
        <v>6</v>
      </c>
      <c r="CI95" s="41">
        <f t="shared" si="55"/>
        <v>6046</v>
      </c>
      <c r="CJ95" s="41">
        <v>6392</v>
      </c>
      <c r="CK95" s="50">
        <v>22</v>
      </c>
      <c r="CL95" s="41">
        <f t="shared" si="59"/>
        <v>6414</v>
      </c>
      <c r="CM95" s="41">
        <v>6409</v>
      </c>
      <c r="CN95" s="50">
        <v>23</v>
      </c>
      <c r="CO95" s="41">
        <v>0</v>
      </c>
      <c r="CP95" s="41">
        <f t="shared" si="56"/>
        <v>6432</v>
      </c>
      <c r="CQ95" s="41">
        <v>6821</v>
      </c>
      <c r="CR95" s="50">
        <v>20</v>
      </c>
      <c r="CS95" s="41">
        <f t="shared" si="57"/>
        <v>6841</v>
      </c>
      <c r="CU95" s="39" t="s">
        <v>480</v>
      </c>
    </row>
    <row r="96" spans="1:99">
      <c r="A96" s="39" t="s">
        <v>63</v>
      </c>
      <c r="B96" s="39" t="s">
        <v>87</v>
      </c>
      <c r="C96" s="39" t="s">
        <v>88</v>
      </c>
      <c r="D96" s="56">
        <v>97014501051</v>
      </c>
      <c r="E96" s="68" t="s">
        <v>104</v>
      </c>
      <c r="H96" s="51">
        <v>475</v>
      </c>
      <c r="I96" s="49">
        <v>0</v>
      </c>
      <c r="J96" s="49">
        <v>0</v>
      </c>
      <c r="K96" s="51">
        <f t="shared" si="48"/>
        <v>475</v>
      </c>
      <c r="L96" s="51">
        <f t="shared" si="44"/>
        <v>-475</v>
      </c>
      <c r="M96" s="51">
        <v>0</v>
      </c>
      <c r="N96" s="52"/>
      <c r="O96" s="41">
        <v>0</v>
      </c>
      <c r="P96" s="50">
        <v>0</v>
      </c>
      <c r="Q96" s="50">
        <v>0</v>
      </c>
      <c r="R96" s="50">
        <v>0</v>
      </c>
      <c r="S96" s="41">
        <v>0</v>
      </c>
      <c r="T96" s="41">
        <v>0</v>
      </c>
      <c r="U96" s="41"/>
      <c r="V96" s="41">
        <v>0</v>
      </c>
      <c r="W96" s="50">
        <v>0</v>
      </c>
      <c r="X96" s="50">
        <v>0</v>
      </c>
      <c r="Y96" s="41">
        <f t="shared" si="49"/>
        <v>0</v>
      </c>
      <c r="Z96" s="41">
        <v>0</v>
      </c>
      <c r="AA96" s="41"/>
      <c r="AB96" s="41">
        <v>0</v>
      </c>
      <c r="AC96" s="41">
        <v>0</v>
      </c>
      <c r="AD96" s="50">
        <v>0</v>
      </c>
      <c r="AE96" s="41">
        <v>0</v>
      </c>
      <c r="AF96" s="41">
        <v>0</v>
      </c>
      <c r="AG96" s="41">
        <f t="shared" si="60"/>
        <v>0</v>
      </c>
      <c r="AH96" s="41">
        <v>0</v>
      </c>
      <c r="AI96" s="41"/>
      <c r="AJ96" s="41">
        <v>0</v>
      </c>
      <c r="AK96" s="50">
        <v>0</v>
      </c>
      <c r="AL96" s="41">
        <v>0</v>
      </c>
      <c r="AM96" s="50">
        <v>0</v>
      </c>
      <c r="AN96" s="41">
        <f t="shared" si="50"/>
        <v>0</v>
      </c>
      <c r="AO96" s="41">
        <v>0</v>
      </c>
      <c r="AP96" s="41"/>
      <c r="AQ96" s="53">
        <v>0</v>
      </c>
      <c r="AR96" s="54">
        <v>0</v>
      </c>
      <c r="AS96" s="54">
        <v>0</v>
      </c>
      <c r="AT96" s="53">
        <v>0</v>
      </c>
      <c r="AU96" s="41">
        <f t="shared" si="51"/>
        <v>0</v>
      </c>
      <c r="AV96" s="41">
        <v>0</v>
      </c>
      <c r="AW96" s="41"/>
      <c r="AX96" s="41">
        <v>0</v>
      </c>
      <c r="AY96" s="54">
        <v>0</v>
      </c>
      <c r="AZ96" s="50">
        <v>0</v>
      </c>
      <c r="BA96" s="50">
        <v>0</v>
      </c>
      <c r="BB96" s="41">
        <v>0</v>
      </c>
      <c r="BC96" s="41">
        <f t="shared" si="58"/>
        <v>0</v>
      </c>
      <c r="BD96" s="41">
        <v>0</v>
      </c>
      <c r="BF96" s="41">
        <v>0</v>
      </c>
      <c r="BG96" s="50">
        <v>0</v>
      </c>
      <c r="BH96" s="41">
        <v>0</v>
      </c>
      <c r="BI96" s="50">
        <v>0</v>
      </c>
      <c r="BJ96" s="41">
        <v>0</v>
      </c>
      <c r="BK96" s="41">
        <f t="shared" si="52"/>
        <v>0</v>
      </c>
      <c r="BL96" s="41">
        <v>0</v>
      </c>
      <c r="BM96" s="55"/>
      <c r="BN96" s="41">
        <v>0</v>
      </c>
      <c r="BO96" s="50">
        <v>0</v>
      </c>
      <c r="BP96" s="50">
        <v>0</v>
      </c>
      <c r="BQ96" s="41">
        <v>0</v>
      </c>
      <c r="BR96" s="41">
        <v>0</v>
      </c>
      <c r="BS96" s="41">
        <f t="shared" si="46"/>
        <v>0</v>
      </c>
      <c r="BT96" s="41">
        <v>0</v>
      </c>
      <c r="BV96" s="41">
        <v>0</v>
      </c>
      <c r="BW96" s="50">
        <v>0</v>
      </c>
      <c r="BX96" s="41">
        <f t="shared" si="53"/>
        <v>0</v>
      </c>
      <c r="BY96" s="41">
        <v>0</v>
      </c>
      <c r="CA96" s="41">
        <v>0</v>
      </c>
      <c r="CB96" s="50">
        <v>0</v>
      </c>
      <c r="CC96" s="41">
        <f t="shared" si="54"/>
        <v>0</v>
      </c>
      <c r="CD96" s="41">
        <v>0</v>
      </c>
      <c r="CF96" s="41">
        <v>0</v>
      </c>
      <c r="CG96" s="50">
        <v>0</v>
      </c>
      <c r="CH96" s="41">
        <v>0</v>
      </c>
      <c r="CI96" s="41">
        <f t="shared" si="55"/>
        <v>0</v>
      </c>
      <c r="CJ96" s="41">
        <v>0</v>
      </c>
      <c r="CK96" s="50">
        <v>0</v>
      </c>
      <c r="CL96" s="41">
        <f t="shared" si="59"/>
        <v>0</v>
      </c>
      <c r="CM96" s="41">
        <v>0</v>
      </c>
      <c r="CN96" s="50">
        <v>0</v>
      </c>
      <c r="CO96" s="41">
        <v>0</v>
      </c>
      <c r="CP96" s="41">
        <f t="shared" si="56"/>
        <v>0</v>
      </c>
      <c r="CQ96" s="41">
        <v>0</v>
      </c>
      <c r="CR96" s="50">
        <v>1100</v>
      </c>
      <c r="CS96" s="41">
        <f t="shared" si="57"/>
        <v>1100</v>
      </c>
    </row>
    <row r="97" spans="1:99">
      <c r="A97" s="39" t="s">
        <v>63</v>
      </c>
      <c r="B97" s="39" t="s">
        <v>87</v>
      </c>
      <c r="C97" s="39" t="s">
        <v>88</v>
      </c>
      <c r="D97" s="56">
        <v>97010001051</v>
      </c>
      <c r="E97" s="68" t="s">
        <v>105</v>
      </c>
      <c r="H97" s="51">
        <v>12702</v>
      </c>
      <c r="I97" s="49">
        <v>0</v>
      </c>
      <c r="J97" s="49">
        <v>722</v>
      </c>
      <c r="K97" s="51">
        <f t="shared" si="48"/>
        <v>13424</v>
      </c>
      <c r="L97" s="51">
        <f t="shared" si="44"/>
        <v>411</v>
      </c>
      <c r="M97" s="51">
        <v>13835</v>
      </c>
      <c r="N97" s="52"/>
      <c r="O97" s="41">
        <v>14097</v>
      </c>
      <c r="P97" s="50">
        <v>300</v>
      </c>
      <c r="Q97" s="50">
        <v>1377</v>
      </c>
      <c r="R97" s="50">
        <v>3471</v>
      </c>
      <c r="S97" s="41">
        <v>-942</v>
      </c>
      <c r="T97" s="41">
        <v>18303</v>
      </c>
      <c r="U97" s="41"/>
      <c r="V97" s="41">
        <v>16251</v>
      </c>
      <c r="W97" s="50">
        <v>4355</v>
      </c>
      <c r="X97" s="50">
        <v>404</v>
      </c>
      <c r="Y97" s="41">
        <f t="shared" si="49"/>
        <v>-454</v>
      </c>
      <c r="Z97" s="41">
        <v>20556</v>
      </c>
      <c r="AA97" s="41"/>
      <c r="AB97" s="41">
        <f>16967</f>
        <v>16967</v>
      </c>
      <c r="AC97" s="41">
        <v>100</v>
      </c>
      <c r="AD97" s="50">
        <f>3071-AE97</f>
        <v>3042</v>
      </c>
      <c r="AE97" s="41">
        <v>29</v>
      </c>
      <c r="AF97" s="41">
        <v>1894</v>
      </c>
      <c r="AG97" s="41">
        <f t="shared" si="60"/>
        <v>-837</v>
      </c>
      <c r="AH97" s="41">
        <v>21195</v>
      </c>
      <c r="AI97" s="41"/>
      <c r="AJ97" s="41">
        <v>18285</v>
      </c>
      <c r="AK97" s="50">
        <v>805</v>
      </c>
      <c r="AL97" s="41">
        <v>743</v>
      </c>
      <c r="AM97" s="50">
        <v>2756</v>
      </c>
      <c r="AN97" s="41">
        <f t="shared" si="50"/>
        <v>1222</v>
      </c>
      <c r="AO97" s="41">
        <v>23811</v>
      </c>
      <c r="AP97" s="41"/>
      <c r="AQ97" s="53">
        <v>19973</v>
      </c>
      <c r="AR97" s="54">
        <v>2755</v>
      </c>
      <c r="AS97" s="54">
        <v>2714</v>
      </c>
      <c r="AT97" s="53">
        <v>0</v>
      </c>
      <c r="AU97" s="41">
        <f t="shared" si="51"/>
        <v>261</v>
      </c>
      <c r="AV97" s="41">
        <v>25703</v>
      </c>
      <c r="AW97" s="41"/>
      <c r="AX97" s="41">
        <v>22649</v>
      </c>
      <c r="AY97" s="54">
        <v>20</v>
      </c>
      <c r="AZ97" s="50">
        <v>2116</v>
      </c>
      <c r="BA97" s="50">
        <v>3618</v>
      </c>
      <c r="BB97" s="41">
        <v>40</v>
      </c>
      <c r="BC97" s="41">
        <f t="shared" si="58"/>
        <v>856</v>
      </c>
      <c r="BD97" s="41">
        <v>29299</v>
      </c>
      <c r="BF97" s="41">
        <v>26093</v>
      </c>
      <c r="BG97" s="50">
        <v>2798</v>
      </c>
      <c r="BH97" s="41">
        <v>0</v>
      </c>
      <c r="BI97" s="50">
        <v>5102</v>
      </c>
      <c r="BJ97" s="41">
        <v>-268</v>
      </c>
      <c r="BK97" s="41">
        <f t="shared" si="52"/>
        <v>-112</v>
      </c>
      <c r="BL97" s="41">
        <v>33613</v>
      </c>
      <c r="BM97" s="55"/>
      <c r="BN97" s="41">
        <v>28334</v>
      </c>
      <c r="BO97" s="50">
        <v>7683</v>
      </c>
      <c r="BP97" s="50">
        <v>1147</v>
      </c>
      <c r="BQ97" s="41">
        <v>40</v>
      </c>
      <c r="BR97" s="41">
        <v>-126</v>
      </c>
      <c r="BS97" s="41">
        <f t="shared" si="46"/>
        <v>295</v>
      </c>
      <c r="BT97" s="41">
        <v>37373</v>
      </c>
      <c r="BV97" s="41">
        <v>29501</v>
      </c>
      <c r="BW97" s="50">
        <v>9397</v>
      </c>
      <c r="BX97" s="41">
        <f t="shared" si="53"/>
        <v>-365</v>
      </c>
      <c r="BY97" s="41">
        <v>38533</v>
      </c>
      <c r="CA97" s="41">
        <v>30346</v>
      </c>
      <c r="CB97" s="50">
        <v>9252</v>
      </c>
      <c r="CC97" s="41">
        <f t="shared" si="54"/>
        <v>199</v>
      </c>
      <c r="CD97" s="41">
        <v>39797</v>
      </c>
      <c r="CF97" s="41">
        <v>29632</v>
      </c>
      <c r="CG97" s="50">
        <v>7120</v>
      </c>
      <c r="CH97" s="41">
        <v>0</v>
      </c>
      <c r="CI97" s="41">
        <f t="shared" si="55"/>
        <v>36752</v>
      </c>
      <c r="CJ97" s="41">
        <v>31125</v>
      </c>
      <c r="CK97" s="50">
        <v>6227</v>
      </c>
      <c r="CL97" s="41">
        <f t="shared" si="59"/>
        <v>37352</v>
      </c>
      <c r="CM97" s="41">
        <v>31048</v>
      </c>
      <c r="CN97" s="50">
        <v>6211</v>
      </c>
      <c r="CO97" s="41">
        <v>0</v>
      </c>
      <c r="CP97" s="41">
        <f t="shared" si="56"/>
        <v>37259</v>
      </c>
      <c r="CQ97" s="41">
        <v>32154</v>
      </c>
      <c r="CR97" s="50">
        <v>5666</v>
      </c>
      <c r="CS97" s="41">
        <f t="shared" si="57"/>
        <v>37820</v>
      </c>
      <c r="CU97" s="39" t="s">
        <v>481</v>
      </c>
    </row>
    <row r="98" spans="1:99">
      <c r="A98" s="39" t="s">
        <v>63</v>
      </c>
      <c r="B98" s="39" t="s">
        <v>87</v>
      </c>
      <c r="C98" s="39" t="s">
        <v>88</v>
      </c>
      <c r="D98" s="56">
        <v>97010401051</v>
      </c>
      <c r="E98" s="68" t="s">
        <v>106</v>
      </c>
      <c r="H98" s="51">
        <v>9</v>
      </c>
      <c r="I98" s="49">
        <v>0</v>
      </c>
      <c r="J98" s="49">
        <v>0</v>
      </c>
      <c r="K98" s="51">
        <f t="shared" si="48"/>
        <v>9</v>
      </c>
      <c r="L98" s="51">
        <f t="shared" si="44"/>
        <v>0</v>
      </c>
      <c r="M98" s="51">
        <v>9</v>
      </c>
      <c r="N98" s="52"/>
      <c r="O98" s="41">
        <v>10</v>
      </c>
      <c r="P98" s="50">
        <v>0</v>
      </c>
      <c r="Q98" s="50">
        <v>0</v>
      </c>
      <c r="R98" s="50">
        <v>0</v>
      </c>
      <c r="S98" s="41">
        <v>0</v>
      </c>
      <c r="T98" s="41">
        <v>10</v>
      </c>
      <c r="U98" s="41"/>
      <c r="V98" s="41">
        <v>10</v>
      </c>
      <c r="W98" s="50">
        <v>0</v>
      </c>
      <c r="X98" s="50">
        <v>0</v>
      </c>
      <c r="Y98" s="41">
        <f t="shared" si="49"/>
        <v>0</v>
      </c>
      <c r="Z98" s="41">
        <v>10</v>
      </c>
      <c r="AA98" s="41"/>
      <c r="AB98" s="41">
        <v>11</v>
      </c>
      <c r="AC98" s="41">
        <v>0</v>
      </c>
      <c r="AD98" s="50">
        <v>0</v>
      </c>
      <c r="AE98" s="41">
        <v>0</v>
      </c>
      <c r="AF98" s="41">
        <v>0</v>
      </c>
      <c r="AG98" s="41">
        <f t="shared" si="60"/>
        <v>0</v>
      </c>
      <c r="AH98" s="41">
        <v>11</v>
      </c>
      <c r="AI98" s="41"/>
      <c r="AJ98" s="41">
        <v>11</v>
      </c>
      <c r="AK98" s="50">
        <v>0</v>
      </c>
      <c r="AL98" s="41">
        <v>0</v>
      </c>
      <c r="AM98" s="50">
        <v>0</v>
      </c>
      <c r="AN98" s="41">
        <f t="shared" si="50"/>
        <v>0</v>
      </c>
      <c r="AO98" s="41">
        <v>11</v>
      </c>
      <c r="AP98" s="41"/>
      <c r="AQ98" s="53">
        <v>12</v>
      </c>
      <c r="AR98" s="54">
        <v>0</v>
      </c>
      <c r="AS98" s="54">
        <v>0</v>
      </c>
      <c r="AT98" s="53">
        <v>0</v>
      </c>
      <c r="AU98" s="41">
        <f t="shared" si="51"/>
        <v>0</v>
      </c>
      <c r="AV98" s="41">
        <v>12</v>
      </c>
      <c r="AW98" s="41"/>
      <c r="AX98" s="41">
        <v>12</v>
      </c>
      <c r="AY98" s="54">
        <v>0</v>
      </c>
      <c r="AZ98" s="50">
        <v>0</v>
      </c>
      <c r="BA98" s="50">
        <v>0</v>
      </c>
      <c r="BB98" s="41">
        <v>0</v>
      </c>
      <c r="BC98" s="41">
        <f t="shared" si="58"/>
        <v>1</v>
      </c>
      <c r="BD98" s="41">
        <v>13</v>
      </c>
      <c r="BF98" s="41">
        <v>13</v>
      </c>
      <c r="BG98" s="50">
        <v>0</v>
      </c>
      <c r="BH98" s="41">
        <v>0</v>
      </c>
      <c r="BI98" s="50">
        <v>0</v>
      </c>
      <c r="BJ98" s="41">
        <v>0</v>
      </c>
      <c r="BK98" s="41">
        <f t="shared" si="52"/>
        <v>0</v>
      </c>
      <c r="BL98" s="41">
        <v>13</v>
      </c>
      <c r="BM98" s="55"/>
      <c r="BN98" s="41">
        <v>14</v>
      </c>
      <c r="BO98" s="50">
        <v>0</v>
      </c>
      <c r="BP98" s="50">
        <v>0</v>
      </c>
      <c r="BQ98" s="41">
        <v>0</v>
      </c>
      <c r="BR98" s="41">
        <v>0</v>
      </c>
      <c r="BS98" s="41">
        <f t="shared" si="46"/>
        <v>0</v>
      </c>
      <c r="BT98" s="41">
        <v>14</v>
      </c>
      <c r="BV98" s="41">
        <v>14</v>
      </c>
      <c r="BW98" s="50">
        <v>0</v>
      </c>
      <c r="BX98" s="41">
        <f t="shared" si="53"/>
        <v>0</v>
      </c>
      <c r="BY98" s="41">
        <v>14</v>
      </c>
      <c r="CA98" s="41">
        <v>14</v>
      </c>
      <c r="CB98" s="50">
        <v>0</v>
      </c>
      <c r="CC98" s="41">
        <f t="shared" si="54"/>
        <v>0</v>
      </c>
      <c r="CD98" s="41">
        <v>14</v>
      </c>
      <c r="CF98" s="41">
        <v>13</v>
      </c>
      <c r="CG98" s="50">
        <v>0</v>
      </c>
      <c r="CH98" s="41">
        <v>0</v>
      </c>
      <c r="CI98" s="41">
        <f t="shared" si="55"/>
        <v>13</v>
      </c>
      <c r="CJ98" s="41">
        <v>14</v>
      </c>
      <c r="CK98" s="50">
        <v>0</v>
      </c>
      <c r="CL98" s="41">
        <f t="shared" si="59"/>
        <v>14</v>
      </c>
      <c r="CM98" s="41">
        <v>14</v>
      </c>
      <c r="CN98" s="50">
        <v>0</v>
      </c>
      <c r="CO98" s="41">
        <v>0</v>
      </c>
      <c r="CP98" s="41">
        <f t="shared" si="56"/>
        <v>14</v>
      </c>
      <c r="CQ98" s="41">
        <v>14</v>
      </c>
      <c r="CR98" s="50">
        <v>0</v>
      </c>
      <c r="CS98" s="41">
        <f t="shared" si="57"/>
        <v>14</v>
      </c>
      <c r="CU98" s="39" t="s">
        <v>482</v>
      </c>
    </row>
    <row r="99" spans="1:99">
      <c r="A99" s="39" t="s">
        <v>63</v>
      </c>
      <c r="B99" s="39" t="s">
        <v>87</v>
      </c>
      <c r="C99" s="39" t="s">
        <v>88</v>
      </c>
      <c r="D99" s="57">
        <v>97010501051</v>
      </c>
      <c r="E99" s="68" t="s">
        <v>107</v>
      </c>
      <c r="H99" s="51">
        <v>837</v>
      </c>
      <c r="I99" s="49">
        <v>0</v>
      </c>
      <c r="J99" s="49">
        <v>0</v>
      </c>
      <c r="K99" s="51">
        <f t="shared" si="48"/>
        <v>837</v>
      </c>
      <c r="L99" s="51">
        <f t="shared" si="44"/>
        <v>-837</v>
      </c>
      <c r="M99" s="51">
        <v>0</v>
      </c>
      <c r="N99" s="52"/>
      <c r="O99" s="41">
        <v>872</v>
      </c>
      <c r="P99" s="50">
        <v>0</v>
      </c>
      <c r="Q99" s="50">
        <v>0</v>
      </c>
      <c r="R99" s="50">
        <v>34</v>
      </c>
      <c r="S99" s="41">
        <v>-906</v>
      </c>
      <c r="T99" s="41">
        <v>0</v>
      </c>
      <c r="U99" s="41"/>
      <c r="V99" s="41">
        <v>836</v>
      </c>
      <c r="W99" s="50">
        <v>73</v>
      </c>
      <c r="X99" s="50">
        <v>0</v>
      </c>
      <c r="Y99" s="41">
        <f t="shared" si="49"/>
        <v>-909</v>
      </c>
      <c r="Z99" s="41">
        <v>0</v>
      </c>
      <c r="AA99" s="41"/>
      <c r="AB99" s="41">
        <v>907</v>
      </c>
      <c r="AC99" s="41">
        <v>0</v>
      </c>
      <c r="AD99" s="50">
        <v>242</v>
      </c>
      <c r="AE99" s="41">
        <v>0</v>
      </c>
      <c r="AF99" s="41">
        <v>0</v>
      </c>
      <c r="AG99" s="41">
        <f t="shared" si="60"/>
        <v>-1149</v>
      </c>
      <c r="AH99" s="41">
        <v>0</v>
      </c>
      <c r="AI99" s="41"/>
      <c r="AJ99" s="41">
        <v>908</v>
      </c>
      <c r="AK99" s="50">
        <v>28</v>
      </c>
      <c r="AL99" s="41">
        <v>0</v>
      </c>
      <c r="AM99" s="50">
        <v>150</v>
      </c>
      <c r="AN99" s="41">
        <f t="shared" si="50"/>
        <v>-1022</v>
      </c>
      <c r="AO99" s="41">
        <v>64</v>
      </c>
      <c r="AP99" s="41"/>
      <c r="AQ99" s="53">
        <v>974</v>
      </c>
      <c r="AR99" s="54">
        <v>100</v>
      </c>
      <c r="AS99" s="54">
        <v>255</v>
      </c>
      <c r="AT99" s="53">
        <v>0</v>
      </c>
      <c r="AU99" s="41">
        <f t="shared" si="51"/>
        <v>-1214</v>
      </c>
      <c r="AV99" s="41">
        <v>115</v>
      </c>
      <c r="AW99" s="41"/>
      <c r="AX99" s="41">
        <v>984</v>
      </c>
      <c r="AY99" s="54">
        <v>0</v>
      </c>
      <c r="AZ99" s="50">
        <v>193</v>
      </c>
      <c r="BA99" s="50">
        <v>65</v>
      </c>
      <c r="BB99" s="41">
        <v>0</v>
      </c>
      <c r="BC99" s="41">
        <f t="shared" si="58"/>
        <v>-1197</v>
      </c>
      <c r="BD99" s="41">
        <v>45</v>
      </c>
      <c r="BF99" s="41">
        <v>618</v>
      </c>
      <c r="BG99" s="50">
        <v>188</v>
      </c>
      <c r="BH99" s="41">
        <v>0</v>
      </c>
      <c r="BI99" s="50">
        <v>120</v>
      </c>
      <c r="BJ99" s="41">
        <v>0</v>
      </c>
      <c r="BK99" s="41">
        <f t="shared" si="52"/>
        <v>-872</v>
      </c>
      <c r="BL99" s="41">
        <v>54</v>
      </c>
      <c r="BM99" s="55"/>
      <c r="BN99" s="41">
        <v>53</v>
      </c>
      <c r="BO99" s="50">
        <v>31</v>
      </c>
      <c r="BP99" s="50">
        <v>94</v>
      </c>
      <c r="BQ99" s="41">
        <v>0</v>
      </c>
      <c r="BR99" s="41">
        <v>0</v>
      </c>
      <c r="BS99" s="41">
        <f t="shared" si="46"/>
        <v>-84</v>
      </c>
      <c r="BT99" s="41">
        <v>94</v>
      </c>
      <c r="BV99" s="41">
        <v>394</v>
      </c>
      <c r="BW99" s="50">
        <v>140</v>
      </c>
      <c r="BX99" s="41">
        <f t="shared" si="53"/>
        <v>-360</v>
      </c>
      <c r="BY99" s="41">
        <v>174</v>
      </c>
      <c r="CA99" s="41">
        <v>1209</v>
      </c>
      <c r="CB99" s="50">
        <v>457</v>
      </c>
      <c r="CC99" s="41">
        <f t="shared" si="54"/>
        <v>-1461</v>
      </c>
      <c r="CD99" s="41">
        <v>205</v>
      </c>
      <c r="CF99" s="41">
        <v>1065</v>
      </c>
      <c r="CG99" s="50">
        <v>431</v>
      </c>
      <c r="CH99" s="41">
        <v>0</v>
      </c>
      <c r="CI99" s="41">
        <f t="shared" si="55"/>
        <v>1496</v>
      </c>
      <c r="CJ99" s="41">
        <v>1016</v>
      </c>
      <c r="CK99" s="50">
        <v>376</v>
      </c>
      <c r="CL99" s="41">
        <f t="shared" si="59"/>
        <v>1392</v>
      </c>
      <c r="CM99" s="41">
        <v>951</v>
      </c>
      <c r="CN99" s="50">
        <v>205</v>
      </c>
      <c r="CO99" s="41">
        <v>0</v>
      </c>
      <c r="CP99" s="41">
        <f t="shared" si="56"/>
        <v>1156</v>
      </c>
      <c r="CQ99" s="41">
        <v>1051</v>
      </c>
      <c r="CR99" s="50">
        <v>186</v>
      </c>
      <c r="CS99" s="41">
        <f t="shared" si="57"/>
        <v>1237</v>
      </c>
      <c r="CU99" s="44" t="s">
        <v>483</v>
      </c>
    </row>
    <row r="100" spans="1:99">
      <c r="A100" s="39" t="s">
        <v>63</v>
      </c>
      <c r="B100" s="39" t="s">
        <v>87</v>
      </c>
      <c r="C100" s="39" t="s">
        <v>88</v>
      </c>
      <c r="D100" s="56">
        <v>97010701051</v>
      </c>
      <c r="E100" s="68" t="s">
        <v>108</v>
      </c>
      <c r="H100" s="51">
        <v>151</v>
      </c>
      <c r="I100" s="49">
        <v>0</v>
      </c>
      <c r="J100" s="49">
        <v>0</v>
      </c>
      <c r="K100" s="51">
        <f t="shared" si="48"/>
        <v>151</v>
      </c>
      <c r="L100" s="51">
        <f t="shared" si="44"/>
        <v>0</v>
      </c>
      <c r="M100" s="51">
        <v>151</v>
      </c>
      <c r="N100" s="52"/>
      <c r="O100" s="41">
        <v>157</v>
      </c>
      <c r="P100" s="50">
        <v>0</v>
      </c>
      <c r="Q100" s="50">
        <v>0</v>
      </c>
      <c r="R100" s="50">
        <v>0</v>
      </c>
      <c r="S100" s="41">
        <v>0</v>
      </c>
      <c r="T100" s="41">
        <v>157</v>
      </c>
      <c r="U100" s="41"/>
      <c r="V100" s="41">
        <v>185</v>
      </c>
      <c r="W100" s="50">
        <v>0</v>
      </c>
      <c r="X100" s="50">
        <v>0</v>
      </c>
      <c r="Y100" s="41">
        <f t="shared" si="49"/>
        <v>-17</v>
      </c>
      <c r="Z100" s="41">
        <v>168</v>
      </c>
      <c r="AA100" s="41"/>
      <c r="AB100" s="41">
        <v>206</v>
      </c>
      <c r="AC100" s="41">
        <v>0</v>
      </c>
      <c r="AD100" s="50">
        <v>0</v>
      </c>
      <c r="AE100" s="41">
        <v>0</v>
      </c>
      <c r="AF100" s="41">
        <v>0</v>
      </c>
      <c r="AG100" s="41">
        <f t="shared" si="60"/>
        <v>-5</v>
      </c>
      <c r="AH100" s="41">
        <v>201</v>
      </c>
      <c r="AI100" s="41"/>
      <c r="AJ100" s="41">
        <v>208</v>
      </c>
      <c r="AK100" s="50">
        <v>0</v>
      </c>
      <c r="AL100" s="41">
        <v>0</v>
      </c>
      <c r="AM100" s="50">
        <v>5</v>
      </c>
      <c r="AN100" s="41">
        <f t="shared" si="50"/>
        <v>0</v>
      </c>
      <c r="AO100" s="41">
        <v>213</v>
      </c>
      <c r="AP100" s="41"/>
      <c r="AQ100" s="53">
        <v>215</v>
      </c>
      <c r="AR100" s="54">
        <v>0</v>
      </c>
      <c r="AS100" s="54">
        <v>0</v>
      </c>
      <c r="AT100" s="53">
        <v>0</v>
      </c>
      <c r="AU100" s="41">
        <f t="shared" si="51"/>
        <v>1</v>
      </c>
      <c r="AV100" s="41">
        <v>216</v>
      </c>
      <c r="AW100" s="41"/>
      <c r="AX100" s="41">
        <v>240</v>
      </c>
      <c r="AY100" s="54">
        <v>0</v>
      </c>
      <c r="AZ100" s="50">
        <v>0</v>
      </c>
      <c r="BA100" s="50">
        <v>6</v>
      </c>
      <c r="BB100" s="41">
        <v>0</v>
      </c>
      <c r="BC100" s="41">
        <f t="shared" si="58"/>
        <v>1</v>
      </c>
      <c r="BD100" s="41">
        <v>247</v>
      </c>
      <c r="BF100" s="41">
        <v>272</v>
      </c>
      <c r="BG100" s="50">
        <v>0</v>
      </c>
      <c r="BH100" s="41">
        <v>15</v>
      </c>
      <c r="BI100" s="50">
        <v>10</v>
      </c>
      <c r="BJ100" s="41">
        <v>0</v>
      </c>
      <c r="BK100" s="41">
        <f t="shared" si="52"/>
        <v>-1</v>
      </c>
      <c r="BL100" s="41">
        <v>296</v>
      </c>
      <c r="BM100" s="55"/>
      <c r="BN100" s="41">
        <v>288</v>
      </c>
      <c r="BO100" s="50">
        <v>9</v>
      </c>
      <c r="BP100" s="50">
        <v>0</v>
      </c>
      <c r="BQ100" s="41">
        <v>0</v>
      </c>
      <c r="BR100" s="41">
        <v>0</v>
      </c>
      <c r="BS100" s="41">
        <f t="shared" si="46"/>
        <v>0</v>
      </c>
      <c r="BT100" s="41">
        <v>297</v>
      </c>
      <c r="BV100" s="41">
        <v>307</v>
      </c>
      <c r="BW100" s="50">
        <v>11</v>
      </c>
      <c r="BX100" s="41">
        <f t="shared" si="53"/>
        <v>-4</v>
      </c>
      <c r="BY100" s="41">
        <v>314</v>
      </c>
      <c r="CA100" s="41">
        <v>347</v>
      </c>
      <c r="CB100" s="50">
        <v>11</v>
      </c>
      <c r="CC100" s="41">
        <f t="shared" si="54"/>
        <v>-19</v>
      </c>
      <c r="CD100" s="41">
        <v>339</v>
      </c>
      <c r="CF100" s="41">
        <v>323</v>
      </c>
      <c r="CG100" s="50">
        <v>10</v>
      </c>
      <c r="CH100" s="41">
        <v>0</v>
      </c>
      <c r="CI100" s="41">
        <f t="shared" si="55"/>
        <v>333</v>
      </c>
      <c r="CJ100" s="41">
        <v>316</v>
      </c>
      <c r="CK100" s="50">
        <v>11</v>
      </c>
      <c r="CL100" s="41">
        <f t="shared" si="59"/>
        <v>327</v>
      </c>
      <c r="CM100" s="41">
        <v>312</v>
      </c>
      <c r="CN100" s="50">
        <v>11</v>
      </c>
      <c r="CO100" s="41">
        <v>0</v>
      </c>
      <c r="CP100" s="41">
        <f t="shared" si="56"/>
        <v>323</v>
      </c>
      <c r="CQ100" s="41">
        <v>313</v>
      </c>
      <c r="CR100" s="50">
        <v>10</v>
      </c>
      <c r="CS100" s="41">
        <f t="shared" si="57"/>
        <v>323</v>
      </c>
      <c r="CU100" s="39" t="s">
        <v>484</v>
      </c>
    </row>
    <row r="101" spans="1:99">
      <c r="A101" s="39" t="s">
        <v>63</v>
      </c>
      <c r="B101" s="39" t="s">
        <v>87</v>
      </c>
      <c r="C101" s="39" t="s">
        <v>88</v>
      </c>
      <c r="D101" s="56">
        <v>97011101051</v>
      </c>
      <c r="E101" s="68" t="s">
        <v>109</v>
      </c>
      <c r="H101" s="51">
        <v>0</v>
      </c>
      <c r="I101" s="49">
        <v>0</v>
      </c>
      <c r="J101" s="49">
        <v>0</v>
      </c>
      <c r="K101" s="51">
        <f t="shared" si="48"/>
        <v>0</v>
      </c>
      <c r="L101" s="51">
        <f t="shared" si="44"/>
        <v>0</v>
      </c>
      <c r="M101" s="51">
        <v>0</v>
      </c>
      <c r="N101" s="52"/>
      <c r="O101" s="41">
        <v>0</v>
      </c>
      <c r="P101" s="50">
        <v>0</v>
      </c>
      <c r="Q101" s="50">
        <v>0</v>
      </c>
      <c r="R101" s="50">
        <v>0</v>
      </c>
      <c r="S101" s="41">
        <v>0</v>
      </c>
      <c r="T101" s="41">
        <v>0</v>
      </c>
      <c r="U101" s="41"/>
      <c r="V101" s="41">
        <v>0</v>
      </c>
      <c r="W101" s="50">
        <v>0</v>
      </c>
      <c r="X101" s="50">
        <v>0</v>
      </c>
      <c r="Y101" s="41">
        <f t="shared" si="49"/>
        <v>0</v>
      </c>
      <c r="Z101" s="41">
        <v>0</v>
      </c>
      <c r="AA101" s="41"/>
      <c r="AB101" s="41">
        <v>0</v>
      </c>
      <c r="AC101" s="41">
        <v>0</v>
      </c>
      <c r="AD101" s="50">
        <v>0</v>
      </c>
      <c r="AE101" s="41">
        <v>0</v>
      </c>
      <c r="AF101" s="41">
        <v>0</v>
      </c>
      <c r="AG101" s="41">
        <f t="shared" si="60"/>
        <v>0</v>
      </c>
      <c r="AH101" s="41">
        <v>0</v>
      </c>
      <c r="AI101" s="41"/>
      <c r="AJ101" s="41">
        <v>0</v>
      </c>
      <c r="AK101" s="50">
        <v>0</v>
      </c>
      <c r="AL101" s="41">
        <v>0</v>
      </c>
      <c r="AM101" s="50">
        <v>0</v>
      </c>
      <c r="AN101" s="41">
        <f t="shared" si="50"/>
        <v>0</v>
      </c>
      <c r="AO101" s="41">
        <v>0</v>
      </c>
      <c r="AP101" s="41"/>
      <c r="AQ101" s="53">
        <v>0</v>
      </c>
      <c r="AR101" s="54">
        <v>0</v>
      </c>
      <c r="AS101" s="54">
        <v>0</v>
      </c>
      <c r="AT101" s="53">
        <v>0</v>
      </c>
      <c r="AU101" s="41">
        <f t="shared" si="51"/>
        <v>0</v>
      </c>
      <c r="AV101" s="41">
        <v>0</v>
      </c>
      <c r="AW101" s="41"/>
      <c r="AX101" s="41">
        <v>0</v>
      </c>
      <c r="AY101" s="54">
        <v>0</v>
      </c>
      <c r="AZ101" s="50">
        <v>0</v>
      </c>
      <c r="BA101" s="50">
        <v>0</v>
      </c>
      <c r="BB101" s="41">
        <v>0</v>
      </c>
      <c r="BC101" s="41">
        <f t="shared" si="58"/>
        <v>0</v>
      </c>
      <c r="BD101" s="41">
        <v>0</v>
      </c>
      <c r="BF101" s="41">
        <v>0</v>
      </c>
      <c r="BG101" s="50">
        <v>0</v>
      </c>
      <c r="BH101" s="41">
        <v>0</v>
      </c>
      <c r="BI101" s="50">
        <v>0</v>
      </c>
      <c r="BJ101" s="41">
        <v>0</v>
      </c>
      <c r="BK101" s="41">
        <f t="shared" si="52"/>
        <v>0</v>
      </c>
      <c r="BL101" s="41">
        <v>0</v>
      </c>
      <c r="BM101" s="55"/>
      <c r="BN101" s="41">
        <v>100</v>
      </c>
      <c r="BO101" s="50">
        <v>0</v>
      </c>
      <c r="BP101" s="50">
        <v>0</v>
      </c>
      <c r="BQ101" s="41">
        <v>0</v>
      </c>
      <c r="BR101" s="41">
        <v>0</v>
      </c>
      <c r="BS101" s="41">
        <f t="shared" si="46"/>
        <v>0</v>
      </c>
      <c r="BT101" s="41">
        <v>100</v>
      </c>
      <c r="BV101" s="41">
        <v>218</v>
      </c>
      <c r="BW101" s="50">
        <v>0</v>
      </c>
      <c r="BX101" s="41">
        <f t="shared" si="53"/>
        <v>-9</v>
      </c>
      <c r="BY101" s="41">
        <v>209</v>
      </c>
      <c r="CA101" s="41">
        <v>106</v>
      </c>
      <c r="CB101" s="50">
        <v>0</v>
      </c>
      <c r="CC101" s="41">
        <f t="shared" si="54"/>
        <v>0</v>
      </c>
      <c r="CD101" s="41">
        <v>106</v>
      </c>
      <c r="CF101" s="41">
        <v>46</v>
      </c>
      <c r="CG101" s="50">
        <v>0</v>
      </c>
      <c r="CH101" s="41">
        <v>0</v>
      </c>
      <c r="CI101" s="41">
        <f t="shared" si="55"/>
        <v>46</v>
      </c>
      <c r="CJ101" s="41">
        <v>51</v>
      </c>
      <c r="CK101" s="50">
        <v>0</v>
      </c>
      <c r="CL101" s="41">
        <f t="shared" si="59"/>
        <v>51</v>
      </c>
      <c r="CM101" s="41">
        <v>83</v>
      </c>
      <c r="CN101" s="50">
        <v>0</v>
      </c>
      <c r="CO101" s="41">
        <v>0</v>
      </c>
      <c r="CP101" s="41">
        <f t="shared" si="56"/>
        <v>83</v>
      </c>
      <c r="CQ101" s="41">
        <v>0</v>
      </c>
      <c r="CR101" s="50">
        <v>0</v>
      </c>
      <c r="CS101" s="41">
        <f t="shared" si="57"/>
        <v>0</v>
      </c>
      <c r="CU101" s="39" t="s">
        <v>485</v>
      </c>
    </row>
    <row r="102" spans="1:99">
      <c r="A102" s="39" t="s">
        <v>63</v>
      </c>
      <c r="B102" s="39" t="s">
        <v>87</v>
      </c>
      <c r="C102" s="39" t="s">
        <v>88</v>
      </c>
      <c r="D102" s="57">
        <v>97011801051</v>
      </c>
      <c r="E102" s="68" t="s">
        <v>110</v>
      </c>
      <c r="H102" s="51">
        <v>50</v>
      </c>
      <c r="I102" s="49">
        <v>0</v>
      </c>
      <c r="J102" s="49">
        <v>0</v>
      </c>
      <c r="K102" s="51">
        <f t="shared" si="48"/>
        <v>50</v>
      </c>
      <c r="L102" s="51">
        <f t="shared" si="44"/>
        <v>-37</v>
      </c>
      <c r="M102" s="51">
        <v>13</v>
      </c>
      <c r="N102" s="52"/>
      <c r="O102" s="41">
        <v>5</v>
      </c>
      <c r="P102" s="50">
        <v>0</v>
      </c>
      <c r="Q102" s="50">
        <v>0</v>
      </c>
      <c r="R102" s="50">
        <v>0</v>
      </c>
      <c r="S102" s="41">
        <v>0</v>
      </c>
      <c r="T102" s="41">
        <v>5</v>
      </c>
      <c r="U102" s="41"/>
      <c r="V102" s="41">
        <v>5</v>
      </c>
      <c r="W102" s="50">
        <v>0</v>
      </c>
      <c r="X102" s="50">
        <v>0</v>
      </c>
      <c r="Y102" s="41">
        <f t="shared" si="49"/>
        <v>-5</v>
      </c>
      <c r="Z102" s="41">
        <v>0</v>
      </c>
      <c r="AA102" s="41"/>
      <c r="AB102" s="41">
        <v>10</v>
      </c>
      <c r="AC102" s="41">
        <v>0</v>
      </c>
      <c r="AD102" s="50">
        <v>0</v>
      </c>
      <c r="AE102" s="41">
        <v>0</v>
      </c>
      <c r="AF102" s="41">
        <v>0</v>
      </c>
      <c r="AG102" s="41">
        <f t="shared" si="60"/>
        <v>0</v>
      </c>
      <c r="AH102" s="41">
        <v>10</v>
      </c>
      <c r="AI102" s="41"/>
      <c r="AJ102" s="41">
        <v>0</v>
      </c>
      <c r="AK102" s="50">
        <v>0</v>
      </c>
      <c r="AL102" s="41">
        <v>0</v>
      </c>
      <c r="AM102" s="50">
        <v>0</v>
      </c>
      <c r="AN102" s="41">
        <f t="shared" si="50"/>
        <v>0</v>
      </c>
      <c r="AO102" s="41">
        <v>0</v>
      </c>
      <c r="AP102" s="41"/>
      <c r="AQ102" s="53">
        <v>0</v>
      </c>
      <c r="AR102" s="54">
        <v>0</v>
      </c>
      <c r="AS102" s="54">
        <v>0</v>
      </c>
      <c r="AT102" s="53">
        <v>0</v>
      </c>
      <c r="AU102" s="41">
        <f t="shared" si="51"/>
        <v>0</v>
      </c>
      <c r="AV102" s="41">
        <v>0</v>
      </c>
      <c r="AW102" s="41"/>
      <c r="AX102" s="41">
        <v>0</v>
      </c>
      <c r="AY102" s="54">
        <v>0</v>
      </c>
      <c r="AZ102" s="50">
        <v>0</v>
      </c>
      <c r="BA102" s="50">
        <v>0</v>
      </c>
      <c r="BB102" s="41">
        <v>0</v>
      </c>
      <c r="BC102" s="41">
        <f t="shared" si="58"/>
        <v>0</v>
      </c>
      <c r="BD102" s="41">
        <v>0</v>
      </c>
      <c r="BF102" s="41">
        <v>0</v>
      </c>
      <c r="BG102" s="50">
        <v>0</v>
      </c>
      <c r="BH102" s="41">
        <v>0</v>
      </c>
      <c r="BI102" s="50">
        <v>0</v>
      </c>
      <c r="BJ102" s="41">
        <v>0</v>
      </c>
      <c r="BK102" s="41">
        <f t="shared" si="52"/>
        <v>0</v>
      </c>
      <c r="BL102" s="41">
        <v>0</v>
      </c>
      <c r="BM102" s="55"/>
      <c r="BN102" s="41">
        <v>0</v>
      </c>
      <c r="BO102" s="50">
        <v>1086</v>
      </c>
      <c r="BP102" s="50">
        <v>0</v>
      </c>
      <c r="BQ102" s="41">
        <v>0</v>
      </c>
      <c r="BR102" s="41">
        <v>0</v>
      </c>
      <c r="BS102" s="41">
        <f t="shared" si="46"/>
        <v>-729</v>
      </c>
      <c r="BT102" s="41">
        <v>357</v>
      </c>
      <c r="BV102" s="41">
        <v>0</v>
      </c>
      <c r="BW102" s="50">
        <v>0</v>
      </c>
      <c r="BX102" s="41">
        <f t="shared" si="53"/>
        <v>0</v>
      </c>
      <c r="BY102" s="41">
        <v>0</v>
      </c>
      <c r="CA102" s="41">
        <v>0</v>
      </c>
      <c r="CB102" s="50">
        <v>-357</v>
      </c>
      <c r="CC102" s="41">
        <f t="shared" si="54"/>
        <v>0</v>
      </c>
      <c r="CD102" s="41">
        <v>-357</v>
      </c>
      <c r="CF102" s="41">
        <v>0</v>
      </c>
      <c r="CG102" s="50">
        <v>582</v>
      </c>
      <c r="CH102" s="41">
        <v>0</v>
      </c>
      <c r="CI102" s="41">
        <f t="shared" si="55"/>
        <v>582</v>
      </c>
      <c r="CJ102" s="41">
        <v>0</v>
      </c>
      <c r="CK102" s="50">
        <v>0</v>
      </c>
      <c r="CL102" s="41">
        <f t="shared" si="59"/>
        <v>0</v>
      </c>
      <c r="CM102" s="41">
        <v>0</v>
      </c>
      <c r="CN102" s="50">
        <v>0</v>
      </c>
      <c r="CO102" s="41">
        <v>0</v>
      </c>
      <c r="CP102" s="41">
        <f t="shared" si="56"/>
        <v>0</v>
      </c>
      <c r="CQ102" s="41">
        <v>0</v>
      </c>
      <c r="CR102" s="50">
        <v>0</v>
      </c>
      <c r="CS102" s="41">
        <f t="shared" si="57"/>
        <v>0</v>
      </c>
      <c r="CU102" s="44" t="s">
        <v>486</v>
      </c>
    </row>
    <row r="103" spans="1:99">
      <c r="A103" s="39" t="s">
        <v>63</v>
      </c>
      <c r="B103" s="39" t="s">
        <v>87</v>
      </c>
      <c r="C103" s="39" t="s">
        <v>88</v>
      </c>
      <c r="D103" s="56">
        <v>97013001051</v>
      </c>
      <c r="E103" s="68" t="s">
        <v>111</v>
      </c>
      <c r="H103" s="51">
        <v>18259</v>
      </c>
      <c r="I103" s="49">
        <v>0</v>
      </c>
      <c r="J103" s="49">
        <v>0</v>
      </c>
      <c r="K103" s="51">
        <f t="shared" si="48"/>
        <v>18259</v>
      </c>
      <c r="L103" s="51">
        <f t="shared" si="44"/>
        <v>-650</v>
      </c>
      <c r="M103" s="51">
        <v>17609</v>
      </c>
      <c r="N103" s="52"/>
      <c r="O103" s="41">
        <v>14792</v>
      </c>
      <c r="P103" s="50">
        <v>1</v>
      </c>
      <c r="Q103" s="50">
        <v>95</v>
      </c>
      <c r="R103" s="50">
        <v>502</v>
      </c>
      <c r="S103" s="41">
        <v>3</v>
      </c>
      <c r="T103" s="41">
        <v>15393</v>
      </c>
      <c r="U103" s="41"/>
      <c r="V103" s="41">
        <v>16602</v>
      </c>
      <c r="W103" s="50">
        <v>658</v>
      </c>
      <c r="X103" s="50">
        <v>683</v>
      </c>
      <c r="Y103" s="41">
        <f t="shared" si="49"/>
        <v>55</v>
      </c>
      <c r="Z103" s="41">
        <v>17998</v>
      </c>
      <c r="AA103" s="41"/>
      <c r="AB103" s="41">
        <v>18164</v>
      </c>
      <c r="AC103" s="41">
        <v>11</v>
      </c>
      <c r="AD103" s="50">
        <f>215-4</f>
        <v>211</v>
      </c>
      <c r="AE103" s="41">
        <v>4</v>
      </c>
      <c r="AF103" s="41">
        <v>0</v>
      </c>
      <c r="AG103" s="41">
        <f t="shared" si="60"/>
        <v>12</v>
      </c>
      <c r="AH103" s="41">
        <v>18402</v>
      </c>
      <c r="AI103" s="41"/>
      <c r="AJ103" s="41">
        <v>20006</v>
      </c>
      <c r="AK103" s="50">
        <v>0</v>
      </c>
      <c r="AL103" s="41">
        <v>356</v>
      </c>
      <c r="AM103" s="50">
        <v>1154</v>
      </c>
      <c r="AN103" s="41">
        <f t="shared" si="50"/>
        <v>27</v>
      </c>
      <c r="AO103" s="41">
        <v>21543</v>
      </c>
      <c r="AP103" s="41"/>
      <c r="AQ103" s="53">
        <v>21217</v>
      </c>
      <c r="AR103" s="54">
        <v>0</v>
      </c>
      <c r="AS103" s="54">
        <v>2564</v>
      </c>
      <c r="AT103" s="53">
        <v>411</v>
      </c>
      <c r="AU103" s="41">
        <f t="shared" si="51"/>
        <v>9</v>
      </c>
      <c r="AV103" s="41">
        <v>24201</v>
      </c>
      <c r="AW103" s="41"/>
      <c r="AX103" s="41">
        <v>23453</v>
      </c>
      <c r="AY103" s="54">
        <v>0</v>
      </c>
      <c r="AZ103" s="50">
        <v>576</v>
      </c>
      <c r="BA103" s="50">
        <v>1121</v>
      </c>
      <c r="BB103" s="41">
        <v>293</v>
      </c>
      <c r="BC103" s="41">
        <f t="shared" si="58"/>
        <v>-25</v>
      </c>
      <c r="BD103" s="41">
        <v>25418</v>
      </c>
      <c r="BF103" s="41">
        <v>25819</v>
      </c>
      <c r="BG103" s="50">
        <v>1100</v>
      </c>
      <c r="BH103" s="41">
        <v>400</v>
      </c>
      <c r="BI103" s="50">
        <v>1056</v>
      </c>
      <c r="BJ103" s="41">
        <v>0</v>
      </c>
      <c r="BK103" s="41">
        <f t="shared" si="52"/>
        <v>130</v>
      </c>
      <c r="BL103" s="41">
        <v>28505</v>
      </c>
      <c r="BM103" s="55"/>
      <c r="BN103" s="41">
        <v>29232</v>
      </c>
      <c r="BO103" s="50">
        <v>1257</v>
      </c>
      <c r="BP103" s="50">
        <v>33</v>
      </c>
      <c r="BQ103" s="41">
        <v>0</v>
      </c>
      <c r="BR103" s="41">
        <v>-27</v>
      </c>
      <c r="BS103" s="41">
        <f t="shared" si="46"/>
        <v>-49</v>
      </c>
      <c r="BT103" s="41">
        <v>30446</v>
      </c>
      <c r="BV103" s="41">
        <v>31318</v>
      </c>
      <c r="BW103" s="50">
        <v>1422</v>
      </c>
      <c r="BX103" s="41">
        <f t="shared" si="53"/>
        <v>-413</v>
      </c>
      <c r="BY103" s="41">
        <v>32327</v>
      </c>
      <c r="CA103" s="41">
        <v>32335</v>
      </c>
      <c r="CB103" s="50">
        <v>1215</v>
      </c>
      <c r="CC103" s="41">
        <f t="shared" si="54"/>
        <v>-752</v>
      </c>
      <c r="CD103" s="41">
        <v>32798</v>
      </c>
      <c r="CF103" s="41">
        <v>29793</v>
      </c>
      <c r="CG103" s="50">
        <v>911</v>
      </c>
      <c r="CH103" s="41">
        <v>0</v>
      </c>
      <c r="CI103" s="41">
        <f t="shared" si="55"/>
        <v>30704</v>
      </c>
      <c r="CJ103" s="41">
        <v>32291</v>
      </c>
      <c r="CK103" s="50">
        <v>899</v>
      </c>
      <c r="CL103" s="41">
        <f t="shared" si="59"/>
        <v>33190</v>
      </c>
      <c r="CM103" s="41">
        <v>31908</v>
      </c>
      <c r="CN103" s="50">
        <v>301</v>
      </c>
      <c r="CO103" s="41">
        <v>0</v>
      </c>
      <c r="CP103" s="41">
        <f t="shared" si="56"/>
        <v>32209</v>
      </c>
      <c r="CQ103" s="41">
        <v>32194</v>
      </c>
      <c r="CR103" s="50">
        <v>273</v>
      </c>
      <c r="CS103" s="41">
        <f t="shared" si="57"/>
        <v>32467</v>
      </c>
      <c r="CU103" s="39" t="s">
        <v>487</v>
      </c>
    </row>
    <row r="104" spans="1:99">
      <c r="A104" s="39" t="s">
        <v>63</v>
      </c>
      <c r="B104" s="39" t="s">
        <v>87</v>
      </c>
      <c r="C104" s="39" t="s">
        <v>88</v>
      </c>
      <c r="D104" s="56"/>
      <c r="E104" s="70" t="s">
        <v>112</v>
      </c>
      <c r="H104" s="51">
        <v>0</v>
      </c>
      <c r="I104" s="49">
        <v>0</v>
      </c>
      <c r="J104" s="49">
        <v>0</v>
      </c>
      <c r="K104" s="51">
        <f t="shared" si="48"/>
        <v>0</v>
      </c>
      <c r="L104" s="51">
        <f t="shared" si="44"/>
        <v>-2</v>
      </c>
      <c r="M104" s="51">
        <v>-2</v>
      </c>
      <c r="N104" s="52"/>
      <c r="O104" s="41">
        <v>0</v>
      </c>
      <c r="P104" s="50">
        <v>0</v>
      </c>
      <c r="Q104" s="50">
        <v>0</v>
      </c>
      <c r="R104" s="50">
        <v>0</v>
      </c>
      <c r="S104" s="41">
        <v>0</v>
      </c>
      <c r="T104" s="41">
        <v>0</v>
      </c>
      <c r="U104" s="41"/>
      <c r="V104" s="41">
        <v>0</v>
      </c>
      <c r="W104" s="50">
        <v>0</v>
      </c>
      <c r="X104" s="50">
        <v>0</v>
      </c>
      <c r="Y104" s="41">
        <f t="shared" si="49"/>
        <v>0</v>
      </c>
      <c r="Z104" s="41">
        <v>0</v>
      </c>
      <c r="AA104" s="41"/>
      <c r="AB104" s="41">
        <v>0</v>
      </c>
      <c r="AC104" s="41">
        <v>0</v>
      </c>
      <c r="AD104" s="50">
        <v>0</v>
      </c>
      <c r="AE104" s="41">
        <v>0</v>
      </c>
      <c r="AF104" s="41">
        <v>0</v>
      </c>
      <c r="AG104" s="41">
        <f t="shared" si="60"/>
        <v>0</v>
      </c>
      <c r="AH104" s="41">
        <v>0</v>
      </c>
      <c r="AI104" s="41"/>
      <c r="AJ104" s="41">
        <v>0</v>
      </c>
      <c r="AK104" s="50">
        <v>0</v>
      </c>
      <c r="AL104" s="41">
        <v>0</v>
      </c>
      <c r="AM104" s="50">
        <v>0</v>
      </c>
      <c r="AN104" s="41">
        <f t="shared" si="50"/>
        <v>0</v>
      </c>
      <c r="AO104" s="41">
        <v>0</v>
      </c>
      <c r="AP104" s="41"/>
      <c r="AQ104" s="53">
        <v>0</v>
      </c>
      <c r="AR104" s="54">
        <v>0</v>
      </c>
      <c r="AS104" s="54">
        <v>0</v>
      </c>
      <c r="AT104" s="53">
        <v>0</v>
      </c>
      <c r="AU104" s="41">
        <f t="shared" si="51"/>
        <v>0</v>
      </c>
      <c r="AV104" s="41">
        <v>0</v>
      </c>
      <c r="AW104" s="41"/>
      <c r="AX104" s="41">
        <v>0</v>
      </c>
      <c r="AY104" s="54">
        <v>0</v>
      </c>
      <c r="AZ104" s="50">
        <v>0</v>
      </c>
      <c r="BA104" s="50">
        <v>0</v>
      </c>
      <c r="BB104" s="41">
        <v>0</v>
      </c>
      <c r="BC104" s="41">
        <f t="shared" si="58"/>
        <v>0</v>
      </c>
      <c r="BD104" s="41">
        <v>0</v>
      </c>
      <c r="BF104" s="41">
        <v>0</v>
      </c>
      <c r="BG104" s="50">
        <v>0</v>
      </c>
      <c r="BH104" s="41">
        <v>0</v>
      </c>
      <c r="BI104" s="50">
        <v>0</v>
      </c>
      <c r="BJ104" s="41">
        <v>0</v>
      </c>
      <c r="BK104" s="41">
        <f t="shared" si="52"/>
        <v>0</v>
      </c>
      <c r="BL104" s="41">
        <v>0</v>
      </c>
      <c r="BM104" s="55"/>
      <c r="BN104" s="41">
        <v>0</v>
      </c>
      <c r="BO104" s="50">
        <v>0</v>
      </c>
      <c r="BP104" s="50">
        <v>0</v>
      </c>
      <c r="BQ104" s="41">
        <v>0</v>
      </c>
      <c r="BR104" s="41">
        <v>0</v>
      </c>
      <c r="BS104" s="41">
        <f t="shared" si="46"/>
        <v>0</v>
      </c>
      <c r="BT104" s="41">
        <v>0</v>
      </c>
      <c r="BV104" s="41">
        <v>0</v>
      </c>
      <c r="BW104" s="50">
        <v>0</v>
      </c>
      <c r="BX104" s="41">
        <f t="shared" si="53"/>
        <v>0</v>
      </c>
      <c r="BY104" s="41">
        <v>0</v>
      </c>
      <c r="CA104" s="41">
        <v>0</v>
      </c>
      <c r="CB104" s="50">
        <v>0</v>
      </c>
      <c r="CC104" s="41">
        <f t="shared" si="54"/>
        <v>0</v>
      </c>
      <c r="CD104" s="41">
        <v>0</v>
      </c>
      <c r="CF104" s="41">
        <v>0</v>
      </c>
      <c r="CG104" s="50">
        <v>0</v>
      </c>
      <c r="CH104" s="41">
        <v>0</v>
      </c>
      <c r="CI104" s="41">
        <f t="shared" si="55"/>
        <v>0</v>
      </c>
      <c r="CJ104" s="41">
        <v>0</v>
      </c>
      <c r="CK104" s="50">
        <v>0</v>
      </c>
      <c r="CL104" s="41">
        <f t="shared" si="59"/>
        <v>0</v>
      </c>
      <c r="CM104" s="41">
        <v>0</v>
      </c>
      <c r="CN104" s="50">
        <v>0</v>
      </c>
      <c r="CO104" s="41">
        <v>0</v>
      </c>
      <c r="CP104" s="41">
        <f t="shared" si="56"/>
        <v>0</v>
      </c>
      <c r="CQ104" s="41">
        <v>0</v>
      </c>
      <c r="CR104" s="50">
        <v>0</v>
      </c>
      <c r="CS104" s="41">
        <f t="shared" si="57"/>
        <v>0</v>
      </c>
      <c r="CT104" s="44"/>
    </row>
    <row r="105" spans="1:99">
      <c r="A105" s="39" t="s">
        <v>63</v>
      </c>
      <c r="B105" s="39" t="s">
        <v>87</v>
      </c>
      <c r="C105" s="39" t="s">
        <v>88</v>
      </c>
      <c r="D105" s="57">
        <v>97013401051</v>
      </c>
      <c r="E105" s="68" t="s">
        <v>113</v>
      </c>
      <c r="H105" s="51">
        <v>368</v>
      </c>
      <c r="I105" s="49">
        <v>-30</v>
      </c>
      <c r="J105" s="49">
        <v>0</v>
      </c>
      <c r="K105" s="51">
        <f t="shared" si="48"/>
        <v>338</v>
      </c>
      <c r="L105" s="51">
        <f t="shared" si="44"/>
        <v>20</v>
      </c>
      <c r="M105" s="51">
        <v>358</v>
      </c>
      <c r="N105" s="52"/>
      <c r="O105" s="41">
        <v>414</v>
      </c>
      <c r="P105" s="50">
        <v>0</v>
      </c>
      <c r="Q105" s="50">
        <v>0</v>
      </c>
      <c r="R105" s="50">
        <v>0</v>
      </c>
      <c r="S105" s="41">
        <v>1</v>
      </c>
      <c r="T105" s="41">
        <v>415</v>
      </c>
      <c r="U105" s="41"/>
      <c r="V105" s="41">
        <v>449</v>
      </c>
      <c r="W105" s="50">
        <v>0</v>
      </c>
      <c r="X105" s="50">
        <v>0</v>
      </c>
      <c r="Y105" s="41">
        <f t="shared" si="49"/>
        <v>0</v>
      </c>
      <c r="Z105" s="41">
        <v>449</v>
      </c>
      <c r="AA105" s="41"/>
      <c r="AB105" s="41">
        <v>358</v>
      </c>
      <c r="AC105" s="41">
        <v>0</v>
      </c>
      <c r="AD105" s="50">
        <v>0</v>
      </c>
      <c r="AE105" s="41">
        <v>0</v>
      </c>
      <c r="AF105" s="41">
        <v>0</v>
      </c>
      <c r="AG105" s="41">
        <f t="shared" si="60"/>
        <v>0</v>
      </c>
      <c r="AH105" s="41">
        <v>358</v>
      </c>
      <c r="AI105" s="41"/>
      <c r="AJ105" s="41">
        <v>411</v>
      </c>
      <c r="AK105" s="50">
        <v>0</v>
      </c>
      <c r="AL105" s="41">
        <v>0</v>
      </c>
      <c r="AM105" s="50">
        <v>45</v>
      </c>
      <c r="AN105" s="41">
        <f t="shared" si="50"/>
        <v>-1</v>
      </c>
      <c r="AO105" s="41">
        <v>455</v>
      </c>
      <c r="AP105" s="41"/>
      <c r="AQ105" s="53">
        <v>371</v>
      </c>
      <c r="AR105" s="54">
        <v>0</v>
      </c>
      <c r="AS105" s="54">
        <v>0</v>
      </c>
      <c r="AT105" s="53">
        <v>0</v>
      </c>
      <c r="AU105" s="41">
        <f t="shared" si="51"/>
        <v>-1</v>
      </c>
      <c r="AV105" s="41">
        <v>370</v>
      </c>
      <c r="AW105" s="41"/>
      <c r="AX105" s="41">
        <v>426</v>
      </c>
      <c r="AY105" s="54">
        <v>0</v>
      </c>
      <c r="AZ105" s="50">
        <v>0</v>
      </c>
      <c r="BA105" s="50">
        <v>0</v>
      </c>
      <c r="BB105" s="41">
        <v>0</v>
      </c>
      <c r="BC105" s="41">
        <f t="shared" si="58"/>
        <v>0</v>
      </c>
      <c r="BD105" s="41">
        <v>426</v>
      </c>
      <c r="BF105" s="41">
        <v>433</v>
      </c>
      <c r="BG105" s="50">
        <v>0</v>
      </c>
      <c r="BH105" s="41">
        <v>0</v>
      </c>
      <c r="BI105" s="50">
        <v>0</v>
      </c>
      <c r="BJ105" s="41">
        <v>0</v>
      </c>
      <c r="BK105" s="41">
        <f t="shared" si="52"/>
        <v>0</v>
      </c>
      <c r="BL105" s="41">
        <v>433</v>
      </c>
      <c r="BM105" s="55"/>
      <c r="BN105" s="41">
        <v>424</v>
      </c>
      <c r="BO105" s="50">
        <v>0</v>
      </c>
      <c r="BP105" s="50">
        <v>0</v>
      </c>
      <c r="BQ105" s="41">
        <v>0</v>
      </c>
      <c r="BR105" s="41">
        <v>0</v>
      </c>
      <c r="BS105" s="41">
        <f t="shared" si="46"/>
        <v>-1</v>
      </c>
      <c r="BT105" s="41">
        <v>423</v>
      </c>
      <c r="BV105" s="41">
        <v>523</v>
      </c>
      <c r="BW105" s="50">
        <v>0</v>
      </c>
      <c r="BX105" s="41">
        <f t="shared" si="53"/>
        <v>-2</v>
      </c>
      <c r="BY105" s="41">
        <v>521</v>
      </c>
      <c r="CA105" s="41">
        <v>508</v>
      </c>
      <c r="CB105" s="50">
        <v>0</v>
      </c>
      <c r="CC105" s="41">
        <f t="shared" si="54"/>
        <v>0</v>
      </c>
      <c r="CD105" s="41">
        <v>508</v>
      </c>
      <c r="CF105" s="41">
        <v>461</v>
      </c>
      <c r="CG105" s="50">
        <v>0</v>
      </c>
      <c r="CH105" s="41">
        <v>0</v>
      </c>
      <c r="CI105" s="41">
        <f t="shared" si="55"/>
        <v>461</v>
      </c>
      <c r="CJ105" s="41">
        <v>462</v>
      </c>
      <c r="CK105" s="50">
        <v>0</v>
      </c>
      <c r="CL105" s="41">
        <f t="shared" si="59"/>
        <v>462</v>
      </c>
      <c r="CM105" s="41">
        <v>365</v>
      </c>
      <c r="CN105" s="50">
        <v>0</v>
      </c>
      <c r="CO105" s="41">
        <v>0</v>
      </c>
      <c r="CP105" s="41">
        <f t="shared" si="56"/>
        <v>365</v>
      </c>
      <c r="CQ105" s="41">
        <v>343</v>
      </c>
      <c r="CR105" s="50">
        <v>0</v>
      </c>
      <c r="CS105" s="41">
        <f t="shared" si="57"/>
        <v>343</v>
      </c>
      <c r="CU105" s="44" t="s">
        <v>488</v>
      </c>
    </row>
    <row r="106" spans="1:99">
      <c r="A106" s="39" t="s">
        <v>63</v>
      </c>
      <c r="B106" s="39" t="s">
        <v>87</v>
      </c>
      <c r="C106" s="39" t="s">
        <v>88</v>
      </c>
      <c r="D106" s="56"/>
      <c r="E106" s="68" t="s">
        <v>114</v>
      </c>
      <c r="H106" s="51">
        <v>0</v>
      </c>
      <c r="I106" s="49">
        <v>0</v>
      </c>
      <c r="J106" s="49">
        <v>0</v>
      </c>
      <c r="K106" s="51">
        <f t="shared" si="48"/>
        <v>0</v>
      </c>
      <c r="L106" s="51">
        <f t="shared" si="44"/>
        <v>0</v>
      </c>
      <c r="M106" s="51">
        <v>0</v>
      </c>
      <c r="N106" s="52"/>
      <c r="O106" s="41">
        <v>0</v>
      </c>
      <c r="P106" s="50">
        <v>0</v>
      </c>
      <c r="Q106" s="50">
        <v>0</v>
      </c>
      <c r="R106" s="50">
        <f>2239</f>
        <v>2239</v>
      </c>
      <c r="S106" s="41">
        <v>4191</v>
      </c>
      <c r="T106" s="41">
        <v>6430</v>
      </c>
      <c r="U106" s="41"/>
      <c r="V106" s="41">
        <v>-3490</v>
      </c>
      <c r="W106" s="50">
        <f>1927</f>
        <v>1927</v>
      </c>
      <c r="X106" s="50">
        <v>3700</v>
      </c>
      <c r="Y106" s="41">
        <f t="shared" si="49"/>
        <v>-1761</v>
      </c>
      <c r="Z106" s="41">
        <v>376</v>
      </c>
      <c r="AA106" s="41"/>
      <c r="AB106" s="41">
        <v>0</v>
      </c>
      <c r="AC106" s="41">
        <v>0</v>
      </c>
      <c r="AD106" s="50">
        <v>-50</v>
      </c>
      <c r="AE106" s="41">
        <v>0</v>
      </c>
      <c r="AF106" s="41">
        <v>0</v>
      </c>
      <c r="AG106" s="41">
        <f t="shared" si="60"/>
        <v>0</v>
      </c>
      <c r="AH106" s="41">
        <v>-50</v>
      </c>
      <c r="AI106" s="41"/>
      <c r="AJ106" s="41">
        <v>0</v>
      </c>
      <c r="AK106" s="50">
        <v>4559</v>
      </c>
      <c r="AL106" s="41">
        <v>0</v>
      </c>
      <c r="AM106" s="50">
        <v>0</v>
      </c>
      <c r="AN106" s="41">
        <f t="shared" si="50"/>
        <v>-4528</v>
      </c>
      <c r="AO106" s="41">
        <v>31</v>
      </c>
      <c r="AP106" s="41"/>
      <c r="AQ106" s="53">
        <v>0</v>
      </c>
      <c r="AR106" s="54">
        <v>50</v>
      </c>
      <c r="AS106" s="54">
        <v>356</v>
      </c>
      <c r="AT106" s="53">
        <v>0</v>
      </c>
      <c r="AU106" s="41">
        <f t="shared" si="51"/>
        <v>-175</v>
      </c>
      <c r="AV106" s="41">
        <v>231</v>
      </c>
      <c r="AW106" s="41"/>
      <c r="AX106" s="41">
        <v>0</v>
      </c>
      <c r="AY106" s="54">
        <v>0</v>
      </c>
      <c r="AZ106" s="50">
        <v>3747</v>
      </c>
      <c r="BA106" s="50">
        <v>50</v>
      </c>
      <c r="BB106" s="41">
        <v>0</v>
      </c>
      <c r="BC106" s="41">
        <f t="shared" si="58"/>
        <v>-3763</v>
      </c>
      <c r="BD106" s="41">
        <v>34</v>
      </c>
      <c r="BF106" s="41">
        <v>0</v>
      </c>
      <c r="BG106" s="50">
        <v>0</v>
      </c>
      <c r="BH106" s="41">
        <v>0</v>
      </c>
      <c r="BI106" s="50">
        <v>0</v>
      </c>
      <c r="BJ106" s="41">
        <v>0</v>
      </c>
      <c r="BK106" s="41">
        <f t="shared" si="52"/>
        <v>0</v>
      </c>
      <c r="BL106" s="41">
        <v>0</v>
      </c>
      <c r="BM106" s="55"/>
      <c r="BN106" s="41">
        <v>0</v>
      </c>
      <c r="BO106" s="50">
        <v>0</v>
      </c>
      <c r="BP106" s="50">
        <v>0</v>
      </c>
      <c r="BQ106" s="41">
        <v>0</v>
      </c>
      <c r="BR106" s="41">
        <v>0</v>
      </c>
      <c r="BS106" s="41">
        <f t="shared" si="46"/>
        <v>0</v>
      </c>
      <c r="BT106" s="41">
        <v>0</v>
      </c>
      <c r="BV106" s="41">
        <v>0</v>
      </c>
      <c r="BW106" s="50">
        <v>0</v>
      </c>
      <c r="BX106" s="41">
        <f t="shared" si="53"/>
        <v>0</v>
      </c>
      <c r="BY106" s="41">
        <v>0</v>
      </c>
      <c r="CA106" s="41">
        <v>0</v>
      </c>
      <c r="CB106" s="50">
        <v>0</v>
      </c>
      <c r="CC106" s="41">
        <f t="shared" si="54"/>
        <v>0</v>
      </c>
      <c r="CD106" s="41">
        <v>0</v>
      </c>
      <c r="CF106" s="41">
        <v>0</v>
      </c>
      <c r="CG106" s="50">
        <v>0</v>
      </c>
      <c r="CH106" s="41">
        <v>0</v>
      </c>
      <c r="CI106" s="41">
        <f t="shared" si="55"/>
        <v>0</v>
      </c>
      <c r="CJ106" s="41">
        <v>0</v>
      </c>
      <c r="CK106" s="50">
        <v>0</v>
      </c>
      <c r="CL106" s="41">
        <f t="shared" si="59"/>
        <v>0</v>
      </c>
      <c r="CM106" s="41">
        <v>0</v>
      </c>
      <c r="CN106" s="50">
        <v>0</v>
      </c>
      <c r="CO106" s="41">
        <v>0</v>
      </c>
      <c r="CP106" s="41">
        <f t="shared" si="56"/>
        <v>0</v>
      </c>
      <c r="CQ106" s="41">
        <v>0</v>
      </c>
      <c r="CR106" s="50">
        <v>0</v>
      </c>
      <c r="CS106" s="41">
        <f t="shared" si="57"/>
        <v>0</v>
      </c>
    </row>
    <row r="107" spans="1:99">
      <c r="A107" s="39" t="s">
        <v>63</v>
      </c>
      <c r="B107" s="39" t="s">
        <v>87</v>
      </c>
      <c r="C107" s="39" t="s">
        <v>88</v>
      </c>
      <c r="D107" s="56"/>
      <c r="E107" s="71" t="s">
        <v>307</v>
      </c>
      <c r="H107" s="51">
        <v>0</v>
      </c>
      <c r="I107" s="49">
        <v>0</v>
      </c>
      <c r="J107" s="49">
        <v>0</v>
      </c>
      <c r="K107" s="51">
        <v>0</v>
      </c>
      <c r="L107" s="51">
        <v>0</v>
      </c>
      <c r="M107" s="51">
        <v>0</v>
      </c>
      <c r="N107" s="52"/>
      <c r="O107" s="41">
        <v>0</v>
      </c>
      <c r="P107" s="50">
        <v>0</v>
      </c>
      <c r="Q107" s="50">
        <v>0</v>
      </c>
      <c r="R107" s="50">
        <v>0</v>
      </c>
      <c r="S107" s="41">
        <v>0</v>
      </c>
      <c r="T107" s="41">
        <v>0</v>
      </c>
      <c r="U107" s="41"/>
      <c r="V107" s="41">
        <v>0</v>
      </c>
      <c r="W107" s="50">
        <v>0</v>
      </c>
      <c r="X107" s="50">
        <v>0</v>
      </c>
      <c r="Y107" s="41">
        <v>0</v>
      </c>
      <c r="Z107" s="41">
        <v>0</v>
      </c>
      <c r="AA107" s="41"/>
      <c r="AB107" s="41">
        <v>0</v>
      </c>
      <c r="AC107" s="41">
        <v>0</v>
      </c>
      <c r="AD107" s="50">
        <v>0</v>
      </c>
      <c r="AE107" s="41">
        <v>0</v>
      </c>
      <c r="AF107" s="41">
        <v>0</v>
      </c>
      <c r="AG107" s="41">
        <v>0</v>
      </c>
      <c r="AH107" s="41">
        <v>0</v>
      </c>
      <c r="AI107" s="41"/>
      <c r="AJ107" s="41">
        <v>0</v>
      </c>
      <c r="AK107" s="50">
        <v>0</v>
      </c>
      <c r="AL107" s="41">
        <v>0</v>
      </c>
      <c r="AM107" s="50">
        <v>0</v>
      </c>
      <c r="AN107" s="41">
        <v>0</v>
      </c>
      <c r="AO107" s="41">
        <v>0</v>
      </c>
      <c r="AP107" s="41"/>
      <c r="AQ107" s="53">
        <v>0</v>
      </c>
      <c r="AR107" s="54">
        <v>0</v>
      </c>
      <c r="AS107" s="54">
        <v>0</v>
      </c>
      <c r="AT107" s="53">
        <v>0</v>
      </c>
      <c r="AU107" s="41">
        <v>0</v>
      </c>
      <c r="AV107" s="41">
        <v>0</v>
      </c>
      <c r="AW107" s="41"/>
      <c r="AX107" s="41">
        <v>0</v>
      </c>
      <c r="AY107" s="54">
        <v>0</v>
      </c>
      <c r="AZ107" s="50">
        <v>0</v>
      </c>
      <c r="BA107" s="50">
        <v>0</v>
      </c>
      <c r="BB107" s="41">
        <v>0</v>
      </c>
      <c r="BC107" s="41">
        <v>0</v>
      </c>
      <c r="BD107" s="41">
        <v>0</v>
      </c>
      <c r="BF107" s="41">
        <v>0</v>
      </c>
      <c r="BG107" s="50">
        <v>0</v>
      </c>
      <c r="BH107" s="41">
        <v>0</v>
      </c>
      <c r="BI107" s="50">
        <v>0</v>
      </c>
      <c r="BJ107" s="41">
        <v>0</v>
      </c>
      <c r="BK107" s="41">
        <v>0</v>
      </c>
      <c r="BL107" s="41">
        <v>0</v>
      </c>
      <c r="BM107" s="55"/>
      <c r="BN107" s="41">
        <v>0</v>
      </c>
      <c r="BO107" s="50">
        <v>0</v>
      </c>
      <c r="BP107" s="50">
        <v>0</v>
      </c>
      <c r="BQ107" s="41">
        <v>0</v>
      </c>
      <c r="BR107" s="41">
        <v>0</v>
      </c>
      <c r="BS107" s="41">
        <f t="shared" si="46"/>
        <v>0</v>
      </c>
      <c r="BT107" s="41">
        <v>0</v>
      </c>
      <c r="BV107" s="41">
        <v>0</v>
      </c>
      <c r="BW107" s="50">
        <v>0</v>
      </c>
      <c r="BX107" s="41">
        <f t="shared" si="53"/>
        <v>0</v>
      </c>
      <c r="BY107" s="41">
        <v>0</v>
      </c>
      <c r="CA107" s="41">
        <v>311</v>
      </c>
      <c r="CB107" s="50">
        <v>0</v>
      </c>
      <c r="CC107" s="41">
        <f t="shared" si="54"/>
        <v>-311</v>
      </c>
      <c r="CD107" s="41">
        <v>0</v>
      </c>
      <c r="CF107" s="41">
        <v>0</v>
      </c>
      <c r="CG107" s="50">
        <v>0</v>
      </c>
      <c r="CH107" s="41">
        <v>0</v>
      </c>
      <c r="CI107" s="41">
        <f t="shared" si="55"/>
        <v>0</v>
      </c>
      <c r="CJ107" s="41">
        <v>0</v>
      </c>
      <c r="CK107" s="50">
        <v>0</v>
      </c>
      <c r="CL107" s="41">
        <f t="shared" si="59"/>
        <v>0</v>
      </c>
      <c r="CM107" s="41">
        <v>0</v>
      </c>
      <c r="CN107" s="50">
        <v>0</v>
      </c>
      <c r="CO107" s="41">
        <v>0</v>
      </c>
      <c r="CP107" s="41">
        <f t="shared" si="56"/>
        <v>0</v>
      </c>
      <c r="CQ107" s="41">
        <v>0</v>
      </c>
      <c r="CR107" s="50">
        <v>0</v>
      </c>
      <c r="CS107" s="41">
        <f t="shared" si="57"/>
        <v>0</v>
      </c>
      <c r="CT107" s="59"/>
    </row>
    <row r="108" spans="1:99">
      <c r="A108" s="39" t="s">
        <v>63</v>
      </c>
      <c r="B108" s="39" t="s">
        <v>87</v>
      </c>
      <c r="C108" s="39" t="s">
        <v>88</v>
      </c>
      <c r="D108" s="56">
        <v>97080101051</v>
      </c>
      <c r="E108" s="68" t="s">
        <v>115</v>
      </c>
      <c r="H108" s="51">
        <v>0</v>
      </c>
      <c r="I108" s="49">
        <v>0</v>
      </c>
      <c r="J108" s="49">
        <v>0</v>
      </c>
      <c r="K108" s="51">
        <f t="shared" si="48"/>
        <v>0</v>
      </c>
      <c r="L108" s="51">
        <f t="shared" si="44"/>
        <v>0</v>
      </c>
      <c r="M108" s="51">
        <v>0</v>
      </c>
      <c r="N108" s="52"/>
      <c r="O108" s="41">
        <v>0</v>
      </c>
      <c r="P108" s="50">
        <v>0</v>
      </c>
      <c r="Q108" s="50">
        <v>0</v>
      </c>
      <c r="R108" s="50">
        <v>0</v>
      </c>
      <c r="S108" s="41">
        <v>607</v>
      </c>
      <c r="T108" s="41">
        <v>607</v>
      </c>
      <c r="U108" s="41"/>
      <c r="V108" s="41">
        <v>0</v>
      </c>
      <c r="W108" s="50">
        <v>0</v>
      </c>
      <c r="X108" s="50">
        <v>0</v>
      </c>
      <c r="Y108" s="41">
        <f t="shared" si="49"/>
        <v>54</v>
      </c>
      <c r="Z108" s="41">
        <v>54</v>
      </c>
      <c r="AA108" s="41"/>
      <c r="AB108" s="41">
        <v>0</v>
      </c>
      <c r="AC108" s="41">
        <v>0</v>
      </c>
      <c r="AD108" s="50">
        <v>0</v>
      </c>
      <c r="AE108" s="41">
        <v>0</v>
      </c>
      <c r="AF108" s="41">
        <v>0</v>
      </c>
      <c r="AG108" s="41">
        <f t="shared" si="60"/>
        <v>0</v>
      </c>
      <c r="AH108" s="41">
        <v>0</v>
      </c>
      <c r="AI108" s="41"/>
      <c r="AJ108" s="41">
        <v>0</v>
      </c>
      <c r="AK108" s="50">
        <v>0</v>
      </c>
      <c r="AL108" s="41">
        <v>0</v>
      </c>
      <c r="AM108" s="50">
        <v>0</v>
      </c>
      <c r="AN108" s="41">
        <f t="shared" si="50"/>
        <v>0</v>
      </c>
      <c r="AO108" s="41">
        <v>0</v>
      </c>
      <c r="AP108" s="41"/>
      <c r="AQ108" s="53">
        <v>0</v>
      </c>
      <c r="AR108" s="54">
        <v>0</v>
      </c>
      <c r="AS108" s="54">
        <v>0</v>
      </c>
      <c r="AT108" s="53">
        <v>0</v>
      </c>
      <c r="AU108" s="41">
        <f t="shared" si="51"/>
        <v>0</v>
      </c>
      <c r="AV108" s="41">
        <v>0</v>
      </c>
      <c r="AW108" s="41"/>
      <c r="AX108" s="41">
        <v>0</v>
      </c>
      <c r="AY108" s="54">
        <v>0</v>
      </c>
      <c r="AZ108" s="50">
        <v>0</v>
      </c>
      <c r="BA108" s="50">
        <v>0</v>
      </c>
      <c r="BB108" s="41">
        <v>0</v>
      </c>
      <c r="BC108" s="41">
        <f t="shared" si="58"/>
        <v>0</v>
      </c>
      <c r="BD108" s="41">
        <v>0</v>
      </c>
      <c r="BF108" s="41">
        <v>0</v>
      </c>
      <c r="BG108" s="50">
        <v>0</v>
      </c>
      <c r="BH108" s="41">
        <v>0</v>
      </c>
      <c r="BI108" s="50">
        <v>0</v>
      </c>
      <c r="BJ108" s="41">
        <v>0</v>
      </c>
      <c r="BK108" s="41">
        <f t="shared" si="52"/>
        <v>0</v>
      </c>
      <c r="BL108" s="41">
        <v>0</v>
      </c>
      <c r="BM108" s="55"/>
      <c r="BN108" s="41">
        <v>0</v>
      </c>
      <c r="BO108" s="50">
        <v>0</v>
      </c>
      <c r="BP108" s="50">
        <v>0</v>
      </c>
      <c r="BQ108" s="41">
        <v>0</v>
      </c>
      <c r="BR108" s="41">
        <v>0</v>
      </c>
      <c r="BS108" s="41">
        <f t="shared" si="46"/>
        <v>0</v>
      </c>
      <c r="BT108" s="41">
        <v>0</v>
      </c>
      <c r="BV108" s="41">
        <v>0</v>
      </c>
      <c r="BW108" s="50">
        <v>0</v>
      </c>
      <c r="BX108" s="41">
        <f t="shared" si="53"/>
        <v>0</v>
      </c>
      <c r="BY108" s="41">
        <v>0</v>
      </c>
      <c r="CA108" s="41">
        <v>0</v>
      </c>
      <c r="CB108" s="50">
        <v>0</v>
      </c>
      <c r="CC108" s="41">
        <f t="shared" si="54"/>
        <v>0</v>
      </c>
      <c r="CD108" s="41">
        <v>0</v>
      </c>
      <c r="CF108" s="41">
        <v>-76</v>
      </c>
      <c r="CG108" s="50">
        <v>0</v>
      </c>
      <c r="CH108" s="41">
        <v>0</v>
      </c>
      <c r="CI108" s="41">
        <f t="shared" si="55"/>
        <v>-76</v>
      </c>
      <c r="CJ108" s="41">
        <v>0</v>
      </c>
      <c r="CK108" s="50">
        <v>0</v>
      </c>
      <c r="CL108" s="41">
        <f t="shared" si="59"/>
        <v>0</v>
      </c>
      <c r="CM108" s="41">
        <v>0</v>
      </c>
      <c r="CN108" s="50">
        <v>0</v>
      </c>
      <c r="CO108" s="41">
        <v>0</v>
      </c>
      <c r="CP108" s="41">
        <f t="shared" si="56"/>
        <v>0</v>
      </c>
      <c r="CQ108" s="41">
        <v>0</v>
      </c>
      <c r="CR108" s="50">
        <v>0</v>
      </c>
      <c r="CS108" s="41">
        <f t="shared" si="57"/>
        <v>0</v>
      </c>
      <c r="CU108" s="39" t="s">
        <v>489</v>
      </c>
    </row>
    <row r="109" spans="1:99">
      <c r="A109" s="39" t="s">
        <v>63</v>
      </c>
      <c r="B109" s="39" t="s">
        <v>87</v>
      </c>
      <c r="C109" s="39" t="s">
        <v>88</v>
      </c>
      <c r="D109" s="56">
        <v>97081001051</v>
      </c>
      <c r="E109" s="68" t="s">
        <v>116</v>
      </c>
      <c r="H109" s="51">
        <v>1269</v>
      </c>
      <c r="I109" s="49">
        <v>0</v>
      </c>
      <c r="J109" s="49">
        <v>0</v>
      </c>
      <c r="K109" s="51">
        <f t="shared" si="48"/>
        <v>1269</v>
      </c>
      <c r="L109" s="51">
        <f t="shared" si="44"/>
        <v>-1269</v>
      </c>
      <c r="M109" s="51">
        <v>0</v>
      </c>
      <c r="N109" s="52"/>
      <c r="O109" s="41">
        <v>1060</v>
      </c>
      <c r="P109" s="50">
        <v>0</v>
      </c>
      <c r="Q109" s="50">
        <v>0</v>
      </c>
      <c r="R109" s="50">
        <v>0</v>
      </c>
      <c r="S109" s="41">
        <v>-1060</v>
      </c>
      <c r="T109" s="41">
        <v>0</v>
      </c>
      <c r="U109" s="41"/>
      <c r="V109" s="41">
        <v>1055</v>
      </c>
      <c r="W109" s="50">
        <v>0</v>
      </c>
      <c r="X109" s="50">
        <v>0</v>
      </c>
      <c r="Y109" s="41">
        <f t="shared" si="49"/>
        <v>-1053</v>
      </c>
      <c r="Z109" s="41">
        <v>2</v>
      </c>
      <c r="AA109" s="41"/>
      <c r="AB109" s="41">
        <v>1086</v>
      </c>
      <c r="AC109" s="41">
        <v>0</v>
      </c>
      <c r="AD109" s="50">
        <v>0</v>
      </c>
      <c r="AE109" s="41">
        <v>0</v>
      </c>
      <c r="AF109" s="41">
        <v>0</v>
      </c>
      <c r="AG109" s="41">
        <f t="shared" si="60"/>
        <v>-1082</v>
      </c>
      <c r="AH109" s="41">
        <v>4</v>
      </c>
      <c r="AI109" s="41"/>
      <c r="AJ109" s="41">
        <v>1134</v>
      </c>
      <c r="AK109" s="50">
        <v>0</v>
      </c>
      <c r="AL109" s="41">
        <v>0</v>
      </c>
      <c r="AM109" s="50">
        <v>0</v>
      </c>
      <c r="AN109" s="41">
        <f t="shared" si="50"/>
        <v>-1132</v>
      </c>
      <c r="AO109" s="41">
        <v>2</v>
      </c>
      <c r="AP109" s="41"/>
      <c r="AQ109" s="53">
        <v>1134</v>
      </c>
      <c r="AR109" s="54">
        <v>0</v>
      </c>
      <c r="AS109" s="54">
        <v>0</v>
      </c>
      <c r="AT109" s="53">
        <v>0</v>
      </c>
      <c r="AU109" s="41">
        <f t="shared" si="51"/>
        <v>-1127</v>
      </c>
      <c r="AV109" s="41">
        <v>7</v>
      </c>
      <c r="AW109" s="41"/>
      <c r="AX109" s="41">
        <v>1206</v>
      </c>
      <c r="AY109" s="54">
        <v>0</v>
      </c>
      <c r="AZ109" s="50">
        <v>0</v>
      </c>
      <c r="BA109" s="50">
        <v>0</v>
      </c>
      <c r="BB109" s="41">
        <v>0</v>
      </c>
      <c r="BC109" s="41">
        <f t="shared" si="58"/>
        <v>-1202</v>
      </c>
      <c r="BD109" s="41">
        <v>4</v>
      </c>
      <c r="BF109" s="41">
        <v>6</v>
      </c>
      <c r="BG109" s="50">
        <v>0</v>
      </c>
      <c r="BH109" s="41">
        <v>0</v>
      </c>
      <c r="BI109" s="50">
        <v>0</v>
      </c>
      <c r="BJ109" s="41">
        <v>0</v>
      </c>
      <c r="BK109" s="41">
        <f t="shared" si="52"/>
        <v>56</v>
      </c>
      <c r="BL109" s="41">
        <v>62</v>
      </c>
      <c r="BM109" s="55"/>
      <c r="BN109" s="41">
        <v>0</v>
      </c>
      <c r="BO109" s="50">
        <v>0</v>
      </c>
      <c r="BP109" s="50">
        <v>0</v>
      </c>
      <c r="BQ109" s="41">
        <v>0</v>
      </c>
      <c r="BR109" s="41">
        <v>0</v>
      </c>
      <c r="BS109" s="41">
        <f t="shared" si="46"/>
        <v>10</v>
      </c>
      <c r="BT109" s="41">
        <v>10</v>
      </c>
      <c r="BV109" s="41">
        <v>0</v>
      </c>
      <c r="BW109" s="50">
        <v>0</v>
      </c>
      <c r="BX109" s="41">
        <f t="shared" si="53"/>
        <v>0</v>
      </c>
      <c r="BY109" s="41">
        <v>0</v>
      </c>
      <c r="CA109" s="41">
        <v>1191</v>
      </c>
      <c r="CB109" s="50">
        <v>0</v>
      </c>
      <c r="CC109" s="41">
        <f t="shared" si="54"/>
        <v>-1190</v>
      </c>
      <c r="CD109" s="41">
        <v>1</v>
      </c>
      <c r="CF109" s="41">
        <v>1092</v>
      </c>
      <c r="CG109" s="50">
        <v>0</v>
      </c>
      <c r="CH109" s="41">
        <v>0</v>
      </c>
      <c r="CI109" s="41">
        <f t="shared" si="55"/>
        <v>1092</v>
      </c>
      <c r="CJ109" s="41">
        <v>1065</v>
      </c>
      <c r="CK109" s="50">
        <v>0</v>
      </c>
      <c r="CL109" s="41">
        <f t="shared" si="59"/>
        <v>1065</v>
      </c>
      <c r="CM109" s="41">
        <v>896</v>
      </c>
      <c r="CN109" s="50">
        <v>0</v>
      </c>
      <c r="CO109" s="41">
        <v>0</v>
      </c>
      <c r="CP109" s="41">
        <f t="shared" si="56"/>
        <v>896</v>
      </c>
      <c r="CQ109" s="41">
        <v>911</v>
      </c>
      <c r="CR109" s="50">
        <v>0</v>
      </c>
      <c r="CS109" s="41">
        <f t="shared" si="57"/>
        <v>911</v>
      </c>
      <c r="CU109" s="39" t="s">
        <v>490</v>
      </c>
    </row>
    <row r="110" spans="1:99">
      <c r="A110" s="39" t="s">
        <v>63</v>
      </c>
      <c r="B110" s="39" t="s">
        <v>87</v>
      </c>
      <c r="C110" s="39" t="s">
        <v>88</v>
      </c>
      <c r="D110" s="56">
        <v>97081101051</v>
      </c>
      <c r="E110" s="68" t="s">
        <v>117</v>
      </c>
      <c r="H110" s="51">
        <v>0</v>
      </c>
      <c r="I110" s="49">
        <v>0</v>
      </c>
      <c r="J110" s="49">
        <v>0</v>
      </c>
      <c r="K110" s="51">
        <f t="shared" si="48"/>
        <v>0</v>
      </c>
      <c r="L110" s="51">
        <f t="shared" si="44"/>
        <v>0</v>
      </c>
      <c r="M110" s="51">
        <v>0</v>
      </c>
      <c r="N110" s="52"/>
      <c r="O110" s="41">
        <v>245</v>
      </c>
      <c r="P110" s="50">
        <v>0</v>
      </c>
      <c r="Q110" s="50">
        <v>0</v>
      </c>
      <c r="R110" s="50">
        <v>0</v>
      </c>
      <c r="S110" s="41">
        <v>-245</v>
      </c>
      <c r="T110" s="41">
        <v>0</v>
      </c>
      <c r="U110" s="41"/>
      <c r="V110" s="41">
        <v>283</v>
      </c>
      <c r="W110" s="50">
        <v>0</v>
      </c>
      <c r="X110" s="50">
        <v>0</v>
      </c>
      <c r="Y110" s="41">
        <f t="shared" si="49"/>
        <v>-283</v>
      </c>
      <c r="Z110" s="41">
        <v>0</v>
      </c>
      <c r="AA110" s="41"/>
      <c r="AB110" s="41">
        <v>266</v>
      </c>
      <c r="AC110" s="41">
        <v>0</v>
      </c>
      <c r="AD110" s="50">
        <v>0</v>
      </c>
      <c r="AE110" s="41">
        <v>0</v>
      </c>
      <c r="AF110" s="41">
        <v>0</v>
      </c>
      <c r="AG110" s="41">
        <f t="shared" si="60"/>
        <v>-266</v>
      </c>
      <c r="AH110" s="41">
        <v>0</v>
      </c>
      <c r="AI110" s="41"/>
      <c r="AJ110" s="41">
        <v>253</v>
      </c>
      <c r="AK110" s="50">
        <v>0</v>
      </c>
      <c r="AL110" s="41">
        <v>0</v>
      </c>
      <c r="AM110" s="50">
        <v>0</v>
      </c>
      <c r="AN110" s="41">
        <f t="shared" si="50"/>
        <v>-248</v>
      </c>
      <c r="AO110" s="41">
        <v>5</v>
      </c>
      <c r="AP110" s="41"/>
      <c r="AQ110" s="53">
        <v>254</v>
      </c>
      <c r="AR110" s="54">
        <v>0</v>
      </c>
      <c r="AS110" s="54">
        <v>0</v>
      </c>
      <c r="AT110" s="53">
        <v>0</v>
      </c>
      <c r="AU110" s="41">
        <f t="shared" si="51"/>
        <v>-247</v>
      </c>
      <c r="AV110" s="41">
        <v>7</v>
      </c>
      <c r="AW110" s="41"/>
      <c r="AX110" s="41">
        <v>279</v>
      </c>
      <c r="AY110" s="54">
        <v>0</v>
      </c>
      <c r="AZ110" s="50">
        <v>0</v>
      </c>
      <c r="BA110" s="50">
        <v>0</v>
      </c>
      <c r="BB110" s="41">
        <v>0</v>
      </c>
      <c r="BC110" s="41">
        <f t="shared" si="58"/>
        <v>-279</v>
      </c>
      <c r="BD110" s="41">
        <v>0</v>
      </c>
      <c r="BF110" s="41">
        <v>0</v>
      </c>
      <c r="BG110" s="50">
        <v>0</v>
      </c>
      <c r="BH110" s="41">
        <v>0</v>
      </c>
      <c r="BI110" s="50">
        <v>0</v>
      </c>
      <c r="BJ110" s="41">
        <v>0</v>
      </c>
      <c r="BK110" s="41">
        <f t="shared" si="52"/>
        <v>0</v>
      </c>
      <c r="BL110" s="41">
        <v>0</v>
      </c>
      <c r="BM110" s="55"/>
      <c r="BN110" s="41">
        <v>0</v>
      </c>
      <c r="BO110" s="50">
        <v>0</v>
      </c>
      <c r="BP110" s="50">
        <v>0</v>
      </c>
      <c r="BQ110" s="41">
        <v>0</v>
      </c>
      <c r="BR110" s="41">
        <v>0</v>
      </c>
      <c r="BS110" s="41">
        <f t="shared" si="46"/>
        <v>0</v>
      </c>
      <c r="BT110" s="41">
        <v>0</v>
      </c>
      <c r="BV110" s="41">
        <v>8</v>
      </c>
      <c r="BW110" s="50">
        <v>0</v>
      </c>
      <c r="BX110" s="41">
        <f t="shared" si="53"/>
        <v>-7</v>
      </c>
      <c r="BY110" s="41">
        <v>1</v>
      </c>
      <c r="CA110" s="41">
        <v>326</v>
      </c>
      <c r="CB110" s="50">
        <v>0</v>
      </c>
      <c r="CC110" s="41">
        <f t="shared" si="54"/>
        <v>-326</v>
      </c>
      <c r="CD110" s="41">
        <v>0</v>
      </c>
      <c r="CF110" s="41">
        <v>277</v>
      </c>
      <c r="CG110" s="50">
        <v>0</v>
      </c>
      <c r="CH110" s="41">
        <v>0</v>
      </c>
      <c r="CI110" s="41">
        <f t="shared" si="55"/>
        <v>277</v>
      </c>
      <c r="CJ110" s="41">
        <v>287</v>
      </c>
      <c r="CK110" s="50">
        <v>0</v>
      </c>
      <c r="CL110" s="41">
        <f t="shared" si="59"/>
        <v>287</v>
      </c>
      <c r="CM110" s="41">
        <v>251</v>
      </c>
      <c r="CN110" s="50">
        <v>0</v>
      </c>
      <c r="CO110" s="41">
        <v>0</v>
      </c>
      <c r="CP110" s="41">
        <f t="shared" si="56"/>
        <v>251</v>
      </c>
      <c r="CQ110" s="41">
        <v>231</v>
      </c>
      <c r="CR110" s="50">
        <v>0</v>
      </c>
      <c r="CS110" s="41">
        <f t="shared" si="57"/>
        <v>231</v>
      </c>
      <c r="CU110" s="39" t="s">
        <v>491</v>
      </c>
    </row>
    <row r="111" spans="1:99">
      <c r="A111" s="39" t="s">
        <v>63</v>
      </c>
      <c r="B111" s="39" t="s">
        <v>87</v>
      </c>
      <c r="C111" s="39" t="s">
        <v>88</v>
      </c>
      <c r="D111" s="57">
        <v>97081901051</v>
      </c>
      <c r="E111" s="68" t="s">
        <v>118</v>
      </c>
      <c r="H111" s="51">
        <v>50</v>
      </c>
      <c r="I111" s="49">
        <v>0</v>
      </c>
      <c r="J111" s="49">
        <v>0</v>
      </c>
      <c r="K111" s="51">
        <f t="shared" si="48"/>
        <v>50</v>
      </c>
      <c r="L111" s="51">
        <f t="shared" si="44"/>
        <v>-1</v>
      </c>
      <c r="M111" s="51">
        <v>49</v>
      </c>
      <c r="N111" s="52"/>
      <c r="O111" s="41">
        <v>58</v>
      </c>
      <c r="P111" s="50">
        <v>0</v>
      </c>
      <c r="Q111" s="50">
        <v>0</v>
      </c>
      <c r="R111" s="50">
        <v>44</v>
      </c>
      <c r="S111" s="41">
        <v>-8</v>
      </c>
      <c r="T111" s="41">
        <v>94</v>
      </c>
      <c r="U111" s="41"/>
      <c r="V111" s="41">
        <v>59</v>
      </c>
      <c r="W111" s="50">
        <v>35</v>
      </c>
      <c r="X111" s="50">
        <v>0</v>
      </c>
      <c r="Y111" s="41">
        <f t="shared" si="49"/>
        <v>0</v>
      </c>
      <c r="Z111" s="41">
        <v>94</v>
      </c>
      <c r="AA111" s="41"/>
      <c r="AB111" s="41">
        <v>59</v>
      </c>
      <c r="AC111" s="41">
        <v>0</v>
      </c>
      <c r="AD111" s="50">
        <v>0</v>
      </c>
      <c r="AE111" s="41">
        <v>36</v>
      </c>
      <c r="AF111" s="41">
        <v>0</v>
      </c>
      <c r="AG111" s="41">
        <f t="shared" si="60"/>
        <v>81</v>
      </c>
      <c r="AH111" s="41">
        <v>176</v>
      </c>
      <c r="AI111" s="41"/>
      <c r="AJ111" s="41">
        <v>61</v>
      </c>
      <c r="AK111" s="50">
        <v>0</v>
      </c>
      <c r="AL111" s="41">
        <v>0</v>
      </c>
      <c r="AM111" s="50">
        <v>0</v>
      </c>
      <c r="AN111" s="41">
        <f t="shared" si="50"/>
        <v>60</v>
      </c>
      <c r="AO111" s="41">
        <v>121</v>
      </c>
      <c r="AP111" s="41"/>
      <c r="AQ111" s="53">
        <v>63</v>
      </c>
      <c r="AR111" s="54">
        <v>0</v>
      </c>
      <c r="AS111" s="54">
        <v>0</v>
      </c>
      <c r="AT111" s="53">
        <v>0</v>
      </c>
      <c r="AU111" s="41">
        <f t="shared" si="51"/>
        <v>0</v>
      </c>
      <c r="AV111" s="41">
        <v>63</v>
      </c>
      <c r="AW111" s="41"/>
      <c r="AX111" s="41">
        <v>102</v>
      </c>
      <c r="AY111" s="54">
        <v>0</v>
      </c>
      <c r="AZ111" s="50">
        <v>0</v>
      </c>
      <c r="BA111" s="50">
        <v>0</v>
      </c>
      <c r="BB111" s="41">
        <v>0</v>
      </c>
      <c r="BC111" s="41">
        <f t="shared" si="58"/>
        <v>31</v>
      </c>
      <c r="BD111" s="41">
        <v>133</v>
      </c>
      <c r="BF111" s="41">
        <v>83</v>
      </c>
      <c r="BG111" s="50">
        <v>0</v>
      </c>
      <c r="BH111" s="41">
        <v>0</v>
      </c>
      <c r="BI111" s="50">
        <v>0</v>
      </c>
      <c r="BJ111" s="41">
        <v>0</v>
      </c>
      <c r="BK111" s="41">
        <f t="shared" si="52"/>
        <v>0</v>
      </c>
      <c r="BL111" s="41">
        <v>83</v>
      </c>
      <c r="BM111" s="55"/>
      <c r="BN111" s="41">
        <v>765</v>
      </c>
      <c r="BO111" s="50">
        <v>0</v>
      </c>
      <c r="BP111" s="50">
        <v>0</v>
      </c>
      <c r="BQ111" s="41">
        <v>0</v>
      </c>
      <c r="BR111" s="41">
        <v>0</v>
      </c>
      <c r="BS111" s="41">
        <f t="shared" si="46"/>
        <v>120</v>
      </c>
      <c r="BT111" s="41">
        <v>885</v>
      </c>
      <c r="BV111" s="41">
        <v>108</v>
      </c>
      <c r="BW111" s="50">
        <v>0</v>
      </c>
      <c r="BX111" s="41">
        <f t="shared" si="53"/>
        <v>0</v>
      </c>
      <c r="BY111" s="41">
        <v>108</v>
      </c>
      <c r="CA111" s="41">
        <v>108</v>
      </c>
      <c r="CB111" s="50">
        <v>0</v>
      </c>
      <c r="CC111" s="41">
        <f t="shared" si="54"/>
        <v>0</v>
      </c>
      <c r="CD111" s="41">
        <v>108</v>
      </c>
      <c r="CF111" s="41">
        <v>95</v>
      </c>
      <c r="CG111" s="50">
        <v>0</v>
      </c>
      <c r="CH111" s="41">
        <v>0</v>
      </c>
      <c r="CI111" s="41">
        <f t="shared" si="55"/>
        <v>95</v>
      </c>
      <c r="CJ111" s="41">
        <v>110</v>
      </c>
      <c r="CK111" s="50">
        <v>0</v>
      </c>
      <c r="CL111" s="41">
        <f t="shared" si="59"/>
        <v>110</v>
      </c>
      <c r="CM111" s="41">
        <v>103</v>
      </c>
      <c r="CN111" s="50">
        <v>0</v>
      </c>
      <c r="CO111" s="41">
        <v>0</v>
      </c>
      <c r="CP111" s="41">
        <f t="shared" si="56"/>
        <v>103</v>
      </c>
      <c r="CQ111" s="41">
        <v>103</v>
      </c>
      <c r="CR111" s="50">
        <v>0</v>
      </c>
      <c r="CS111" s="41">
        <f t="shared" si="57"/>
        <v>103</v>
      </c>
      <c r="CU111" s="44" t="s">
        <v>492</v>
      </c>
    </row>
    <row r="112" spans="1:99">
      <c r="A112" s="39" t="s">
        <v>63</v>
      </c>
      <c r="B112" s="39" t="s">
        <v>87</v>
      </c>
      <c r="C112" s="39" t="s">
        <v>88</v>
      </c>
      <c r="D112" s="56"/>
      <c r="E112" s="68" t="s">
        <v>119</v>
      </c>
      <c r="H112" s="51">
        <v>0</v>
      </c>
      <c r="I112" s="49">
        <v>3396</v>
      </c>
      <c r="J112" s="49">
        <v>7376</v>
      </c>
      <c r="K112" s="51">
        <f t="shared" si="48"/>
        <v>10772</v>
      </c>
      <c r="L112" s="51">
        <f t="shared" si="44"/>
        <v>-8191</v>
      </c>
      <c r="M112" s="51">
        <v>2581</v>
      </c>
      <c r="N112" s="52"/>
      <c r="O112" s="41">
        <v>-40</v>
      </c>
      <c r="P112" s="50">
        <v>0</v>
      </c>
      <c r="Q112" s="50">
        <v>0</v>
      </c>
      <c r="R112" s="50">
        <v>0</v>
      </c>
      <c r="S112" s="41">
        <v>0</v>
      </c>
      <c r="T112" s="41">
        <v>-40</v>
      </c>
      <c r="U112" s="41"/>
      <c r="V112" s="41">
        <v>0</v>
      </c>
      <c r="W112" s="50">
        <v>0</v>
      </c>
      <c r="X112" s="50">
        <v>0</v>
      </c>
      <c r="Y112" s="41">
        <f t="shared" si="49"/>
        <v>0</v>
      </c>
      <c r="Z112" s="41">
        <v>0</v>
      </c>
      <c r="AA112" s="41"/>
      <c r="AB112" s="41">
        <v>0</v>
      </c>
      <c r="AC112" s="41">
        <v>0</v>
      </c>
      <c r="AD112" s="50">
        <v>0</v>
      </c>
      <c r="AE112" s="41">
        <v>0</v>
      </c>
      <c r="AF112" s="41">
        <v>0</v>
      </c>
      <c r="AG112" s="41">
        <f t="shared" si="60"/>
        <v>0</v>
      </c>
      <c r="AH112" s="41">
        <v>0</v>
      </c>
      <c r="AI112" s="41"/>
      <c r="AJ112" s="41">
        <v>0</v>
      </c>
      <c r="AK112" s="50">
        <v>0</v>
      </c>
      <c r="AL112" s="41">
        <v>0</v>
      </c>
      <c r="AM112" s="50">
        <v>0</v>
      </c>
      <c r="AN112" s="41">
        <f t="shared" si="50"/>
        <v>0</v>
      </c>
      <c r="AO112" s="41">
        <v>0</v>
      </c>
      <c r="AP112" s="41"/>
      <c r="AQ112" s="53">
        <v>0</v>
      </c>
      <c r="AR112" s="54">
        <v>0</v>
      </c>
      <c r="AS112" s="54">
        <v>0</v>
      </c>
      <c r="AT112" s="53">
        <v>0</v>
      </c>
      <c r="AU112" s="41">
        <f t="shared" si="51"/>
        <v>0</v>
      </c>
      <c r="AV112" s="41">
        <v>0</v>
      </c>
      <c r="AW112" s="41"/>
      <c r="AX112" s="41">
        <v>0</v>
      </c>
      <c r="AY112" s="54">
        <v>0</v>
      </c>
      <c r="AZ112" s="50">
        <v>0</v>
      </c>
      <c r="BA112" s="50">
        <v>0</v>
      </c>
      <c r="BB112" s="41">
        <v>0</v>
      </c>
      <c r="BC112" s="41">
        <f t="shared" si="58"/>
        <v>0</v>
      </c>
      <c r="BD112" s="41">
        <v>0</v>
      </c>
      <c r="BF112" s="41">
        <v>0</v>
      </c>
      <c r="BG112" s="50">
        <v>0</v>
      </c>
      <c r="BH112" s="41">
        <v>0</v>
      </c>
      <c r="BI112" s="50">
        <v>0</v>
      </c>
      <c r="BJ112" s="41">
        <v>0</v>
      </c>
      <c r="BK112" s="41">
        <f t="shared" si="52"/>
        <v>0</v>
      </c>
      <c r="BL112" s="41">
        <v>0</v>
      </c>
      <c r="BM112" s="55"/>
      <c r="BN112" s="41">
        <v>0</v>
      </c>
      <c r="BO112" s="50">
        <v>0</v>
      </c>
      <c r="BP112" s="50">
        <v>0</v>
      </c>
      <c r="BQ112" s="41">
        <v>0</v>
      </c>
      <c r="BR112" s="41">
        <v>0</v>
      </c>
      <c r="BS112" s="41">
        <f t="shared" si="46"/>
        <v>0</v>
      </c>
      <c r="BT112" s="41">
        <v>0</v>
      </c>
      <c r="BV112" s="41">
        <v>0</v>
      </c>
      <c r="BW112" s="50">
        <v>0</v>
      </c>
      <c r="BX112" s="41">
        <f t="shared" si="53"/>
        <v>0</v>
      </c>
      <c r="BY112" s="41">
        <v>0</v>
      </c>
      <c r="CA112" s="41">
        <v>0</v>
      </c>
      <c r="CB112" s="50">
        <v>0</v>
      </c>
      <c r="CC112" s="41">
        <f t="shared" si="54"/>
        <v>0</v>
      </c>
      <c r="CD112" s="41">
        <v>0</v>
      </c>
      <c r="CF112" s="41">
        <v>0</v>
      </c>
      <c r="CG112" s="50">
        <v>-17</v>
      </c>
      <c r="CH112" s="41">
        <v>0</v>
      </c>
      <c r="CI112" s="41">
        <f t="shared" si="55"/>
        <v>-17</v>
      </c>
      <c r="CJ112" s="41">
        <v>0</v>
      </c>
      <c r="CK112" s="50">
        <v>0</v>
      </c>
      <c r="CL112" s="41">
        <f t="shared" si="59"/>
        <v>0</v>
      </c>
      <c r="CM112" s="41">
        <v>0</v>
      </c>
      <c r="CN112" s="50">
        <v>0</v>
      </c>
      <c r="CO112" s="41">
        <v>0</v>
      </c>
      <c r="CP112" s="41">
        <f t="shared" si="56"/>
        <v>0</v>
      </c>
      <c r="CQ112" s="41">
        <v>0</v>
      </c>
      <c r="CR112" s="50">
        <v>0</v>
      </c>
      <c r="CS112" s="41">
        <f t="shared" si="57"/>
        <v>0</v>
      </c>
    </row>
    <row r="113" spans="1:99">
      <c r="A113" s="39" t="s">
        <v>63</v>
      </c>
      <c r="B113" s="39" t="s">
        <v>87</v>
      </c>
      <c r="C113" s="39" t="s">
        <v>88</v>
      </c>
      <c r="D113" s="56">
        <v>97083801051</v>
      </c>
      <c r="E113" s="68" t="s">
        <v>120</v>
      </c>
      <c r="H113" s="51">
        <v>23</v>
      </c>
      <c r="I113" s="49">
        <v>0</v>
      </c>
      <c r="J113" s="49">
        <v>0</v>
      </c>
      <c r="K113" s="51">
        <f t="shared" si="48"/>
        <v>23</v>
      </c>
      <c r="L113" s="51">
        <f t="shared" si="44"/>
        <v>-7</v>
      </c>
      <c r="M113" s="51">
        <v>16</v>
      </c>
      <c r="N113" s="52"/>
      <c r="O113" s="41">
        <v>19</v>
      </c>
      <c r="P113" s="50">
        <v>0</v>
      </c>
      <c r="Q113" s="50">
        <v>0</v>
      </c>
      <c r="R113" s="50">
        <v>0</v>
      </c>
      <c r="S113" s="41">
        <v>0</v>
      </c>
      <c r="T113" s="41">
        <v>19</v>
      </c>
      <c r="U113" s="41"/>
      <c r="V113" s="41">
        <v>0</v>
      </c>
      <c r="W113" s="50">
        <v>0</v>
      </c>
      <c r="X113" s="50">
        <v>0</v>
      </c>
      <c r="Y113" s="41">
        <f t="shared" si="49"/>
        <v>0</v>
      </c>
      <c r="Z113" s="41">
        <v>0</v>
      </c>
      <c r="AA113" s="41"/>
      <c r="AB113" s="41">
        <v>0</v>
      </c>
      <c r="AC113" s="41">
        <v>0</v>
      </c>
      <c r="AD113" s="50">
        <v>0</v>
      </c>
      <c r="AE113" s="41">
        <v>0</v>
      </c>
      <c r="AF113" s="41">
        <v>0</v>
      </c>
      <c r="AG113" s="41">
        <f t="shared" si="60"/>
        <v>0</v>
      </c>
      <c r="AH113" s="41">
        <v>0</v>
      </c>
      <c r="AI113" s="41"/>
      <c r="AJ113" s="41">
        <v>0</v>
      </c>
      <c r="AK113" s="50">
        <v>0</v>
      </c>
      <c r="AL113" s="41">
        <v>0</v>
      </c>
      <c r="AM113" s="50">
        <v>0</v>
      </c>
      <c r="AN113" s="41">
        <f t="shared" si="50"/>
        <v>0</v>
      </c>
      <c r="AO113" s="41">
        <v>0</v>
      </c>
      <c r="AP113" s="41"/>
      <c r="AQ113" s="53">
        <v>0</v>
      </c>
      <c r="AR113" s="54">
        <v>0</v>
      </c>
      <c r="AS113" s="54">
        <v>0</v>
      </c>
      <c r="AT113" s="53">
        <v>0</v>
      </c>
      <c r="AU113" s="41">
        <f t="shared" si="51"/>
        <v>0</v>
      </c>
      <c r="AV113" s="41">
        <v>0</v>
      </c>
      <c r="AW113" s="41"/>
      <c r="AX113" s="41">
        <v>0</v>
      </c>
      <c r="AY113" s="54">
        <v>0</v>
      </c>
      <c r="AZ113" s="50">
        <v>0</v>
      </c>
      <c r="BA113" s="50">
        <v>0</v>
      </c>
      <c r="BB113" s="41">
        <v>0</v>
      </c>
      <c r="BC113" s="41">
        <f t="shared" si="58"/>
        <v>0</v>
      </c>
      <c r="BD113" s="41">
        <v>0</v>
      </c>
      <c r="BF113" s="41">
        <v>0</v>
      </c>
      <c r="BG113" s="50">
        <v>0</v>
      </c>
      <c r="BH113" s="41">
        <v>0</v>
      </c>
      <c r="BI113" s="50">
        <v>0</v>
      </c>
      <c r="BJ113" s="41">
        <v>0</v>
      </c>
      <c r="BK113" s="41">
        <f t="shared" si="52"/>
        <v>0</v>
      </c>
      <c r="BL113" s="41">
        <v>0</v>
      </c>
      <c r="BM113" s="55"/>
      <c r="BN113" s="41">
        <v>0</v>
      </c>
      <c r="BO113" s="50">
        <v>0</v>
      </c>
      <c r="BP113" s="50">
        <v>0</v>
      </c>
      <c r="BQ113" s="41">
        <v>0</v>
      </c>
      <c r="BR113" s="41">
        <v>0</v>
      </c>
      <c r="BS113" s="41">
        <f t="shared" si="46"/>
        <v>0</v>
      </c>
      <c r="BT113" s="41">
        <v>0</v>
      </c>
      <c r="BV113" s="41">
        <v>0</v>
      </c>
      <c r="BW113" s="50">
        <v>0</v>
      </c>
      <c r="BX113" s="41">
        <f t="shared" si="53"/>
        <v>0</v>
      </c>
      <c r="BY113" s="41">
        <v>0</v>
      </c>
      <c r="CA113" s="41">
        <v>0</v>
      </c>
      <c r="CB113" s="50">
        <v>0</v>
      </c>
      <c r="CC113" s="41">
        <f t="shared" si="54"/>
        <v>0</v>
      </c>
      <c r="CD113" s="41">
        <v>0</v>
      </c>
      <c r="CF113" s="41">
        <v>-1</v>
      </c>
      <c r="CG113" s="50">
        <v>0</v>
      </c>
      <c r="CH113" s="41">
        <v>0</v>
      </c>
      <c r="CI113" s="41">
        <f t="shared" si="55"/>
        <v>-1</v>
      </c>
      <c r="CJ113" s="41">
        <v>0</v>
      </c>
      <c r="CK113" s="50">
        <v>0</v>
      </c>
      <c r="CL113" s="41">
        <f t="shared" si="59"/>
        <v>0</v>
      </c>
      <c r="CM113" s="41">
        <v>10</v>
      </c>
      <c r="CN113" s="50">
        <v>0</v>
      </c>
      <c r="CO113" s="41">
        <v>0</v>
      </c>
      <c r="CP113" s="41">
        <f t="shared" si="56"/>
        <v>10</v>
      </c>
      <c r="CQ113" s="41">
        <v>0</v>
      </c>
      <c r="CR113" s="50">
        <v>0</v>
      </c>
      <c r="CS113" s="41">
        <f t="shared" si="57"/>
        <v>0</v>
      </c>
      <c r="CU113" s="39" t="s">
        <v>493</v>
      </c>
    </row>
    <row r="114" spans="1:99">
      <c r="A114" s="39" t="s">
        <v>63</v>
      </c>
      <c r="B114" s="39" t="s">
        <v>87</v>
      </c>
      <c r="C114" s="39" t="s">
        <v>88</v>
      </c>
      <c r="D114" s="56"/>
      <c r="E114" s="68" t="s">
        <v>121</v>
      </c>
      <c r="H114" s="51">
        <v>0</v>
      </c>
      <c r="I114" s="49">
        <v>0</v>
      </c>
      <c r="J114" s="49">
        <v>0</v>
      </c>
      <c r="K114" s="51">
        <f t="shared" si="48"/>
        <v>0</v>
      </c>
      <c r="L114" s="51">
        <f t="shared" si="44"/>
        <v>-4</v>
      </c>
      <c r="M114" s="51">
        <v>-4</v>
      </c>
      <c r="N114" s="52"/>
      <c r="O114" s="41">
        <v>0</v>
      </c>
      <c r="P114" s="50">
        <v>0</v>
      </c>
      <c r="Q114" s="50">
        <v>0</v>
      </c>
      <c r="R114" s="50">
        <v>0</v>
      </c>
      <c r="S114" s="41">
        <v>0</v>
      </c>
      <c r="T114" s="41">
        <v>0</v>
      </c>
      <c r="U114" s="41"/>
      <c r="V114" s="41">
        <v>0</v>
      </c>
      <c r="W114" s="50">
        <v>0</v>
      </c>
      <c r="X114" s="50">
        <v>0</v>
      </c>
      <c r="Y114" s="41">
        <f t="shared" si="49"/>
        <v>0</v>
      </c>
      <c r="Z114" s="41">
        <v>0</v>
      </c>
      <c r="AA114" s="41"/>
      <c r="AB114" s="41">
        <v>0</v>
      </c>
      <c r="AC114" s="41">
        <v>0</v>
      </c>
      <c r="AD114" s="50">
        <v>0</v>
      </c>
      <c r="AE114" s="41">
        <v>0</v>
      </c>
      <c r="AF114" s="41">
        <v>0</v>
      </c>
      <c r="AG114" s="41">
        <f t="shared" si="60"/>
        <v>0</v>
      </c>
      <c r="AH114" s="41">
        <v>0</v>
      </c>
      <c r="AI114" s="41"/>
      <c r="AJ114" s="41">
        <v>0</v>
      </c>
      <c r="AK114" s="50">
        <v>0</v>
      </c>
      <c r="AL114" s="41">
        <v>0</v>
      </c>
      <c r="AM114" s="50">
        <v>0</v>
      </c>
      <c r="AN114" s="41">
        <f t="shared" si="50"/>
        <v>0</v>
      </c>
      <c r="AO114" s="41">
        <v>0</v>
      </c>
      <c r="AP114" s="41"/>
      <c r="AQ114" s="53">
        <v>0</v>
      </c>
      <c r="AR114" s="54">
        <v>0</v>
      </c>
      <c r="AS114" s="54">
        <v>0</v>
      </c>
      <c r="AT114" s="53">
        <v>0</v>
      </c>
      <c r="AU114" s="41">
        <f t="shared" si="51"/>
        <v>0</v>
      </c>
      <c r="AV114" s="41">
        <v>0</v>
      </c>
      <c r="AW114" s="41"/>
      <c r="AX114" s="41">
        <v>0</v>
      </c>
      <c r="AY114" s="54">
        <v>0</v>
      </c>
      <c r="AZ114" s="50">
        <v>0</v>
      </c>
      <c r="BA114" s="50">
        <v>0</v>
      </c>
      <c r="BB114" s="41">
        <v>0</v>
      </c>
      <c r="BC114" s="41">
        <f t="shared" si="58"/>
        <v>0</v>
      </c>
      <c r="BD114" s="41">
        <v>0</v>
      </c>
      <c r="BF114" s="41">
        <v>0</v>
      </c>
      <c r="BG114" s="50">
        <v>0</v>
      </c>
      <c r="BH114" s="41">
        <v>0</v>
      </c>
      <c r="BI114" s="50">
        <v>0</v>
      </c>
      <c r="BJ114" s="41">
        <v>0</v>
      </c>
      <c r="BK114" s="41">
        <f t="shared" si="52"/>
        <v>0</v>
      </c>
      <c r="BL114" s="41">
        <v>0</v>
      </c>
      <c r="BM114" s="55"/>
      <c r="BN114" s="41">
        <v>0</v>
      </c>
      <c r="BO114" s="50">
        <v>0</v>
      </c>
      <c r="BP114" s="50">
        <v>0</v>
      </c>
      <c r="BQ114" s="41">
        <v>0</v>
      </c>
      <c r="BR114" s="41">
        <v>0</v>
      </c>
      <c r="BS114" s="41">
        <f t="shared" si="46"/>
        <v>0</v>
      </c>
      <c r="BT114" s="41">
        <v>0</v>
      </c>
      <c r="BV114" s="41">
        <v>0</v>
      </c>
      <c r="BW114" s="50">
        <v>0</v>
      </c>
      <c r="BX114" s="41">
        <f t="shared" si="53"/>
        <v>0</v>
      </c>
      <c r="BY114" s="41">
        <v>0</v>
      </c>
      <c r="CA114" s="41">
        <v>0</v>
      </c>
      <c r="CB114" s="50">
        <v>0</v>
      </c>
      <c r="CC114" s="41">
        <f t="shared" si="54"/>
        <v>0</v>
      </c>
      <c r="CD114" s="41">
        <v>0</v>
      </c>
      <c r="CF114" s="41">
        <v>0</v>
      </c>
      <c r="CG114" s="50">
        <v>0</v>
      </c>
      <c r="CH114" s="41">
        <v>0</v>
      </c>
      <c r="CI114" s="41">
        <f t="shared" si="55"/>
        <v>0</v>
      </c>
      <c r="CJ114" s="41">
        <v>0</v>
      </c>
      <c r="CK114" s="50">
        <v>0</v>
      </c>
      <c r="CL114" s="41">
        <f t="shared" si="59"/>
        <v>0</v>
      </c>
      <c r="CM114" s="41">
        <v>0</v>
      </c>
      <c r="CN114" s="50">
        <v>0</v>
      </c>
      <c r="CO114" s="41">
        <v>0</v>
      </c>
      <c r="CP114" s="41">
        <f t="shared" si="56"/>
        <v>0</v>
      </c>
      <c r="CQ114" s="41">
        <v>0</v>
      </c>
      <c r="CR114" s="50">
        <v>0</v>
      </c>
      <c r="CS114" s="41">
        <f t="shared" si="57"/>
        <v>0</v>
      </c>
    </row>
    <row r="115" spans="1:99">
      <c r="A115" s="39" t="s">
        <v>63</v>
      </c>
      <c r="B115" s="39" t="s">
        <v>87</v>
      </c>
      <c r="C115" s="39" t="s">
        <v>88</v>
      </c>
      <c r="D115" s="56"/>
      <c r="E115" s="68" t="s">
        <v>122</v>
      </c>
      <c r="H115" s="51">
        <v>0</v>
      </c>
      <c r="I115" s="49">
        <v>0</v>
      </c>
      <c r="J115" s="49">
        <v>0</v>
      </c>
      <c r="K115" s="51">
        <f t="shared" si="48"/>
        <v>0</v>
      </c>
      <c r="L115" s="51">
        <f t="shared" si="44"/>
        <v>0</v>
      </c>
      <c r="M115" s="51">
        <v>0</v>
      </c>
      <c r="N115" s="52"/>
      <c r="O115" s="41">
        <v>0</v>
      </c>
      <c r="P115" s="50">
        <v>0</v>
      </c>
      <c r="Q115" s="50">
        <v>0</v>
      </c>
      <c r="R115" s="50">
        <v>0</v>
      </c>
      <c r="S115" s="41">
        <v>0</v>
      </c>
      <c r="T115" s="41">
        <v>0</v>
      </c>
      <c r="U115" s="41"/>
      <c r="V115" s="41">
        <v>0</v>
      </c>
      <c r="W115" s="50">
        <v>0</v>
      </c>
      <c r="X115" s="50">
        <v>0</v>
      </c>
      <c r="Y115" s="41">
        <f t="shared" si="49"/>
        <v>0</v>
      </c>
      <c r="Z115" s="41">
        <v>0</v>
      </c>
      <c r="AA115" s="41"/>
      <c r="AB115" s="41">
        <v>0</v>
      </c>
      <c r="AC115" s="41">
        <v>0</v>
      </c>
      <c r="AD115" s="50">
        <v>0</v>
      </c>
      <c r="AE115" s="41">
        <v>0</v>
      </c>
      <c r="AF115" s="41">
        <v>0</v>
      </c>
      <c r="AG115" s="41">
        <f t="shared" si="60"/>
        <v>0</v>
      </c>
      <c r="AH115" s="41">
        <v>0</v>
      </c>
      <c r="AI115" s="41"/>
      <c r="AJ115" s="41">
        <v>0</v>
      </c>
      <c r="AK115" s="50">
        <v>0</v>
      </c>
      <c r="AL115" s="41">
        <v>0</v>
      </c>
      <c r="AM115" s="50">
        <v>0</v>
      </c>
      <c r="AN115" s="41">
        <f t="shared" si="50"/>
        <v>0</v>
      </c>
      <c r="AO115" s="41">
        <v>0</v>
      </c>
      <c r="AP115" s="41"/>
      <c r="AQ115" s="53">
        <v>0</v>
      </c>
      <c r="AR115" s="54">
        <v>0</v>
      </c>
      <c r="AS115" s="54">
        <v>0</v>
      </c>
      <c r="AT115" s="53">
        <v>0</v>
      </c>
      <c r="AU115" s="41">
        <f t="shared" si="51"/>
        <v>0</v>
      </c>
      <c r="AV115" s="41">
        <v>0</v>
      </c>
      <c r="AW115" s="41"/>
      <c r="AX115" s="41">
        <v>0</v>
      </c>
      <c r="AY115" s="54">
        <v>0</v>
      </c>
      <c r="AZ115" s="50">
        <v>0</v>
      </c>
      <c r="BA115" s="50">
        <v>0</v>
      </c>
      <c r="BB115" s="41">
        <v>0</v>
      </c>
      <c r="BC115" s="41">
        <f t="shared" si="58"/>
        <v>0</v>
      </c>
      <c r="BD115" s="41">
        <v>0</v>
      </c>
      <c r="BF115" s="41">
        <v>0</v>
      </c>
      <c r="BG115" s="50">
        <v>0</v>
      </c>
      <c r="BH115" s="41">
        <v>0</v>
      </c>
      <c r="BI115" s="50">
        <v>0</v>
      </c>
      <c r="BJ115" s="41">
        <v>0</v>
      </c>
      <c r="BK115" s="41">
        <f t="shared" si="52"/>
        <v>0</v>
      </c>
      <c r="BL115" s="41">
        <v>0</v>
      </c>
      <c r="BM115" s="55"/>
      <c r="BN115" s="41">
        <v>0</v>
      </c>
      <c r="BO115" s="50">
        <v>0</v>
      </c>
      <c r="BP115" s="50">
        <v>0</v>
      </c>
      <c r="BQ115" s="41">
        <v>0</v>
      </c>
      <c r="BR115" s="41">
        <v>0</v>
      </c>
      <c r="BS115" s="41">
        <f t="shared" si="46"/>
        <v>0</v>
      </c>
      <c r="BT115" s="41">
        <v>0</v>
      </c>
      <c r="BV115" s="41">
        <v>0</v>
      </c>
      <c r="BW115" s="50">
        <v>0</v>
      </c>
      <c r="BX115" s="41">
        <f t="shared" si="53"/>
        <v>0</v>
      </c>
      <c r="BY115" s="41">
        <v>0</v>
      </c>
      <c r="CA115" s="41">
        <v>0</v>
      </c>
      <c r="CB115" s="50">
        <v>0</v>
      </c>
      <c r="CC115" s="41">
        <f t="shared" si="54"/>
        <v>0</v>
      </c>
      <c r="CD115" s="41">
        <v>0</v>
      </c>
      <c r="CF115" s="41">
        <v>-1</v>
      </c>
      <c r="CG115" s="50">
        <v>0</v>
      </c>
      <c r="CH115" s="41">
        <v>0</v>
      </c>
      <c r="CI115" s="41">
        <f t="shared" si="55"/>
        <v>-1</v>
      </c>
      <c r="CJ115" s="41">
        <v>0</v>
      </c>
      <c r="CK115" s="50">
        <v>0</v>
      </c>
      <c r="CL115" s="41">
        <f t="shared" si="59"/>
        <v>0</v>
      </c>
      <c r="CM115" s="41">
        <v>0</v>
      </c>
      <c r="CN115" s="50">
        <v>0</v>
      </c>
      <c r="CO115" s="41">
        <v>0</v>
      </c>
      <c r="CP115" s="41">
        <f t="shared" si="56"/>
        <v>0</v>
      </c>
      <c r="CQ115" s="41">
        <v>0</v>
      </c>
      <c r="CR115" s="50">
        <v>0</v>
      </c>
      <c r="CS115" s="41">
        <f t="shared" si="57"/>
        <v>0</v>
      </c>
    </row>
    <row r="116" spans="1:99">
      <c r="A116" s="39" t="s">
        <v>63</v>
      </c>
      <c r="B116" s="39" t="s">
        <v>87</v>
      </c>
      <c r="C116" s="39" t="s">
        <v>88</v>
      </c>
      <c r="D116" s="56"/>
      <c r="E116" s="68" t="s">
        <v>123</v>
      </c>
      <c r="H116" s="51">
        <v>10</v>
      </c>
      <c r="I116" s="49">
        <v>0</v>
      </c>
      <c r="J116" s="49">
        <v>0</v>
      </c>
      <c r="K116" s="51">
        <f t="shared" si="48"/>
        <v>10</v>
      </c>
      <c r="L116" s="51">
        <f t="shared" si="44"/>
        <v>-10</v>
      </c>
      <c r="M116" s="51">
        <v>0</v>
      </c>
      <c r="N116" s="52"/>
      <c r="O116" s="41">
        <v>0</v>
      </c>
      <c r="P116" s="50">
        <v>0</v>
      </c>
      <c r="Q116" s="50">
        <v>0</v>
      </c>
      <c r="R116" s="50">
        <v>28</v>
      </c>
      <c r="S116" s="41">
        <v>-28</v>
      </c>
      <c r="T116" s="41">
        <v>0</v>
      </c>
      <c r="U116" s="41"/>
      <c r="V116" s="41">
        <v>0</v>
      </c>
      <c r="W116" s="50">
        <v>0</v>
      </c>
      <c r="X116" s="50">
        <v>0</v>
      </c>
      <c r="Y116" s="41">
        <f t="shared" si="49"/>
        <v>0</v>
      </c>
      <c r="Z116" s="41">
        <v>0</v>
      </c>
      <c r="AA116" s="41"/>
      <c r="AB116" s="41">
        <v>0</v>
      </c>
      <c r="AC116" s="41">
        <v>0</v>
      </c>
      <c r="AD116" s="50">
        <v>0</v>
      </c>
      <c r="AE116" s="41">
        <v>0</v>
      </c>
      <c r="AF116" s="41">
        <v>0</v>
      </c>
      <c r="AG116" s="41">
        <f t="shared" si="60"/>
        <v>0</v>
      </c>
      <c r="AH116" s="41">
        <v>0</v>
      </c>
      <c r="AI116" s="41"/>
      <c r="AJ116" s="41">
        <v>0</v>
      </c>
      <c r="AK116" s="50">
        <v>0</v>
      </c>
      <c r="AL116" s="41">
        <v>0</v>
      </c>
      <c r="AM116" s="50">
        <v>6</v>
      </c>
      <c r="AN116" s="41">
        <f t="shared" si="50"/>
        <v>-6</v>
      </c>
      <c r="AO116" s="41">
        <v>0</v>
      </c>
      <c r="AP116" s="41"/>
      <c r="AQ116" s="53">
        <v>0</v>
      </c>
      <c r="AR116" s="54">
        <v>0</v>
      </c>
      <c r="AS116" s="54">
        <v>1</v>
      </c>
      <c r="AT116" s="53">
        <v>0</v>
      </c>
      <c r="AU116" s="41">
        <f t="shared" si="51"/>
        <v>-1</v>
      </c>
      <c r="AV116" s="41">
        <v>0</v>
      </c>
      <c r="AW116" s="41"/>
      <c r="AX116" s="41">
        <v>0</v>
      </c>
      <c r="AY116" s="54">
        <v>0</v>
      </c>
      <c r="AZ116" s="50">
        <v>0</v>
      </c>
      <c r="BA116" s="50">
        <v>7</v>
      </c>
      <c r="BB116" s="41">
        <v>0</v>
      </c>
      <c r="BC116" s="41">
        <f t="shared" si="58"/>
        <v>-7</v>
      </c>
      <c r="BD116" s="41">
        <v>0</v>
      </c>
      <c r="BF116" s="41">
        <v>0</v>
      </c>
      <c r="BG116" s="50">
        <v>0</v>
      </c>
      <c r="BH116" s="41">
        <v>0</v>
      </c>
      <c r="BI116" s="50">
        <v>7</v>
      </c>
      <c r="BJ116" s="41">
        <v>0</v>
      </c>
      <c r="BK116" s="41">
        <f t="shared" si="52"/>
        <v>-7</v>
      </c>
      <c r="BL116" s="41">
        <v>0</v>
      </c>
      <c r="BM116" s="55"/>
      <c r="BN116" s="41">
        <v>0</v>
      </c>
      <c r="BO116" s="50">
        <v>0</v>
      </c>
      <c r="BP116" s="50">
        <v>0</v>
      </c>
      <c r="BQ116" s="41">
        <v>0</v>
      </c>
      <c r="BR116" s="41">
        <v>0</v>
      </c>
      <c r="BS116" s="41">
        <f t="shared" si="46"/>
        <v>0</v>
      </c>
      <c r="BT116" s="41">
        <v>0</v>
      </c>
      <c r="BV116" s="41">
        <v>0</v>
      </c>
      <c r="BW116" s="50">
        <v>0</v>
      </c>
      <c r="BX116" s="41">
        <f t="shared" si="53"/>
        <v>0</v>
      </c>
      <c r="BY116" s="41">
        <v>0</v>
      </c>
      <c r="CA116" s="41">
        <v>0</v>
      </c>
      <c r="CB116" s="50">
        <v>0</v>
      </c>
      <c r="CC116" s="41">
        <f t="shared" si="54"/>
        <v>0</v>
      </c>
      <c r="CD116" s="41">
        <v>0</v>
      </c>
      <c r="CF116" s="41">
        <v>0</v>
      </c>
      <c r="CG116" s="50">
        <v>0</v>
      </c>
      <c r="CH116" s="41">
        <v>0</v>
      </c>
      <c r="CI116" s="41">
        <f t="shared" si="55"/>
        <v>0</v>
      </c>
      <c r="CJ116" s="41">
        <v>0</v>
      </c>
      <c r="CK116" s="50">
        <v>0</v>
      </c>
      <c r="CL116" s="41">
        <f t="shared" si="59"/>
        <v>0</v>
      </c>
      <c r="CM116" s="41">
        <v>0</v>
      </c>
      <c r="CN116" s="50">
        <v>0</v>
      </c>
      <c r="CO116" s="41">
        <v>0</v>
      </c>
      <c r="CP116" s="41">
        <f t="shared" si="56"/>
        <v>0</v>
      </c>
      <c r="CQ116" s="41">
        <v>0</v>
      </c>
      <c r="CR116" s="50">
        <v>0</v>
      </c>
      <c r="CS116" s="41">
        <f t="shared" si="57"/>
        <v>0</v>
      </c>
    </row>
    <row r="117" spans="1:99">
      <c r="A117" s="39" t="s">
        <v>63</v>
      </c>
      <c r="B117" s="39" t="s">
        <v>87</v>
      </c>
      <c r="C117" s="39" t="s">
        <v>88</v>
      </c>
      <c r="D117" s="56">
        <v>97518802051</v>
      </c>
      <c r="E117" s="68" t="s">
        <v>124</v>
      </c>
      <c r="H117" s="51">
        <v>0</v>
      </c>
      <c r="I117" s="49">
        <v>0</v>
      </c>
      <c r="J117" s="49">
        <v>0</v>
      </c>
      <c r="K117" s="51">
        <f t="shared" si="48"/>
        <v>0</v>
      </c>
      <c r="L117" s="51">
        <f t="shared" ref="L117:L180" si="61">M117-J117-I117-H117</f>
        <v>0</v>
      </c>
      <c r="M117" s="51">
        <v>0</v>
      </c>
      <c r="N117" s="52"/>
      <c r="O117" s="41">
        <v>0</v>
      </c>
      <c r="P117" s="50">
        <v>0</v>
      </c>
      <c r="Q117" s="50">
        <v>0</v>
      </c>
      <c r="R117" s="50">
        <v>0</v>
      </c>
      <c r="S117" s="41">
        <v>6</v>
      </c>
      <c r="T117" s="41">
        <v>6</v>
      </c>
      <c r="U117" s="41"/>
      <c r="V117" s="41">
        <v>15</v>
      </c>
      <c r="W117" s="50">
        <v>0</v>
      </c>
      <c r="X117" s="50">
        <v>0</v>
      </c>
      <c r="Y117" s="41">
        <f t="shared" si="49"/>
        <v>-8</v>
      </c>
      <c r="Z117" s="41">
        <v>7</v>
      </c>
      <c r="AA117" s="41"/>
      <c r="AB117" s="41">
        <v>15</v>
      </c>
      <c r="AC117" s="41">
        <v>0</v>
      </c>
      <c r="AD117" s="50">
        <v>0</v>
      </c>
      <c r="AE117" s="41">
        <v>0</v>
      </c>
      <c r="AF117" s="41">
        <v>0</v>
      </c>
      <c r="AG117" s="41">
        <f t="shared" si="60"/>
        <v>0</v>
      </c>
      <c r="AH117" s="41">
        <v>15</v>
      </c>
      <c r="AI117" s="41"/>
      <c r="AJ117" s="41">
        <v>-30</v>
      </c>
      <c r="AK117" s="50">
        <v>0</v>
      </c>
      <c r="AL117" s="41">
        <v>0</v>
      </c>
      <c r="AM117" s="50">
        <v>0</v>
      </c>
      <c r="AN117" s="41">
        <f t="shared" si="50"/>
        <v>-15</v>
      </c>
      <c r="AO117" s="41">
        <v>-45</v>
      </c>
      <c r="AP117" s="41"/>
      <c r="AQ117" s="53">
        <v>18</v>
      </c>
      <c r="AR117" s="54">
        <v>0</v>
      </c>
      <c r="AS117" s="54">
        <v>0</v>
      </c>
      <c r="AT117" s="53">
        <v>0</v>
      </c>
      <c r="AU117" s="41">
        <f t="shared" si="51"/>
        <v>-2</v>
      </c>
      <c r="AV117" s="41">
        <v>16</v>
      </c>
      <c r="AW117" s="41"/>
      <c r="AX117" s="41">
        <v>78</v>
      </c>
      <c r="AY117" s="54">
        <v>0</v>
      </c>
      <c r="AZ117" s="50">
        <v>0</v>
      </c>
      <c r="BA117" s="50">
        <v>0</v>
      </c>
      <c r="BB117" s="41">
        <v>0</v>
      </c>
      <c r="BC117" s="41">
        <f t="shared" si="58"/>
        <v>2</v>
      </c>
      <c r="BD117" s="41">
        <v>80</v>
      </c>
      <c r="BF117" s="41">
        <v>22</v>
      </c>
      <c r="BG117" s="50">
        <v>0</v>
      </c>
      <c r="BH117" s="41">
        <v>0</v>
      </c>
      <c r="BI117" s="50">
        <v>0</v>
      </c>
      <c r="BJ117" s="41">
        <v>0</v>
      </c>
      <c r="BK117" s="41">
        <f t="shared" si="52"/>
        <v>-16</v>
      </c>
      <c r="BL117" s="41">
        <v>6</v>
      </c>
      <c r="BM117" s="55"/>
      <c r="BN117" s="41">
        <v>10</v>
      </c>
      <c r="BO117" s="50">
        <v>0</v>
      </c>
      <c r="BP117" s="50">
        <v>0</v>
      </c>
      <c r="BQ117" s="41">
        <v>0</v>
      </c>
      <c r="BR117" s="41">
        <v>0</v>
      </c>
      <c r="BS117" s="41">
        <f t="shared" si="46"/>
        <v>14</v>
      </c>
      <c r="BT117" s="41">
        <v>24</v>
      </c>
      <c r="BV117" s="41">
        <v>9</v>
      </c>
      <c r="BW117" s="50">
        <v>0</v>
      </c>
      <c r="BX117" s="41">
        <f t="shared" si="53"/>
        <v>10</v>
      </c>
      <c r="BY117" s="41">
        <v>19</v>
      </c>
      <c r="CA117" s="41">
        <v>9</v>
      </c>
      <c r="CB117" s="50">
        <v>0</v>
      </c>
      <c r="CC117" s="41">
        <f t="shared" si="54"/>
        <v>-8</v>
      </c>
      <c r="CD117" s="41">
        <v>1</v>
      </c>
      <c r="CF117" s="41">
        <v>4</v>
      </c>
      <c r="CG117" s="50">
        <v>0</v>
      </c>
      <c r="CH117" s="41">
        <v>0</v>
      </c>
      <c r="CI117" s="41">
        <f t="shared" si="55"/>
        <v>4</v>
      </c>
      <c r="CJ117" s="41">
        <v>10</v>
      </c>
      <c r="CK117" s="50">
        <v>0</v>
      </c>
      <c r="CL117" s="41">
        <f t="shared" si="59"/>
        <v>10</v>
      </c>
      <c r="CM117" s="41">
        <v>8</v>
      </c>
      <c r="CN117" s="50">
        <v>0</v>
      </c>
      <c r="CO117" s="41">
        <v>0</v>
      </c>
      <c r="CP117" s="41">
        <f t="shared" si="56"/>
        <v>8</v>
      </c>
      <c r="CQ117" s="41">
        <v>8</v>
      </c>
      <c r="CR117" s="50">
        <v>0</v>
      </c>
      <c r="CS117" s="41">
        <f t="shared" si="57"/>
        <v>8</v>
      </c>
      <c r="CU117" s="39" t="s">
        <v>494</v>
      </c>
    </row>
    <row r="118" spans="1:99">
      <c r="A118" s="39" t="s">
        <v>63</v>
      </c>
      <c r="B118" s="39" t="s">
        <v>87</v>
      </c>
      <c r="C118" s="39" t="s">
        <v>88</v>
      </c>
      <c r="D118" s="56">
        <v>97518902051</v>
      </c>
      <c r="E118" s="68" t="s">
        <v>125</v>
      </c>
      <c r="H118" s="51">
        <v>0</v>
      </c>
      <c r="I118" s="49">
        <v>0</v>
      </c>
      <c r="J118" s="49">
        <v>0</v>
      </c>
      <c r="K118" s="51">
        <f t="shared" si="48"/>
        <v>0</v>
      </c>
      <c r="L118" s="51">
        <f t="shared" si="61"/>
        <v>0</v>
      </c>
      <c r="M118" s="51">
        <v>0</v>
      </c>
      <c r="N118" s="52"/>
      <c r="O118" s="41">
        <v>0</v>
      </c>
      <c r="P118" s="50">
        <v>0</v>
      </c>
      <c r="Q118" s="50">
        <v>0</v>
      </c>
      <c r="R118" s="50">
        <v>0</v>
      </c>
      <c r="S118" s="41">
        <v>13</v>
      </c>
      <c r="T118" s="41">
        <v>13</v>
      </c>
      <c r="U118" s="41"/>
      <c r="V118" s="41">
        <v>10</v>
      </c>
      <c r="W118" s="50">
        <v>0</v>
      </c>
      <c r="X118" s="50">
        <v>0</v>
      </c>
      <c r="Y118" s="41">
        <f t="shared" si="49"/>
        <v>5</v>
      </c>
      <c r="Z118" s="41">
        <v>15</v>
      </c>
      <c r="AA118" s="41"/>
      <c r="AB118" s="41">
        <v>12</v>
      </c>
      <c r="AC118" s="41">
        <v>0</v>
      </c>
      <c r="AD118" s="50">
        <v>0</v>
      </c>
      <c r="AE118" s="41">
        <v>0</v>
      </c>
      <c r="AF118" s="41">
        <v>0</v>
      </c>
      <c r="AG118" s="41">
        <f t="shared" si="60"/>
        <v>11</v>
      </c>
      <c r="AH118" s="41">
        <v>23</v>
      </c>
      <c r="AI118" s="41"/>
      <c r="AJ118" s="41">
        <v>-18</v>
      </c>
      <c r="AK118" s="50">
        <v>0</v>
      </c>
      <c r="AL118" s="41">
        <v>0</v>
      </c>
      <c r="AM118" s="50">
        <v>0</v>
      </c>
      <c r="AN118" s="41">
        <f t="shared" si="50"/>
        <v>-12</v>
      </c>
      <c r="AO118" s="41">
        <v>-30</v>
      </c>
      <c r="AP118" s="41"/>
      <c r="AQ118" s="53">
        <v>12</v>
      </c>
      <c r="AR118" s="54">
        <v>0</v>
      </c>
      <c r="AS118" s="54">
        <v>0</v>
      </c>
      <c r="AT118" s="53">
        <v>0</v>
      </c>
      <c r="AU118" s="41">
        <f t="shared" si="51"/>
        <v>11</v>
      </c>
      <c r="AV118" s="41">
        <v>23</v>
      </c>
      <c r="AW118" s="41"/>
      <c r="AX118" s="41">
        <v>3</v>
      </c>
      <c r="AY118" s="54">
        <v>0</v>
      </c>
      <c r="AZ118" s="50">
        <v>0</v>
      </c>
      <c r="BA118" s="50">
        <v>0</v>
      </c>
      <c r="BB118" s="41">
        <v>0</v>
      </c>
      <c r="BC118" s="41">
        <f t="shared" si="58"/>
        <v>49</v>
      </c>
      <c r="BD118" s="41">
        <v>52</v>
      </c>
      <c r="BF118" s="41">
        <v>3</v>
      </c>
      <c r="BG118" s="50">
        <v>0</v>
      </c>
      <c r="BH118" s="41">
        <v>0</v>
      </c>
      <c r="BI118" s="50">
        <v>0</v>
      </c>
      <c r="BJ118" s="41">
        <v>0</v>
      </c>
      <c r="BK118" s="41">
        <f t="shared" si="52"/>
        <v>17</v>
      </c>
      <c r="BL118" s="41">
        <v>20</v>
      </c>
      <c r="BM118" s="55"/>
      <c r="BN118" s="41">
        <v>9</v>
      </c>
      <c r="BO118" s="50">
        <v>0</v>
      </c>
      <c r="BP118" s="50">
        <v>0</v>
      </c>
      <c r="BQ118" s="41">
        <v>0</v>
      </c>
      <c r="BR118" s="41">
        <v>0</v>
      </c>
      <c r="BS118" s="41">
        <f t="shared" si="46"/>
        <v>13</v>
      </c>
      <c r="BT118" s="41">
        <v>22</v>
      </c>
      <c r="BV118" s="41">
        <v>22</v>
      </c>
      <c r="BW118" s="50">
        <v>0</v>
      </c>
      <c r="BX118" s="41">
        <f t="shared" si="53"/>
        <v>6</v>
      </c>
      <c r="BY118" s="41">
        <v>28</v>
      </c>
      <c r="CA118" s="41">
        <v>22</v>
      </c>
      <c r="CB118" s="50">
        <v>0</v>
      </c>
      <c r="CC118" s="41">
        <f t="shared" si="54"/>
        <v>1</v>
      </c>
      <c r="CD118" s="41">
        <v>23</v>
      </c>
      <c r="CF118" s="41">
        <v>16</v>
      </c>
      <c r="CG118" s="50">
        <v>0</v>
      </c>
      <c r="CH118" s="41">
        <v>0</v>
      </c>
      <c r="CI118" s="41">
        <f t="shared" si="55"/>
        <v>16</v>
      </c>
      <c r="CJ118" s="41">
        <v>30</v>
      </c>
      <c r="CK118" s="50">
        <v>0</v>
      </c>
      <c r="CL118" s="41">
        <f t="shared" ref="CL118:CL150" si="62">SUM(CJ118:CK118)</f>
        <v>30</v>
      </c>
      <c r="CM118" s="41">
        <v>31</v>
      </c>
      <c r="CN118" s="50">
        <v>0</v>
      </c>
      <c r="CO118" s="41">
        <v>0</v>
      </c>
      <c r="CP118" s="41">
        <f t="shared" si="56"/>
        <v>31</v>
      </c>
      <c r="CQ118" s="41">
        <v>33</v>
      </c>
      <c r="CR118" s="50">
        <v>0</v>
      </c>
      <c r="CS118" s="41">
        <f t="shared" ref="CS118:CS181" si="63">SUM(CQ118:CR118)</f>
        <v>33</v>
      </c>
      <c r="CU118" s="39" t="s">
        <v>495</v>
      </c>
    </row>
    <row r="119" spans="1:99">
      <c r="A119" s="39" t="s">
        <v>63</v>
      </c>
      <c r="B119" s="39" t="s">
        <v>87</v>
      </c>
      <c r="C119" s="39" t="s">
        <v>88</v>
      </c>
      <c r="D119" s="56">
        <v>97519302051</v>
      </c>
      <c r="E119" s="68" t="s">
        <v>126</v>
      </c>
      <c r="H119" s="51">
        <v>3</v>
      </c>
      <c r="I119" s="49">
        <v>0</v>
      </c>
      <c r="J119" s="49">
        <v>0</v>
      </c>
      <c r="K119" s="51">
        <f t="shared" si="48"/>
        <v>3</v>
      </c>
      <c r="L119" s="51">
        <f t="shared" si="61"/>
        <v>-2</v>
      </c>
      <c r="M119" s="51">
        <v>1</v>
      </c>
      <c r="N119" s="52"/>
      <c r="O119" s="41">
        <v>1</v>
      </c>
      <c r="P119" s="50">
        <v>0</v>
      </c>
      <c r="Q119" s="50">
        <v>0</v>
      </c>
      <c r="R119" s="50">
        <v>0</v>
      </c>
      <c r="S119" s="41">
        <v>-1</v>
      </c>
      <c r="T119" s="41">
        <v>0</v>
      </c>
      <c r="U119" s="41"/>
      <c r="V119" s="41">
        <v>1</v>
      </c>
      <c r="W119" s="50">
        <v>0</v>
      </c>
      <c r="X119" s="50">
        <v>0</v>
      </c>
      <c r="Y119" s="41">
        <f t="shared" si="49"/>
        <v>0</v>
      </c>
      <c r="Z119" s="41">
        <v>1</v>
      </c>
      <c r="AA119" s="41"/>
      <c r="AB119" s="41">
        <v>1</v>
      </c>
      <c r="AC119" s="41">
        <v>0</v>
      </c>
      <c r="AD119" s="50">
        <v>0</v>
      </c>
      <c r="AE119" s="41">
        <v>0</v>
      </c>
      <c r="AF119" s="41">
        <v>0</v>
      </c>
      <c r="AG119" s="41">
        <f t="shared" si="60"/>
        <v>4</v>
      </c>
      <c r="AH119" s="41">
        <v>5</v>
      </c>
      <c r="AI119" s="41"/>
      <c r="AJ119" s="41">
        <v>-4</v>
      </c>
      <c r="AK119" s="50">
        <v>0</v>
      </c>
      <c r="AL119" s="41">
        <v>0</v>
      </c>
      <c r="AM119" s="50">
        <v>0</v>
      </c>
      <c r="AN119" s="41">
        <f t="shared" si="50"/>
        <v>-1</v>
      </c>
      <c r="AO119" s="41">
        <v>-5</v>
      </c>
      <c r="AP119" s="41"/>
      <c r="AQ119" s="53">
        <v>1</v>
      </c>
      <c r="AR119" s="54">
        <v>0</v>
      </c>
      <c r="AS119" s="54">
        <v>0</v>
      </c>
      <c r="AT119" s="53">
        <v>0</v>
      </c>
      <c r="AU119" s="41">
        <f t="shared" si="51"/>
        <v>-1</v>
      </c>
      <c r="AV119" s="41">
        <v>0</v>
      </c>
      <c r="AW119" s="41"/>
      <c r="AX119" s="41">
        <v>1</v>
      </c>
      <c r="AY119" s="54">
        <v>0</v>
      </c>
      <c r="AZ119" s="50">
        <v>0</v>
      </c>
      <c r="BA119" s="50">
        <v>0</v>
      </c>
      <c r="BB119" s="41">
        <v>0</v>
      </c>
      <c r="BC119" s="41">
        <f t="shared" si="58"/>
        <v>4</v>
      </c>
      <c r="BD119" s="41">
        <v>5</v>
      </c>
      <c r="BF119" s="41">
        <v>1</v>
      </c>
      <c r="BG119" s="50">
        <v>0</v>
      </c>
      <c r="BH119" s="41">
        <v>0</v>
      </c>
      <c r="BI119" s="50">
        <v>0</v>
      </c>
      <c r="BJ119" s="41">
        <v>0</v>
      </c>
      <c r="BK119" s="41">
        <f t="shared" si="52"/>
        <v>-1</v>
      </c>
      <c r="BL119" s="41">
        <v>0</v>
      </c>
      <c r="BM119" s="55"/>
      <c r="BN119" s="41">
        <v>1</v>
      </c>
      <c r="BO119" s="50">
        <v>0</v>
      </c>
      <c r="BP119" s="50">
        <v>0</v>
      </c>
      <c r="BQ119" s="41">
        <v>0</v>
      </c>
      <c r="BR119" s="41">
        <v>0</v>
      </c>
      <c r="BS119" s="41">
        <f t="shared" ref="BS119:BS184" si="64">BT119-SUM(BN119:BR119)</f>
        <v>-1</v>
      </c>
      <c r="BT119" s="41">
        <v>0</v>
      </c>
      <c r="BV119" s="41">
        <v>1</v>
      </c>
      <c r="BW119" s="50">
        <v>0</v>
      </c>
      <c r="BX119" s="41">
        <f t="shared" si="53"/>
        <v>-1</v>
      </c>
      <c r="BY119" s="41">
        <v>0</v>
      </c>
      <c r="CA119" s="41">
        <v>0</v>
      </c>
      <c r="CB119" s="50">
        <v>0</v>
      </c>
      <c r="CC119" s="41">
        <f t="shared" si="54"/>
        <v>0</v>
      </c>
      <c r="CD119" s="41">
        <v>0</v>
      </c>
      <c r="CF119" s="41">
        <v>0</v>
      </c>
      <c r="CG119" s="50">
        <v>0</v>
      </c>
      <c r="CH119" s="41">
        <v>0</v>
      </c>
      <c r="CI119" s="41">
        <f t="shared" ref="CI119:CI184" si="65">SUM(CF119:CH119)</f>
        <v>0</v>
      </c>
      <c r="CJ119" s="41">
        <v>0</v>
      </c>
      <c r="CK119" s="50">
        <v>0</v>
      </c>
      <c r="CL119" s="41">
        <f t="shared" si="62"/>
        <v>0</v>
      </c>
      <c r="CM119" s="41">
        <v>0</v>
      </c>
      <c r="CN119" s="50">
        <v>0</v>
      </c>
      <c r="CO119" s="41">
        <v>0</v>
      </c>
      <c r="CP119" s="41">
        <f t="shared" ref="CP119:CP183" si="66">SUM(CM119:CO119)</f>
        <v>0</v>
      </c>
      <c r="CQ119" s="41">
        <v>0</v>
      </c>
      <c r="CR119" s="50">
        <v>0</v>
      </c>
      <c r="CS119" s="41">
        <f t="shared" si="63"/>
        <v>0</v>
      </c>
      <c r="CU119" s="39" t="s">
        <v>496</v>
      </c>
    </row>
    <row r="120" spans="1:99">
      <c r="A120" s="39" t="s">
        <v>63</v>
      </c>
      <c r="B120" s="39" t="s">
        <v>87</v>
      </c>
      <c r="C120" s="39" t="s">
        <v>88</v>
      </c>
      <c r="D120" s="57">
        <v>97800401051</v>
      </c>
      <c r="E120" s="68" t="s">
        <v>127</v>
      </c>
      <c r="H120" s="51">
        <v>0</v>
      </c>
      <c r="I120" s="49">
        <v>0</v>
      </c>
      <c r="J120" s="49">
        <v>0</v>
      </c>
      <c r="K120" s="51">
        <f t="shared" si="48"/>
        <v>0</v>
      </c>
      <c r="L120" s="51">
        <f t="shared" si="61"/>
        <v>0</v>
      </c>
      <c r="M120" s="51">
        <v>0</v>
      </c>
      <c r="N120" s="52"/>
      <c r="O120" s="41">
        <v>0</v>
      </c>
      <c r="P120" s="50">
        <v>0</v>
      </c>
      <c r="Q120" s="50">
        <v>0</v>
      </c>
      <c r="R120" s="50">
        <v>0</v>
      </c>
      <c r="S120" s="41">
        <v>0</v>
      </c>
      <c r="T120" s="41">
        <v>0</v>
      </c>
      <c r="U120" s="41"/>
      <c r="V120" s="41">
        <v>0</v>
      </c>
      <c r="W120" s="50">
        <v>0</v>
      </c>
      <c r="X120" s="50">
        <v>0</v>
      </c>
      <c r="Y120" s="41">
        <f t="shared" si="49"/>
        <v>0</v>
      </c>
      <c r="Z120" s="41">
        <v>0</v>
      </c>
      <c r="AA120" s="41"/>
      <c r="AB120" s="41">
        <v>0</v>
      </c>
      <c r="AC120" s="41">
        <v>0</v>
      </c>
      <c r="AD120" s="50">
        <v>0</v>
      </c>
      <c r="AE120" s="41">
        <v>0</v>
      </c>
      <c r="AF120" s="41">
        <v>0</v>
      </c>
      <c r="AG120" s="41">
        <f t="shared" si="60"/>
        <v>0</v>
      </c>
      <c r="AH120" s="41">
        <v>0</v>
      </c>
      <c r="AI120" s="41"/>
      <c r="AJ120" s="41">
        <v>0</v>
      </c>
      <c r="AK120" s="50">
        <v>0</v>
      </c>
      <c r="AL120" s="41">
        <v>0</v>
      </c>
      <c r="AM120" s="50">
        <v>0</v>
      </c>
      <c r="AN120" s="41">
        <f t="shared" si="50"/>
        <v>0</v>
      </c>
      <c r="AO120" s="41">
        <v>0</v>
      </c>
      <c r="AP120" s="41"/>
      <c r="AQ120" s="53">
        <v>0</v>
      </c>
      <c r="AR120" s="54">
        <v>0</v>
      </c>
      <c r="AS120" s="54">
        <v>0</v>
      </c>
      <c r="AT120" s="53">
        <v>0</v>
      </c>
      <c r="AU120" s="41">
        <f t="shared" si="51"/>
        <v>0</v>
      </c>
      <c r="AV120" s="41">
        <v>0</v>
      </c>
      <c r="AW120" s="41"/>
      <c r="AX120" s="41">
        <v>0</v>
      </c>
      <c r="AY120" s="54">
        <v>0</v>
      </c>
      <c r="AZ120" s="50">
        <v>0</v>
      </c>
      <c r="BA120" s="50">
        <v>0</v>
      </c>
      <c r="BB120" s="41">
        <v>0</v>
      </c>
      <c r="BC120" s="41">
        <f t="shared" si="58"/>
        <v>0</v>
      </c>
      <c r="BD120" s="41">
        <v>0</v>
      </c>
      <c r="BF120" s="41">
        <v>0</v>
      </c>
      <c r="BG120" s="50">
        <v>0</v>
      </c>
      <c r="BH120" s="41">
        <v>0</v>
      </c>
      <c r="BI120" s="50">
        <v>400</v>
      </c>
      <c r="BJ120" s="41">
        <v>0</v>
      </c>
      <c r="BK120" s="41">
        <f t="shared" si="52"/>
        <v>0</v>
      </c>
      <c r="BL120" s="41">
        <v>400</v>
      </c>
      <c r="BM120" s="55"/>
      <c r="BN120" s="41">
        <v>0</v>
      </c>
      <c r="BO120" s="50">
        <v>0</v>
      </c>
      <c r="BP120" s="50">
        <v>0</v>
      </c>
      <c r="BQ120" s="41">
        <v>0</v>
      </c>
      <c r="BR120" s="41">
        <v>0</v>
      </c>
      <c r="BS120" s="41">
        <f t="shared" si="64"/>
        <v>0</v>
      </c>
      <c r="BT120" s="41">
        <v>0</v>
      </c>
      <c r="BV120" s="41">
        <v>0</v>
      </c>
      <c r="BW120" s="50">
        <v>0</v>
      </c>
      <c r="BX120" s="41">
        <f t="shared" ref="BX120:BX185" si="67">BY120-SUM(BV120:BW120)</f>
        <v>0</v>
      </c>
      <c r="BY120" s="41">
        <v>0</v>
      </c>
      <c r="CA120" s="41">
        <v>0</v>
      </c>
      <c r="CB120" s="50">
        <v>0</v>
      </c>
      <c r="CC120" s="41">
        <f t="shared" ref="CC120:CC185" si="68">CD120-SUM(CA120:CB120)</f>
        <v>0</v>
      </c>
      <c r="CD120" s="41">
        <v>0</v>
      </c>
      <c r="CF120" s="41">
        <v>0</v>
      </c>
      <c r="CG120" s="50">
        <v>0</v>
      </c>
      <c r="CH120" s="41">
        <v>0</v>
      </c>
      <c r="CI120" s="41">
        <f t="shared" si="65"/>
        <v>0</v>
      </c>
      <c r="CJ120" s="41">
        <v>-387</v>
      </c>
      <c r="CK120" s="50">
        <v>0</v>
      </c>
      <c r="CL120" s="41">
        <f t="shared" si="62"/>
        <v>-387</v>
      </c>
      <c r="CM120" s="41">
        <v>-416</v>
      </c>
      <c r="CN120" s="50">
        <v>4343</v>
      </c>
      <c r="CO120" s="41">
        <v>0</v>
      </c>
      <c r="CP120" s="41">
        <f t="shared" si="66"/>
        <v>3927</v>
      </c>
      <c r="CQ120" s="41">
        <v>-4077</v>
      </c>
      <c r="CR120" s="50">
        <v>750</v>
      </c>
      <c r="CS120" s="41">
        <f t="shared" si="63"/>
        <v>-3327</v>
      </c>
      <c r="CU120" s="44" t="s">
        <v>497</v>
      </c>
    </row>
    <row r="121" spans="1:99">
      <c r="A121" s="39" t="s">
        <v>63</v>
      </c>
      <c r="B121" s="39" t="s">
        <v>87</v>
      </c>
      <c r="C121" s="39" t="s">
        <v>88</v>
      </c>
      <c r="D121" s="56"/>
      <c r="E121" s="68" t="s">
        <v>128</v>
      </c>
      <c r="H121" s="51">
        <v>0</v>
      </c>
      <c r="I121" s="49">
        <v>0</v>
      </c>
      <c r="J121" s="49">
        <v>0</v>
      </c>
      <c r="K121" s="51">
        <f t="shared" si="48"/>
        <v>0</v>
      </c>
      <c r="L121" s="51">
        <f t="shared" si="61"/>
        <v>0</v>
      </c>
      <c r="M121" s="51">
        <v>0</v>
      </c>
      <c r="N121" s="52"/>
      <c r="O121" s="41">
        <v>0</v>
      </c>
      <c r="P121" s="50">
        <v>0</v>
      </c>
      <c r="Q121" s="50">
        <v>0</v>
      </c>
      <c r="R121" s="50">
        <v>0</v>
      </c>
      <c r="S121" s="41">
        <v>0</v>
      </c>
      <c r="T121" s="41">
        <v>0</v>
      </c>
      <c r="U121" s="41"/>
      <c r="V121" s="41">
        <v>0</v>
      </c>
      <c r="W121" s="50">
        <v>0</v>
      </c>
      <c r="X121" s="50">
        <v>0</v>
      </c>
      <c r="Y121" s="41">
        <f t="shared" si="49"/>
        <v>0</v>
      </c>
      <c r="Z121" s="41">
        <v>0</v>
      </c>
      <c r="AA121" s="41"/>
      <c r="AB121" s="41">
        <v>0</v>
      </c>
      <c r="AC121" s="41">
        <v>0</v>
      </c>
      <c r="AD121" s="50">
        <v>0</v>
      </c>
      <c r="AE121" s="41">
        <v>0</v>
      </c>
      <c r="AF121" s="41">
        <v>0</v>
      </c>
      <c r="AG121" s="41">
        <f t="shared" si="60"/>
        <v>0</v>
      </c>
      <c r="AH121" s="41">
        <v>0</v>
      </c>
      <c r="AI121" s="41"/>
      <c r="AJ121" s="41">
        <v>0</v>
      </c>
      <c r="AK121" s="50">
        <v>0</v>
      </c>
      <c r="AL121" s="41">
        <v>0</v>
      </c>
      <c r="AM121" s="50">
        <v>0</v>
      </c>
      <c r="AN121" s="41">
        <f t="shared" si="50"/>
        <v>0</v>
      </c>
      <c r="AO121" s="41">
        <v>0</v>
      </c>
      <c r="AP121" s="41"/>
      <c r="AQ121" s="53">
        <v>0</v>
      </c>
      <c r="AR121" s="54">
        <v>0</v>
      </c>
      <c r="AS121" s="54">
        <v>0</v>
      </c>
      <c r="AT121" s="53">
        <v>0</v>
      </c>
      <c r="AU121" s="41">
        <f t="shared" si="51"/>
        <v>0</v>
      </c>
      <c r="AV121" s="41">
        <v>0</v>
      </c>
      <c r="AW121" s="41"/>
      <c r="AX121" s="41">
        <v>0</v>
      </c>
      <c r="AY121" s="54">
        <v>0</v>
      </c>
      <c r="AZ121" s="50">
        <v>0</v>
      </c>
      <c r="BA121" s="50">
        <v>0</v>
      </c>
      <c r="BB121" s="41">
        <v>0</v>
      </c>
      <c r="BC121" s="41">
        <f t="shared" si="58"/>
        <v>0</v>
      </c>
      <c r="BD121" s="41">
        <v>0</v>
      </c>
      <c r="BF121" s="41">
        <v>0</v>
      </c>
      <c r="BG121" s="50">
        <v>0</v>
      </c>
      <c r="BH121" s="41">
        <v>0</v>
      </c>
      <c r="BI121" s="50">
        <v>0</v>
      </c>
      <c r="BJ121" s="41">
        <v>0</v>
      </c>
      <c r="BK121" s="41">
        <f t="shared" si="52"/>
        <v>0</v>
      </c>
      <c r="BL121" s="41">
        <v>0</v>
      </c>
      <c r="BM121" s="55"/>
      <c r="BN121" s="41">
        <v>0</v>
      </c>
      <c r="BO121" s="50">
        <v>0</v>
      </c>
      <c r="BP121" s="50">
        <v>0</v>
      </c>
      <c r="BQ121" s="41">
        <v>0</v>
      </c>
      <c r="BR121" s="41">
        <v>0</v>
      </c>
      <c r="BS121" s="41">
        <f t="shared" si="64"/>
        <v>0</v>
      </c>
      <c r="BT121" s="41">
        <v>0</v>
      </c>
      <c r="BV121" s="41">
        <v>0</v>
      </c>
      <c r="BW121" s="50">
        <v>0</v>
      </c>
      <c r="BX121" s="41">
        <f t="shared" si="67"/>
        <v>0</v>
      </c>
      <c r="BY121" s="41">
        <v>0</v>
      </c>
      <c r="CA121" s="41">
        <v>0</v>
      </c>
      <c r="CB121" s="50">
        <v>0</v>
      </c>
      <c r="CC121" s="41">
        <f t="shared" si="68"/>
        <v>0</v>
      </c>
      <c r="CD121" s="41">
        <v>0</v>
      </c>
      <c r="CF121" s="41">
        <v>0</v>
      </c>
      <c r="CG121" s="50">
        <v>0</v>
      </c>
      <c r="CH121" s="41">
        <v>0</v>
      </c>
      <c r="CI121" s="41">
        <f t="shared" si="65"/>
        <v>0</v>
      </c>
      <c r="CJ121" s="41">
        <v>0</v>
      </c>
      <c r="CK121" s="50">
        <v>0</v>
      </c>
      <c r="CL121" s="41">
        <f t="shared" si="62"/>
        <v>0</v>
      </c>
      <c r="CM121" s="41">
        <v>0</v>
      </c>
      <c r="CN121" s="50">
        <v>0</v>
      </c>
      <c r="CO121" s="41">
        <v>0</v>
      </c>
      <c r="CP121" s="41">
        <f t="shared" si="66"/>
        <v>0</v>
      </c>
      <c r="CQ121" s="41">
        <v>0</v>
      </c>
      <c r="CR121" s="50">
        <v>0</v>
      </c>
      <c r="CS121" s="41">
        <f t="shared" si="63"/>
        <v>0</v>
      </c>
    </row>
    <row r="122" spans="1:99">
      <c r="A122" s="39" t="s">
        <v>63</v>
      </c>
      <c r="B122" s="39" t="s">
        <v>87</v>
      </c>
      <c r="C122" s="39" t="s">
        <v>88</v>
      </c>
      <c r="D122" s="56"/>
      <c r="E122" s="68" t="s">
        <v>129</v>
      </c>
      <c r="H122" s="51">
        <v>0</v>
      </c>
      <c r="I122" s="49">
        <v>0</v>
      </c>
      <c r="J122" s="49">
        <v>0</v>
      </c>
      <c r="K122" s="51">
        <f t="shared" si="48"/>
        <v>0</v>
      </c>
      <c r="L122" s="51">
        <f t="shared" si="61"/>
        <v>0</v>
      </c>
      <c r="M122" s="51">
        <v>0</v>
      </c>
      <c r="N122" s="52"/>
      <c r="O122" s="41">
        <v>0</v>
      </c>
      <c r="P122" s="50">
        <v>0</v>
      </c>
      <c r="Q122" s="50">
        <v>0</v>
      </c>
      <c r="R122" s="50">
        <v>0</v>
      </c>
      <c r="S122" s="41">
        <v>0</v>
      </c>
      <c r="T122" s="41">
        <v>0</v>
      </c>
      <c r="U122" s="41"/>
      <c r="V122" s="41">
        <v>0</v>
      </c>
      <c r="W122" s="50">
        <v>0</v>
      </c>
      <c r="X122" s="50">
        <v>0</v>
      </c>
      <c r="Y122" s="41">
        <f t="shared" si="49"/>
        <v>0</v>
      </c>
      <c r="Z122" s="41">
        <v>0</v>
      </c>
      <c r="AA122" s="41"/>
      <c r="AB122" s="41">
        <v>0</v>
      </c>
      <c r="AC122" s="41">
        <v>0</v>
      </c>
      <c r="AD122" s="50">
        <v>0</v>
      </c>
      <c r="AE122" s="41">
        <v>0</v>
      </c>
      <c r="AF122" s="41">
        <v>0</v>
      </c>
      <c r="AG122" s="41">
        <f t="shared" si="60"/>
        <v>0</v>
      </c>
      <c r="AH122" s="41">
        <v>0</v>
      </c>
      <c r="AI122" s="41"/>
      <c r="AJ122" s="41">
        <v>0</v>
      </c>
      <c r="AK122" s="50">
        <v>0</v>
      </c>
      <c r="AL122" s="41">
        <v>0</v>
      </c>
      <c r="AM122" s="50">
        <v>0</v>
      </c>
      <c r="AN122" s="41">
        <f t="shared" si="50"/>
        <v>0</v>
      </c>
      <c r="AO122" s="41">
        <v>0</v>
      </c>
      <c r="AP122" s="41"/>
      <c r="AQ122" s="53">
        <v>0</v>
      </c>
      <c r="AR122" s="54">
        <v>0</v>
      </c>
      <c r="AS122" s="54">
        <v>0</v>
      </c>
      <c r="AT122" s="53">
        <v>0</v>
      </c>
      <c r="AU122" s="41">
        <f t="shared" si="51"/>
        <v>0</v>
      </c>
      <c r="AV122" s="41">
        <v>0</v>
      </c>
      <c r="AW122" s="41"/>
      <c r="AX122" s="41">
        <v>0</v>
      </c>
      <c r="AY122" s="54">
        <v>0</v>
      </c>
      <c r="AZ122" s="50">
        <v>0</v>
      </c>
      <c r="BA122" s="50">
        <v>0</v>
      </c>
      <c r="BB122" s="41">
        <v>0</v>
      </c>
      <c r="BC122" s="41">
        <f t="shared" si="58"/>
        <v>0</v>
      </c>
      <c r="BD122" s="41">
        <v>0</v>
      </c>
      <c r="BF122" s="41">
        <v>0</v>
      </c>
      <c r="BG122" s="50">
        <v>0</v>
      </c>
      <c r="BH122" s="41">
        <v>0</v>
      </c>
      <c r="BI122" s="50">
        <v>0</v>
      </c>
      <c r="BJ122" s="41">
        <v>0</v>
      </c>
      <c r="BK122" s="41">
        <f t="shared" si="52"/>
        <v>0</v>
      </c>
      <c r="BL122" s="41">
        <v>0</v>
      </c>
      <c r="BM122" s="55"/>
      <c r="BN122" s="41">
        <v>0</v>
      </c>
      <c r="BO122" s="50">
        <v>0</v>
      </c>
      <c r="BP122" s="50">
        <v>0</v>
      </c>
      <c r="BQ122" s="41">
        <v>0</v>
      </c>
      <c r="BR122" s="41">
        <v>0</v>
      </c>
      <c r="BS122" s="41">
        <f t="shared" si="64"/>
        <v>0</v>
      </c>
      <c r="BT122" s="41">
        <v>0</v>
      </c>
      <c r="BV122" s="41">
        <v>0</v>
      </c>
      <c r="BW122" s="50">
        <v>0</v>
      </c>
      <c r="BX122" s="41">
        <f t="shared" si="67"/>
        <v>0</v>
      </c>
      <c r="BY122" s="41">
        <v>0</v>
      </c>
      <c r="CA122" s="41">
        <v>0</v>
      </c>
      <c r="CB122" s="50">
        <v>0</v>
      </c>
      <c r="CC122" s="41">
        <f t="shared" si="68"/>
        <v>0</v>
      </c>
      <c r="CD122" s="41">
        <v>0</v>
      </c>
      <c r="CF122" s="41">
        <v>0</v>
      </c>
      <c r="CG122" s="50">
        <v>0</v>
      </c>
      <c r="CH122" s="41">
        <v>0</v>
      </c>
      <c r="CI122" s="41">
        <f t="shared" si="65"/>
        <v>0</v>
      </c>
      <c r="CJ122" s="41">
        <v>0</v>
      </c>
      <c r="CK122" s="50">
        <v>0</v>
      </c>
      <c r="CL122" s="41">
        <f t="shared" si="62"/>
        <v>0</v>
      </c>
      <c r="CM122" s="41">
        <v>0</v>
      </c>
      <c r="CN122" s="50">
        <v>0</v>
      </c>
      <c r="CO122" s="41">
        <v>0</v>
      </c>
      <c r="CP122" s="41">
        <f t="shared" si="66"/>
        <v>0</v>
      </c>
      <c r="CQ122" s="41">
        <v>0</v>
      </c>
      <c r="CR122" s="50">
        <v>0</v>
      </c>
      <c r="CS122" s="41">
        <f t="shared" si="63"/>
        <v>0</v>
      </c>
    </row>
    <row r="123" spans="1:99">
      <c r="A123" s="39" t="s">
        <v>63</v>
      </c>
      <c r="B123" s="39" t="s">
        <v>87</v>
      </c>
      <c r="C123" s="39" t="s">
        <v>88</v>
      </c>
      <c r="D123" s="56">
        <v>97992202051</v>
      </c>
      <c r="E123" s="68" t="s">
        <v>130</v>
      </c>
      <c r="H123" s="51">
        <v>97</v>
      </c>
      <c r="I123" s="49">
        <v>0</v>
      </c>
      <c r="J123" s="49">
        <v>0</v>
      </c>
      <c r="K123" s="51">
        <f t="shared" ref="K123:K190" si="69">SUM(H123:J123)</f>
        <v>97</v>
      </c>
      <c r="L123" s="51">
        <f t="shared" si="61"/>
        <v>0</v>
      </c>
      <c r="M123" s="51">
        <v>97</v>
      </c>
      <c r="N123" s="52"/>
      <c r="O123" s="41">
        <v>105</v>
      </c>
      <c r="P123" s="50">
        <v>0</v>
      </c>
      <c r="Q123" s="50">
        <v>0</v>
      </c>
      <c r="R123" s="50">
        <v>0</v>
      </c>
      <c r="S123" s="41">
        <v>-105</v>
      </c>
      <c r="T123" s="41">
        <v>0</v>
      </c>
      <c r="U123" s="41"/>
      <c r="V123" s="41">
        <v>0</v>
      </c>
      <c r="W123" s="50">
        <v>0</v>
      </c>
      <c r="X123" s="50">
        <v>0</v>
      </c>
      <c r="Y123" s="41">
        <f t="shared" ref="Y123:Y190" si="70">Z123-SUM(V123:X123)</f>
        <v>56</v>
      </c>
      <c r="Z123" s="41">
        <v>56</v>
      </c>
      <c r="AA123" s="41"/>
      <c r="AB123" s="41">
        <v>0</v>
      </c>
      <c r="AC123" s="41">
        <v>0</v>
      </c>
      <c r="AD123" s="50">
        <v>0</v>
      </c>
      <c r="AE123" s="41">
        <v>0</v>
      </c>
      <c r="AF123" s="41">
        <v>0</v>
      </c>
      <c r="AG123" s="41">
        <f t="shared" si="60"/>
        <v>0</v>
      </c>
      <c r="AH123" s="41">
        <v>0</v>
      </c>
      <c r="AI123" s="41"/>
      <c r="AJ123" s="41">
        <v>0</v>
      </c>
      <c r="AK123" s="50">
        <v>0</v>
      </c>
      <c r="AL123" s="41">
        <v>0</v>
      </c>
      <c r="AM123" s="50">
        <v>0</v>
      </c>
      <c r="AN123" s="41">
        <f t="shared" ref="AN123:AN190" si="71">AO123-SUM(AJ123:AM123)</f>
        <v>6</v>
      </c>
      <c r="AO123" s="41">
        <v>6</v>
      </c>
      <c r="AP123" s="41"/>
      <c r="AQ123" s="53">
        <v>0</v>
      </c>
      <c r="AR123" s="54">
        <v>0</v>
      </c>
      <c r="AS123" s="54">
        <v>0</v>
      </c>
      <c r="AT123" s="53">
        <v>0</v>
      </c>
      <c r="AU123" s="41">
        <f t="shared" ref="AU123:AU190" si="72">AV123-SUM(AQ123:AT123)</f>
        <v>0</v>
      </c>
      <c r="AV123" s="41">
        <v>0</v>
      </c>
      <c r="AW123" s="41"/>
      <c r="AX123" s="41">
        <v>0</v>
      </c>
      <c r="AY123" s="54">
        <v>0</v>
      </c>
      <c r="AZ123" s="50">
        <v>0</v>
      </c>
      <c r="BA123" s="50">
        <v>0</v>
      </c>
      <c r="BB123" s="41">
        <v>0</v>
      </c>
      <c r="BC123" s="41">
        <f t="shared" si="58"/>
        <v>10</v>
      </c>
      <c r="BD123" s="41">
        <v>10</v>
      </c>
      <c r="BF123" s="41">
        <v>0</v>
      </c>
      <c r="BG123" s="50">
        <v>0</v>
      </c>
      <c r="BH123" s="41">
        <v>0</v>
      </c>
      <c r="BI123" s="50">
        <v>0</v>
      </c>
      <c r="BJ123" s="41">
        <v>0</v>
      </c>
      <c r="BK123" s="41">
        <f t="shared" ref="BK123:BK190" si="73">BL123-SUM(BF123:BJ123)</f>
        <v>10</v>
      </c>
      <c r="BL123" s="41">
        <v>10</v>
      </c>
      <c r="BM123" s="55"/>
      <c r="BN123" s="41">
        <v>0</v>
      </c>
      <c r="BO123" s="50">
        <v>0</v>
      </c>
      <c r="BP123" s="50">
        <v>0</v>
      </c>
      <c r="BQ123" s="41">
        <v>0</v>
      </c>
      <c r="BR123" s="41">
        <v>0</v>
      </c>
      <c r="BS123" s="41">
        <f t="shared" si="64"/>
        <v>3</v>
      </c>
      <c r="BT123" s="41">
        <v>3</v>
      </c>
      <c r="BV123" s="41">
        <v>0</v>
      </c>
      <c r="BW123" s="50">
        <v>0</v>
      </c>
      <c r="BX123" s="41">
        <f t="shared" si="67"/>
        <v>0</v>
      </c>
      <c r="BY123" s="41">
        <v>0</v>
      </c>
      <c r="CA123" s="41">
        <v>0</v>
      </c>
      <c r="CB123" s="50">
        <v>0</v>
      </c>
      <c r="CC123" s="41">
        <f t="shared" si="68"/>
        <v>0</v>
      </c>
      <c r="CD123" s="41">
        <v>0</v>
      </c>
      <c r="CF123" s="41">
        <v>0</v>
      </c>
      <c r="CG123" s="50">
        <v>0</v>
      </c>
      <c r="CH123" s="41">
        <v>0</v>
      </c>
      <c r="CI123" s="41">
        <f t="shared" si="65"/>
        <v>0</v>
      </c>
      <c r="CJ123" s="41">
        <v>0</v>
      </c>
      <c r="CK123" s="50">
        <v>0</v>
      </c>
      <c r="CL123" s="41">
        <f t="shared" si="62"/>
        <v>0</v>
      </c>
      <c r="CM123" s="41">
        <v>0</v>
      </c>
      <c r="CN123" s="50">
        <v>0</v>
      </c>
      <c r="CO123" s="41">
        <v>0</v>
      </c>
      <c r="CP123" s="41">
        <f t="shared" si="66"/>
        <v>0</v>
      </c>
      <c r="CQ123" s="41">
        <v>0</v>
      </c>
      <c r="CR123" s="50">
        <v>0</v>
      </c>
      <c r="CS123" s="41">
        <f t="shared" si="63"/>
        <v>0</v>
      </c>
      <c r="CU123" s="39" t="s">
        <v>498</v>
      </c>
    </row>
    <row r="124" spans="1:99">
      <c r="A124" s="39" t="s">
        <v>63</v>
      </c>
      <c r="B124" s="39" t="s">
        <v>87</v>
      </c>
      <c r="C124" s="39" t="s">
        <v>88</v>
      </c>
      <c r="D124" s="56"/>
      <c r="E124" s="72" t="s">
        <v>131</v>
      </c>
      <c r="H124" s="51">
        <v>0</v>
      </c>
      <c r="I124" s="49">
        <v>0</v>
      </c>
      <c r="J124" s="49">
        <v>0</v>
      </c>
      <c r="K124" s="51">
        <f t="shared" si="69"/>
        <v>0</v>
      </c>
      <c r="L124" s="51">
        <f t="shared" si="61"/>
        <v>0</v>
      </c>
      <c r="M124" s="51">
        <v>0</v>
      </c>
      <c r="N124" s="52"/>
      <c r="O124" s="41">
        <v>0</v>
      </c>
      <c r="P124" s="50">
        <v>0</v>
      </c>
      <c r="Q124" s="50">
        <v>0</v>
      </c>
      <c r="R124" s="50">
        <v>0</v>
      </c>
      <c r="S124" s="41">
        <v>0</v>
      </c>
      <c r="T124" s="41">
        <v>0</v>
      </c>
      <c r="U124" s="41"/>
      <c r="V124" s="41">
        <v>0</v>
      </c>
      <c r="W124" s="50">
        <v>0</v>
      </c>
      <c r="X124" s="50">
        <v>0</v>
      </c>
      <c r="Y124" s="41">
        <f t="shared" si="70"/>
        <v>0</v>
      </c>
      <c r="Z124" s="41">
        <v>0</v>
      </c>
      <c r="AA124" s="41"/>
      <c r="AB124" s="41">
        <v>0</v>
      </c>
      <c r="AC124" s="41">
        <v>0</v>
      </c>
      <c r="AD124" s="50">
        <v>0</v>
      </c>
      <c r="AE124" s="41">
        <v>0</v>
      </c>
      <c r="AF124" s="41">
        <v>0</v>
      </c>
      <c r="AG124" s="41">
        <f t="shared" si="60"/>
        <v>0</v>
      </c>
      <c r="AH124" s="41">
        <v>0</v>
      </c>
      <c r="AI124" s="41"/>
      <c r="AJ124" s="41">
        <v>0</v>
      </c>
      <c r="AK124" s="50">
        <v>0</v>
      </c>
      <c r="AL124" s="41">
        <v>0</v>
      </c>
      <c r="AM124" s="50">
        <v>0</v>
      </c>
      <c r="AN124" s="41">
        <f t="shared" si="71"/>
        <v>0</v>
      </c>
      <c r="AO124" s="41">
        <v>0</v>
      </c>
      <c r="AP124" s="41"/>
      <c r="AQ124" s="53">
        <v>0</v>
      </c>
      <c r="AR124" s="54">
        <v>0</v>
      </c>
      <c r="AS124" s="54">
        <v>615</v>
      </c>
      <c r="AT124" s="53">
        <v>0</v>
      </c>
      <c r="AU124" s="41">
        <f t="shared" si="72"/>
        <v>-615</v>
      </c>
      <c r="AV124" s="41">
        <v>0</v>
      </c>
      <c r="AW124" s="41"/>
      <c r="AX124" s="41">
        <v>0</v>
      </c>
      <c r="AY124" s="54">
        <v>0</v>
      </c>
      <c r="AZ124" s="50">
        <v>0</v>
      </c>
      <c r="BA124" s="50">
        <v>0</v>
      </c>
      <c r="BB124" s="41">
        <v>0</v>
      </c>
      <c r="BC124" s="41">
        <f t="shared" ref="BC124:BC191" si="74">BD124-SUM(AX124:BB124)</f>
        <v>0</v>
      </c>
      <c r="BD124" s="41">
        <v>0</v>
      </c>
      <c r="BF124" s="41">
        <v>0</v>
      </c>
      <c r="BG124" s="50">
        <v>0</v>
      </c>
      <c r="BH124" s="41">
        <v>0</v>
      </c>
      <c r="BI124" s="50">
        <v>0</v>
      </c>
      <c r="BJ124" s="41">
        <v>0</v>
      </c>
      <c r="BK124" s="41">
        <f t="shared" si="73"/>
        <v>0</v>
      </c>
      <c r="BL124" s="41">
        <v>0</v>
      </c>
      <c r="BM124" s="55"/>
      <c r="BN124" s="41">
        <v>0</v>
      </c>
      <c r="BO124" s="50">
        <v>0</v>
      </c>
      <c r="BP124" s="50">
        <v>0</v>
      </c>
      <c r="BQ124" s="41">
        <v>0</v>
      </c>
      <c r="BR124" s="41">
        <v>0</v>
      </c>
      <c r="BS124" s="41">
        <f t="shared" si="64"/>
        <v>0</v>
      </c>
      <c r="BT124" s="41">
        <v>0</v>
      </c>
      <c r="BV124" s="41">
        <v>0</v>
      </c>
      <c r="BW124" s="50">
        <v>0</v>
      </c>
      <c r="BX124" s="41">
        <f t="shared" si="67"/>
        <v>0</v>
      </c>
      <c r="BY124" s="41">
        <v>0</v>
      </c>
      <c r="CA124" s="41">
        <v>0</v>
      </c>
      <c r="CB124" s="50">
        <v>0</v>
      </c>
      <c r="CC124" s="41">
        <f t="shared" si="68"/>
        <v>0</v>
      </c>
      <c r="CD124" s="41">
        <v>0</v>
      </c>
      <c r="CF124" s="41">
        <v>0</v>
      </c>
      <c r="CG124" s="50">
        <v>0</v>
      </c>
      <c r="CH124" s="41">
        <v>0</v>
      </c>
      <c r="CI124" s="41">
        <f t="shared" si="65"/>
        <v>0</v>
      </c>
      <c r="CJ124" s="41">
        <v>0</v>
      </c>
      <c r="CK124" s="50">
        <v>0</v>
      </c>
      <c r="CL124" s="41">
        <f t="shared" si="62"/>
        <v>0</v>
      </c>
      <c r="CM124" s="41">
        <v>0</v>
      </c>
      <c r="CN124" s="50">
        <v>0</v>
      </c>
      <c r="CO124" s="41">
        <v>0</v>
      </c>
      <c r="CP124" s="41">
        <f t="shared" si="66"/>
        <v>0</v>
      </c>
      <c r="CQ124" s="41">
        <v>0</v>
      </c>
      <c r="CR124" s="50">
        <v>0</v>
      </c>
      <c r="CS124" s="41">
        <f t="shared" si="63"/>
        <v>0</v>
      </c>
      <c r="CT124" s="60"/>
    </row>
    <row r="125" spans="1:99">
      <c r="A125" s="39" t="s">
        <v>63</v>
      </c>
      <c r="B125" s="39" t="s">
        <v>87</v>
      </c>
      <c r="C125" s="39" t="s">
        <v>88</v>
      </c>
      <c r="D125" s="56"/>
      <c r="E125" s="71" t="s">
        <v>132</v>
      </c>
      <c r="H125" s="51">
        <v>0</v>
      </c>
      <c r="I125" s="49">
        <v>0</v>
      </c>
      <c r="J125" s="49">
        <v>0</v>
      </c>
      <c r="K125" s="51">
        <v>0</v>
      </c>
      <c r="L125" s="51">
        <v>0</v>
      </c>
      <c r="M125" s="51">
        <v>0</v>
      </c>
      <c r="N125" s="52"/>
      <c r="O125" s="41">
        <v>0</v>
      </c>
      <c r="P125" s="50">
        <v>0</v>
      </c>
      <c r="Q125" s="50">
        <v>0</v>
      </c>
      <c r="R125" s="50">
        <v>0</v>
      </c>
      <c r="S125" s="41">
        <v>0</v>
      </c>
      <c r="T125" s="41">
        <v>0</v>
      </c>
      <c r="U125" s="41"/>
      <c r="V125" s="41">
        <v>0</v>
      </c>
      <c r="W125" s="50">
        <v>0</v>
      </c>
      <c r="X125" s="50">
        <v>0</v>
      </c>
      <c r="Y125" s="41">
        <v>0</v>
      </c>
      <c r="Z125" s="41">
        <v>0</v>
      </c>
      <c r="AA125" s="41"/>
      <c r="AB125" s="41">
        <v>0</v>
      </c>
      <c r="AC125" s="41">
        <v>0</v>
      </c>
      <c r="AD125" s="50">
        <v>0</v>
      </c>
      <c r="AE125" s="41">
        <v>0</v>
      </c>
      <c r="AF125" s="41">
        <v>0</v>
      </c>
      <c r="AG125" s="41">
        <v>0</v>
      </c>
      <c r="AH125" s="41">
        <v>0</v>
      </c>
      <c r="AI125" s="41"/>
      <c r="AJ125" s="41">
        <v>0</v>
      </c>
      <c r="AK125" s="50">
        <v>0</v>
      </c>
      <c r="AL125" s="41">
        <v>0</v>
      </c>
      <c r="AM125" s="50">
        <v>0</v>
      </c>
      <c r="AN125" s="41">
        <v>0</v>
      </c>
      <c r="AO125" s="41">
        <v>0</v>
      </c>
      <c r="AP125" s="41"/>
      <c r="AQ125" s="53">
        <v>0</v>
      </c>
      <c r="AR125" s="54">
        <v>0</v>
      </c>
      <c r="AS125" s="54">
        <v>0</v>
      </c>
      <c r="AT125" s="53">
        <v>0</v>
      </c>
      <c r="AU125" s="41">
        <v>0</v>
      </c>
      <c r="AV125" s="41">
        <v>0</v>
      </c>
      <c r="AW125" s="41"/>
      <c r="AX125" s="41">
        <v>0</v>
      </c>
      <c r="AY125" s="54">
        <v>0</v>
      </c>
      <c r="AZ125" s="50">
        <v>0</v>
      </c>
      <c r="BA125" s="50">
        <v>0</v>
      </c>
      <c r="BB125" s="41">
        <v>0</v>
      </c>
      <c r="BC125" s="41">
        <v>0</v>
      </c>
      <c r="BD125" s="41">
        <v>0</v>
      </c>
      <c r="BF125" s="41">
        <v>0</v>
      </c>
      <c r="BG125" s="50">
        <v>0</v>
      </c>
      <c r="BH125" s="41">
        <v>0</v>
      </c>
      <c r="BI125" s="50">
        <v>0</v>
      </c>
      <c r="BJ125" s="41">
        <v>0</v>
      </c>
      <c r="BK125" s="41">
        <v>0</v>
      </c>
      <c r="BL125" s="41">
        <v>0</v>
      </c>
      <c r="BM125" s="55"/>
      <c r="BN125" s="41">
        <v>0</v>
      </c>
      <c r="BO125" s="50">
        <v>0</v>
      </c>
      <c r="BP125" s="50">
        <v>0</v>
      </c>
      <c r="BQ125" s="41">
        <v>0</v>
      </c>
      <c r="BR125" s="41">
        <v>0</v>
      </c>
      <c r="BS125" s="41">
        <f t="shared" si="64"/>
        <v>0</v>
      </c>
      <c r="BT125" s="41">
        <v>0</v>
      </c>
      <c r="BV125" s="41">
        <v>0</v>
      </c>
      <c r="BW125" s="50">
        <v>0</v>
      </c>
      <c r="BX125" s="41">
        <f t="shared" si="67"/>
        <v>0</v>
      </c>
      <c r="BY125" s="41">
        <v>0</v>
      </c>
      <c r="CA125" s="41">
        <v>0</v>
      </c>
      <c r="CB125" s="50">
        <v>0</v>
      </c>
      <c r="CC125" s="41">
        <f t="shared" si="68"/>
        <v>0</v>
      </c>
      <c r="CD125" s="41">
        <v>0</v>
      </c>
      <c r="CF125" s="41">
        <v>-73</v>
      </c>
      <c r="CG125" s="50">
        <v>0</v>
      </c>
      <c r="CH125" s="41">
        <v>0</v>
      </c>
      <c r="CI125" s="41">
        <f t="shared" si="65"/>
        <v>-73</v>
      </c>
      <c r="CJ125" s="41">
        <v>0</v>
      </c>
      <c r="CK125" s="50">
        <v>0</v>
      </c>
      <c r="CL125" s="41">
        <f t="shared" si="62"/>
        <v>0</v>
      </c>
      <c r="CM125" s="41">
        <v>0</v>
      </c>
      <c r="CN125" s="50">
        <v>0</v>
      </c>
      <c r="CO125" s="41">
        <v>0</v>
      </c>
      <c r="CP125" s="41">
        <f t="shared" si="66"/>
        <v>0</v>
      </c>
      <c r="CQ125" s="41">
        <v>0</v>
      </c>
      <c r="CR125" s="50">
        <v>0</v>
      </c>
      <c r="CS125" s="41">
        <f t="shared" si="63"/>
        <v>0</v>
      </c>
      <c r="CT125" s="59"/>
    </row>
    <row r="126" spans="1:99">
      <c r="A126" s="39" t="s">
        <v>63</v>
      </c>
      <c r="B126" s="39" t="s">
        <v>87</v>
      </c>
      <c r="C126" s="39" t="s">
        <v>88</v>
      </c>
      <c r="D126" s="56"/>
      <c r="E126" s="72" t="s">
        <v>133</v>
      </c>
      <c r="H126" s="51">
        <v>0</v>
      </c>
      <c r="I126" s="49">
        <v>0</v>
      </c>
      <c r="J126" s="49">
        <v>0</v>
      </c>
      <c r="K126" s="51">
        <f t="shared" si="69"/>
        <v>0</v>
      </c>
      <c r="L126" s="51">
        <f t="shared" si="61"/>
        <v>0</v>
      </c>
      <c r="M126" s="51">
        <v>0</v>
      </c>
      <c r="N126" s="52"/>
      <c r="O126" s="41">
        <v>0</v>
      </c>
      <c r="P126" s="50">
        <v>0</v>
      </c>
      <c r="Q126" s="50">
        <v>0</v>
      </c>
      <c r="R126" s="50">
        <v>0</v>
      </c>
      <c r="S126" s="41">
        <v>0</v>
      </c>
      <c r="T126" s="41">
        <v>0</v>
      </c>
      <c r="U126" s="41"/>
      <c r="V126" s="41">
        <v>0</v>
      </c>
      <c r="W126" s="50">
        <v>0</v>
      </c>
      <c r="X126" s="50">
        <v>0</v>
      </c>
      <c r="Y126" s="41">
        <f t="shared" si="70"/>
        <v>0</v>
      </c>
      <c r="Z126" s="41">
        <v>0</v>
      </c>
      <c r="AA126" s="41"/>
      <c r="AB126" s="41">
        <v>0</v>
      </c>
      <c r="AC126" s="41">
        <v>0</v>
      </c>
      <c r="AD126" s="50">
        <v>0</v>
      </c>
      <c r="AE126" s="41">
        <v>0</v>
      </c>
      <c r="AF126" s="41">
        <v>0</v>
      </c>
      <c r="AG126" s="41">
        <f t="shared" si="60"/>
        <v>0</v>
      </c>
      <c r="AH126" s="41">
        <v>0</v>
      </c>
      <c r="AI126" s="41"/>
      <c r="AJ126" s="41">
        <v>0</v>
      </c>
      <c r="AK126" s="50">
        <v>0</v>
      </c>
      <c r="AL126" s="41">
        <v>0</v>
      </c>
      <c r="AM126" s="50">
        <v>0</v>
      </c>
      <c r="AN126" s="41">
        <f t="shared" si="71"/>
        <v>0</v>
      </c>
      <c r="AO126" s="41">
        <v>0</v>
      </c>
      <c r="AP126" s="41"/>
      <c r="AQ126" s="53">
        <v>0</v>
      </c>
      <c r="AR126" s="54">
        <v>0</v>
      </c>
      <c r="AS126" s="54">
        <v>0</v>
      </c>
      <c r="AT126" s="53">
        <v>0</v>
      </c>
      <c r="AU126" s="41">
        <f t="shared" si="72"/>
        <v>0</v>
      </c>
      <c r="AV126" s="41">
        <v>0</v>
      </c>
      <c r="AW126" s="41"/>
      <c r="AX126" s="41">
        <v>0</v>
      </c>
      <c r="AY126" s="54">
        <v>0</v>
      </c>
      <c r="AZ126" s="50">
        <v>0</v>
      </c>
      <c r="BA126" s="50">
        <v>0</v>
      </c>
      <c r="BB126" s="41">
        <v>0</v>
      </c>
      <c r="BC126" s="41">
        <f t="shared" si="74"/>
        <v>0</v>
      </c>
      <c r="BD126" s="41">
        <v>0</v>
      </c>
      <c r="BF126" s="41">
        <v>0</v>
      </c>
      <c r="BG126" s="50">
        <v>0</v>
      </c>
      <c r="BH126" s="41">
        <v>0</v>
      </c>
      <c r="BI126" s="50">
        <v>0</v>
      </c>
      <c r="BJ126" s="41">
        <v>0</v>
      </c>
      <c r="BK126" s="41">
        <f t="shared" si="73"/>
        <v>0</v>
      </c>
      <c r="BL126" s="41">
        <v>0</v>
      </c>
      <c r="BM126" s="55"/>
      <c r="BN126" s="41">
        <v>0</v>
      </c>
      <c r="BO126" s="50">
        <v>0</v>
      </c>
      <c r="BP126" s="50">
        <v>0</v>
      </c>
      <c r="BQ126" s="41">
        <v>0</v>
      </c>
      <c r="BR126" s="41">
        <v>0</v>
      </c>
      <c r="BS126" s="41">
        <f t="shared" si="64"/>
        <v>0</v>
      </c>
      <c r="BT126" s="41">
        <v>0</v>
      </c>
      <c r="BV126" s="41">
        <v>0</v>
      </c>
      <c r="BW126" s="50">
        <v>0</v>
      </c>
      <c r="BX126" s="41">
        <f t="shared" si="67"/>
        <v>0</v>
      </c>
      <c r="BY126" s="41">
        <v>0</v>
      </c>
      <c r="CA126" s="41">
        <v>0</v>
      </c>
      <c r="CB126" s="50">
        <v>0</v>
      </c>
      <c r="CC126" s="41">
        <f t="shared" si="68"/>
        <v>0</v>
      </c>
      <c r="CD126" s="41">
        <v>0</v>
      </c>
      <c r="CF126" s="41">
        <v>0</v>
      </c>
      <c r="CG126" s="50">
        <v>0</v>
      </c>
      <c r="CH126" s="41">
        <v>0</v>
      </c>
      <c r="CI126" s="41">
        <f t="shared" si="65"/>
        <v>0</v>
      </c>
      <c r="CJ126" s="41">
        <v>0</v>
      </c>
      <c r="CK126" s="50">
        <v>0</v>
      </c>
      <c r="CL126" s="41">
        <f t="shared" si="62"/>
        <v>0</v>
      </c>
      <c r="CM126" s="41">
        <v>0</v>
      </c>
      <c r="CN126" s="50">
        <v>0</v>
      </c>
      <c r="CO126" s="41">
        <v>0</v>
      </c>
      <c r="CP126" s="41">
        <f t="shared" si="66"/>
        <v>0</v>
      </c>
      <c r="CQ126" s="41">
        <v>0</v>
      </c>
      <c r="CR126" s="50">
        <v>0</v>
      </c>
      <c r="CS126" s="41">
        <f t="shared" si="63"/>
        <v>0</v>
      </c>
      <c r="CT126" s="60"/>
    </row>
    <row r="127" spans="1:99">
      <c r="A127" s="39" t="s">
        <v>63</v>
      </c>
      <c r="B127" s="39" t="s">
        <v>134</v>
      </c>
      <c r="C127" s="39" t="s">
        <v>4</v>
      </c>
      <c r="D127" s="56">
        <v>17110901051</v>
      </c>
      <c r="E127" s="68" t="s">
        <v>135</v>
      </c>
      <c r="H127" s="51">
        <v>984</v>
      </c>
      <c r="I127" s="49">
        <v>0</v>
      </c>
      <c r="J127" s="49">
        <v>4</v>
      </c>
      <c r="K127" s="51">
        <f t="shared" si="69"/>
        <v>988</v>
      </c>
      <c r="L127" s="51">
        <f t="shared" si="61"/>
        <v>-49</v>
      </c>
      <c r="M127" s="51">
        <v>939</v>
      </c>
      <c r="N127" s="52"/>
      <c r="O127" s="41">
        <v>1304</v>
      </c>
      <c r="P127" s="50">
        <v>51</v>
      </c>
      <c r="Q127" s="50">
        <v>0</v>
      </c>
      <c r="R127" s="50">
        <v>199</v>
      </c>
      <c r="S127" s="41">
        <v>-76</v>
      </c>
      <c r="T127" s="41">
        <v>1478</v>
      </c>
      <c r="U127" s="41"/>
      <c r="V127" s="41">
        <v>1156</v>
      </c>
      <c r="W127" s="50">
        <v>123</v>
      </c>
      <c r="X127" s="50">
        <v>150</v>
      </c>
      <c r="Y127" s="41">
        <f t="shared" si="70"/>
        <v>152</v>
      </c>
      <c r="Z127" s="41">
        <v>1581</v>
      </c>
      <c r="AA127" s="41"/>
      <c r="AB127" s="41">
        <v>1379</v>
      </c>
      <c r="AC127" s="41">
        <v>7</v>
      </c>
      <c r="AD127" s="50">
        <v>3283</v>
      </c>
      <c r="AE127" s="41">
        <v>0</v>
      </c>
      <c r="AF127" s="41">
        <v>0</v>
      </c>
      <c r="AG127" s="41">
        <f t="shared" si="60"/>
        <v>170</v>
      </c>
      <c r="AH127" s="41">
        <v>4839</v>
      </c>
      <c r="AI127" s="41"/>
      <c r="AJ127" s="41">
        <v>1322</v>
      </c>
      <c r="AK127" s="50">
        <v>1710</v>
      </c>
      <c r="AL127" s="41">
        <v>0</v>
      </c>
      <c r="AM127" s="50">
        <v>2577</v>
      </c>
      <c r="AN127" s="41">
        <f t="shared" si="71"/>
        <v>-162</v>
      </c>
      <c r="AO127" s="41">
        <v>5447</v>
      </c>
      <c r="AP127" s="41"/>
      <c r="AQ127" s="53">
        <v>891</v>
      </c>
      <c r="AR127" s="54">
        <v>4898</v>
      </c>
      <c r="AS127" s="54">
        <v>2252</v>
      </c>
      <c r="AT127" s="53">
        <v>0</v>
      </c>
      <c r="AU127" s="41">
        <f t="shared" si="72"/>
        <v>11</v>
      </c>
      <c r="AV127" s="41">
        <v>8052</v>
      </c>
      <c r="AW127" s="41"/>
      <c r="AX127" s="41">
        <v>2296</v>
      </c>
      <c r="AY127" s="54">
        <v>1568</v>
      </c>
      <c r="AZ127" s="50">
        <v>703</v>
      </c>
      <c r="BA127" s="50">
        <v>2197</v>
      </c>
      <c r="BB127" s="41">
        <v>0</v>
      </c>
      <c r="BC127" s="41">
        <f t="shared" si="74"/>
        <v>-477</v>
      </c>
      <c r="BD127" s="41">
        <v>6287</v>
      </c>
      <c r="BF127" s="41">
        <v>1373</v>
      </c>
      <c r="BG127" s="50">
        <v>565</v>
      </c>
      <c r="BH127" s="41">
        <v>0</v>
      </c>
      <c r="BI127" s="50">
        <v>2549</v>
      </c>
      <c r="BJ127" s="41">
        <v>-74</v>
      </c>
      <c r="BK127" s="41">
        <f t="shared" si="73"/>
        <v>-104</v>
      </c>
      <c r="BL127" s="41">
        <v>4309</v>
      </c>
      <c r="BM127" s="55"/>
      <c r="BN127" s="41">
        <v>1517</v>
      </c>
      <c r="BO127" s="50">
        <v>2002</v>
      </c>
      <c r="BP127" s="50">
        <v>41</v>
      </c>
      <c r="BQ127" s="41">
        <v>0</v>
      </c>
      <c r="BR127" s="41">
        <v>-13</v>
      </c>
      <c r="BS127" s="41">
        <f t="shared" si="64"/>
        <v>111</v>
      </c>
      <c r="BT127" s="41">
        <v>3658</v>
      </c>
      <c r="BV127" s="41">
        <v>1236</v>
      </c>
      <c r="BW127" s="50">
        <v>1739</v>
      </c>
      <c r="BX127" s="41">
        <f t="shared" si="67"/>
        <v>236</v>
      </c>
      <c r="BY127" s="41">
        <v>3211</v>
      </c>
      <c r="CA127" s="41">
        <v>1423</v>
      </c>
      <c r="CB127" s="50">
        <v>1234</v>
      </c>
      <c r="CC127" s="41">
        <f t="shared" si="68"/>
        <v>100</v>
      </c>
      <c r="CD127" s="41">
        <v>2757</v>
      </c>
      <c r="CF127" s="41">
        <v>1110</v>
      </c>
      <c r="CG127" s="50">
        <v>712</v>
      </c>
      <c r="CH127" s="41">
        <v>0</v>
      </c>
      <c r="CI127" s="41">
        <f t="shared" si="65"/>
        <v>1822</v>
      </c>
      <c r="CJ127" s="41">
        <v>1228</v>
      </c>
      <c r="CK127" s="50">
        <v>126</v>
      </c>
      <c r="CL127" s="41">
        <f t="shared" si="62"/>
        <v>1354</v>
      </c>
      <c r="CM127" s="41">
        <v>895</v>
      </c>
      <c r="CN127" s="50">
        <v>66</v>
      </c>
      <c r="CO127" s="41">
        <v>0</v>
      </c>
      <c r="CP127" s="41">
        <f t="shared" si="66"/>
        <v>961</v>
      </c>
      <c r="CQ127" s="41">
        <v>1121</v>
      </c>
      <c r="CR127" s="50">
        <v>57</v>
      </c>
      <c r="CS127" s="41">
        <f t="shared" si="63"/>
        <v>1178</v>
      </c>
      <c r="CU127" s="39" t="s">
        <v>499</v>
      </c>
    </row>
    <row r="128" spans="1:99">
      <c r="A128" s="39" t="s">
        <v>63</v>
      </c>
      <c r="B128" s="39" t="s">
        <v>134</v>
      </c>
      <c r="C128" s="39" t="s">
        <v>4</v>
      </c>
      <c r="D128" s="56">
        <v>17150601051</v>
      </c>
      <c r="E128" s="68" t="s">
        <v>136</v>
      </c>
      <c r="H128" s="51">
        <v>7873</v>
      </c>
      <c r="I128" s="49">
        <v>0</v>
      </c>
      <c r="J128" s="49">
        <v>23</v>
      </c>
      <c r="K128" s="51">
        <f t="shared" si="69"/>
        <v>7896</v>
      </c>
      <c r="L128" s="51">
        <f t="shared" si="61"/>
        <v>91</v>
      </c>
      <c r="M128" s="51">
        <v>7987</v>
      </c>
      <c r="N128" s="52"/>
      <c r="O128" s="41">
        <v>8260</v>
      </c>
      <c r="P128" s="50">
        <v>367</v>
      </c>
      <c r="Q128" s="50">
        <v>0</v>
      </c>
      <c r="R128" s="50">
        <v>161</v>
      </c>
      <c r="S128" s="41">
        <v>-159</v>
      </c>
      <c r="T128" s="41">
        <v>8629</v>
      </c>
      <c r="U128" s="41"/>
      <c r="V128" s="41">
        <f>8957+50</f>
        <v>9007</v>
      </c>
      <c r="W128" s="50">
        <v>159</v>
      </c>
      <c r="X128" s="50">
        <v>79</v>
      </c>
      <c r="Y128" s="41">
        <f t="shared" si="70"/>
        <v>-137</v>
      </c>
      <c r="Z128" s="41">
        <v>9108</v>
      </c>
      <c r="AA128" s="41"/>
      <c r="AB128" s="41">
        <v>8753</v>
      </c>
      <c r="AC128" s="41">
        <v>0</v>
      </c>
      <c r="AD128" s="50">
        <v>200</v>
      </c>
      <c r="AE128" s="41">
        <v>0</v>
      </c>
      <c r="AF128" s="41">
        <v>0</v>
      </c>
      <c r="AG128" s="41">
        <f t="shared" si="60"/>
        <v>-8</v>
      </c>
      <c r="AH128" s="41">
        <v>8945</v>
      </c>
      <c r="AI128" s="41"/>
      <c r="AJ128" s="41">
        <v>9627</v>
      </c>
      <c r="AK128" s="50">
        <v>139</v>
      </c>
      <c r="AL128" s="41">
        <v>4</v>
      </c>
      <c r="AM128" s="50">
        <v>517</v>
      </c>
      <c r="AN128" s="41">
        <f t="shared" si="71"/>
        <v>-3</v>
      </c>
      <c r="AO128" s="41">
        <v>10284</v>
      </c>
      <c r="AP128" s="41"/>
      <c r="AQ128" s="53">
        <v>10275</v>
      </c>
      <c r="AR128" s="54">
        <v>487</v>
      </c>
      <c r="AS128" s="54">
        <v>1090</v>
      </c>
      <c r="AT128" s="53">
        <v>0</v>
      </c>
      <c r="AU128" s="41">
        <f t="shared" si="72"/>
        <v>-7</v>
      </c>
      <c r="AV128" s="41">
        <v>11845</v>
      </c>
      <c r="AW128" s="41"/>
      <c r="AX128" s="41">
        <v>12381</v>
      </c>
      <c r="AY128" s="54">
        <v>0</v>
      </c>
      <c r="AZ128" s="50">
        <v>48</v>
      </c>
      <c r="BA128" s="50">
        <v>3563</v>
      </c>
      <c r="BB128" s="41">
        <v>0</v>
      </c>
      <c r="BC128" s="41">
        <f t="shared" si="74"/>
        <v>-250</v>
      </c>
      <c r="BD128" s="41">
        <v>15742</v>
      </c>
      <c r="BF128" s="41">
        <v>14099</v>
      </c>
      <c r="BG128" s="50">
        <v>0</v>
      </c>
      <c r="BH128" s="41">
        <v>0</v>
      </c>
      <c r="BI128" s="50">
        <v>637</v>
      </c>
      <c r="BJ128" s="41">
        <v>0</v>
      </c>
      <c r="BK128" s="41">
        <f t="shared" si="73"/>
        <v>29</v>
      </c>
      <c r="BL128" s="41">
        <v>14765</v>
      </c>
      <c r="BM128" s="55"/>
      <c r="BN128" s="41">
        <v>18586</v>
      </c>
      <c r="BO128" s="50">
        <v>853</v>
      </c>
      <c r="BP128" s="50">
        <v>122</v>
      </c>
      <c r="BQ128" s="41">
        <v>174</v>
      </c>
      <c r="BR128" s="41">
        <v>0</v>
      </c>
      <c r="BS128" s="41">
        <f t="shared" si="64"/>
        <v>56</v>
      </c>
      <c r="BT128" s="41">
        <v>19791</v>
      </c>
      <c r="BV128" s="41">
        <v>15680</v>
      </c>
      <c r="BW128" s="50">
        <v>1170</v>
      </c>
      <c r="BX128" s="41">
        <f t="shared" si="67"/>
        <v>-21</v>
      </c>
      <c r="BY128" s="41">
        <v>16829</v>
      </c>
      <c r="CA128" s="41">
        <v>17508</v>
      </c>
      <c r="CB128" s="50">
        <v>481</v>
      </c>
      <c r="CC128" s="41">
        <f t="shared" si="68"/>
        <v>-45</v>
      </c>
      <c r="CD128" s="41">
        <v>17944</v>
      </c>
      <c r="CF128" s="41">
        <v>15695</v>
      </c>
      <c r="CG128" s="50">
        <v>196</v>
      </c>
      <c r="CH128" s="41">
        <v>0</v>
      </c>
      <c r="CI128" s="41">
        <f t="shared" si="65"/>
        <v>15891</v>
      </c>
      <c r="CJ128" s="41">
        <v>16321</v>
      </c>
      <c r="CK128" s="50">
        <v>211</v>
      </c>
      <c r="CL128" s="41">
        <f t="shared" si="62"/>
        <v>16532</v>
      </c>
      <c r="CM128" s="41">
        <v>14514</v>
      </c>
      <c r="CN128" s="50">
        <v>243</v>
      </c>
      <c r="CO128" s="41">
        <v>0</v>
      </c>
      <c r="CP128" s="41">
        <f t="shared" si="66"/>
        <v>14757</v>
      </c>
      <c r="CQ128" s="41">
        <v>17456</v>
      </c>
      <c r="CR128" s="50">
        <v>211</v>
      </c>
      <c r="CS128" s="41">
        <f t="shared" si="63"/>
        <v>17667</v>
      </c>
      <c r="CU128" s="39" t="s">
        <v>500</v>
      </c>
    </row>
    <row r="129" spans="1:99">
      <c r="A129" s="39" t="s">
        <v>63</v>
      </c>
      <c r="B129" s="39" t="s">
        <v>134</v>
      </c>
      <c r="C129" s="39" t="s">
        <v>4</v>
      </c>
      <c r="D129" s="56">
        <v>17150701051</v>
      </c>
      <c r="E129" s="68" t="s">
        <v>137</v>
      </c>
      <c r="H129" s="51">
        <v>1391</v>
      </c>
      <c r="I129" s="49">
        <v>0</v>
      </c>
      <c r="J129" s="49">
        <v>0</v>
      </c>
      <c r="K129" s="51">
        <f t="shared" si="69"/>
        <v>1391</v>
      </c>
      <c r="L129" s="51">
        <f t="shared" si="61"/>
        <v>-1</v>
      </c>
      <c r="M129" s="51">
        <v>1390</v>
      </c>
      <c r="N129" s="52"/>
      <c r="O129" s="41">
        <v>1713</v>
      </c>
      <c r="P129" s="50">
        <v>116</v>
      </c>
      <c r="Q129" s="50">
        <v>0</v>
      </c>
      <c r="R129" s="50">
        <v>328</v>
      </c>
      <c r="S129" s="41">
        <v>-55</v>
      </c>
      <c r="T129" s="41">
        <v>2102</v>
      </c>
      <c r="U129" s="41"/>
      <c r="V129" s="41">
        <v>2080</v>
      </c>
      <c r="W129" s="50">
        <v>0</v>
      </c>
      <c r="X129" s="50">
        <v>0</v>
      </c>
      <c r="Y129" s="41">
        <f t="shared" si="70"/>
        <v>-7</v>
      </c>
      <c r="Z129" s="41">
        <v>2073</v>
      </c>
      <c r="AA129" s="41"/>
      <c r="AB129" s="41">
        <v>2082</v>
      </c>
      <c r="AC129" s="41">
        <v>0</v>
      </c>
      <c r="AD129" s="50">
        <v>66</v>
      </c>
      <c r="AE129" s="41">
        <v>0</v>
      </c>
      <c r="AF129" s="41">
        <v>0</v>
      </c>
      <c r="AG129" s="41">
        <f t="shared" si="60"/>
        <v>18</v>
      </c>
      <c r="AH129" s="41">
        <v>2166</v>
      </c>
      <c r="AI129" s="41"/>
      <c r="AJ129" s="41">
        <v>2624</v>
      </c>
      <c r="AK129" s="50">
        <v>117</v>
      </c>
      <c r="AL129" s="41">
        <v>0</v>
      </c>
      <c r="AM129" s="50">
        <v>55</v>
      </c>
      <c r="AN129" s="41">
        <f t="shared" si="71"/>
        <v>4</v>
      </c>
      <c r="AO129" s="41">
        <v>2800</v>
      </c>
      <c r="AP129" s="41"/>
      <c r="AQ129" s="53">
        <v>2564</v>
      </c>
      <c r="AR129" s="54">
        <v>109</v>
      </c>
      <c r="AS129" s="54">
        <v>164</v>
      </c>
      <c r="AT129" s="53">
        <v>0</v>
      </c>
      <c r="AU129" s="41">
        <f t="shared" si="72"/>
        <v>0</v>
      </c>
      <c r="AV129" s="41">
        <v>2837</v>
      </c>
      <c r="AW129" s="41"/>
      <c r="AX129" s="41">
        <v>3093</v>
      </c>
      <c r="AY129" s="54">
        <v>0</v>
      </c>
      <c r="AZ129" s="50">
        <v>0</v>
      </c>
      <c r="BA129" s="50">
        <v>317</v>
      </c>
      <c r="BB129" s="41">
        <v>0</v>
      </c>
      <c r="BC129" s="41">
        <f t="shared" si="74"/>
        <v>-36</v>
      </c>
      <c r="BD129" s="41">
        <v>3374</v>
      </c>
      <c r="BF129" s="41">
        <v>3283</v>
      </c>
      <c r="BG129" s="50">
        <v>0</v>
      </c>
      <c r="BH129" s="41">
        <v>0</v>
      </c>
      <c r="BI129" s="50">
        <v>29</v>
      </c>
      <c r="BJ129" s="41">
        <v>0</v>
      </c>
      <c r="BK129" s="41">
        <f t="shared" si="73"/>
        <v>-83</v>
      </c>
      <c r="BL129" s="41">
        <v>3229</v>
      </c>
      <c r="BM129" s="55"/>
      <c r="BN129" s="41">
        <v>3347</v>
      </c>
      <c r="BO129" s="50">
        <v>51</v>
      </c>
      <c r="BP129" s="50">
        <v>0</v>
      </c>
      <c r="BQ129" s="41">
        <v>0</v>
      </c>
      <c r="BR129" s="41">
        <v>-26</v>
      </c>
      <c r="BS129" s="41">
        <f t="shared" si="64"/>
        <v>-20</v>
      </c>
      <c r="BT129" s="41">
        <v>3352</v>
      </c>
      <c r="BV129" s="41">
        <v>3222</v>
      </c>
      <c r="BW129" s="50">
        <v>91</v>
      </c>
      <c r="BX129" s="41">
        <f t="shared" si="67"/>
        <v>338</v>
      </c>
      <c r="BY129" s="41">
        <v>3651</v>
      </c>
      <c r="CA129" s="41">
        <v>3190</v>
      </c>
      <c r="CB129" s="50">
        <v>41</v>
      </c>
      <c r="CC129" s="41">
        <f t="shared" si="68"/>
        <v>-23</v>
      </c>
      <c r="CD129" s="41">
        <v>3208</v>
      </c>
      <c r="CF129" s="41">
        <v>2670</v>
      </c>
      <c r="CG129" s="50">
        <v>21</v>
      </c>
      <c r="CH129" s="41">
        <v>0</v>
      </c>
      <c r="CI129" s="41">
        <f t="shared" si="65"/>
        <v>2691</v>
      </c>
      <c r="CJ129" s="41">
        <v>2971</v>
      </c>
      <c r="CK129" s="50">
        <v>87</v>
      </c>
      <c r="CL129" s="41">
        <f t="shared" si="62"/>
        <v>3058</v>
      </c>
      <c r="CM129" s="41">
        <v>3074</v>
      </c>
      <c r="CN129" s="50">
        <v>67</v>
      </c>
      <c r="CO129" s="41">
        <v>0</v>
      </c>
      <c r="CP129" s="41">
        <f t="shared" si="66"/>
        <v>3141</v>
      </c>
      <c r="CQ129" s="41">
        <v>3034</v>
      </c>
      <c r="CR129" s="50">
        <v>0</v>
      </c>
      <c r="CS129" s="41">
        <f t="shared" si="63"/>
        <v>3034</v>
      </c>
      <c r="CU129" s="39" t="s">
        <v>501</v>
      </c>
    </row>
    <row r="130" spans="1:99">
      <c r="A130" s="39" t="s">
        <v>63</v>
      </c>
      <c r="B130" s="39" t="s">
        <v>134</v>
      </c>
      <c r="C130" s="39" t="s">
        <v>4</v>
      </c>
      <c r="D130" s="56">
        <v>17150801051</v>
      </c>
      <c r="E130" s="68" t="s">
        <v>138</v>
      </c>
      <c r="H130" s="51">
        <v>457</v>
      </c>
      <c r="I130" s="49">
        <v>0</v>
      </c>
      <c r="J130" s="49">
        <v>262</v>
      </c>
      <c r="K130" s="51">
        <f t="shared" si="69"/>
        <v>719</v>
      </c>
      <c r="L130" s="51">
        <f t="shared" si="61"/>
        <v>-2</v>
      </c>
      <c r="M130" s="51">
        <v>717</v>
      </c>
      <c r="N130" s="52"/>
      <c r="O130" s="41">
        <v>999</v>
      </c>
      <c r="P130" s="50">
        <v>145</v>
      </c>
      <c r="Q130" s="50">
        <v>0</v>
      </c>
      <c r="R130" s="50">
        <v>335</v>
      </c>
      <c r="S130" s="41">
        <v>-135</v>
      </c>
      <c r="T130" s="41">
        <v>1344</v>
      </c>
      <c r="U130" s="41"/>
      <c r="V130" s="41">
        <v>928</v>
      </c>
      <c r="W130" s="50">
        <v>0</v>
      </c>
      <c r="X130" s="50">
        <v>30</v>
      </c>
      <c r="Y130" s="41">
        <f t="shared" si="70"/>
        <v>-13</v>
      </c>
      <c r="Z130" s="41">
        <v>945</v>
      </c>
      <c r="AA130" s="41"/>
      <c r="AB130" s="41">
        <v>885</v>
      </c>
      <c r="AC130" s="41">
        <v>0</v>
      </c>
      <c r="AD130" s="50">
        <v>140</v>
      </c>
      <c r="AE130" s="41">
        <v>0</v>
      </c>
      <c r="AF130" s="41">
        <v>0</v>
      </c>
      <c r="AG130" s="41">
        <f t="shared" si="60"/>
        <v>-1</v>
      </c>
      <c r="AH130" s="41">
        <v>1024</v>
      </c>
      <c r="AI130" s="41"/>
      <c r="AJ130" s="41">
        <v>841</v>
      </c>
      <c r="AK130" s="50">
        <v>39</v>
      </c>
      <c r="AL130" s="41">
        <v>3</v>
      </c>
      <c r="AM130" s="50">
        <v>323</v>
      </c>
      <c r="AN130" s="41">
        <f t="shared" si="71"/>
        <v>-21</v>
      </c>
      <c r="AO130" s="41">
        <v>1185</v>
      </c>
      <c r="AP130" s="41"/>
      <c r="AQ130" s="53">
        <v>764</v>
      </c>
      <c r="AR130" s="54">
        <v>128</v>
      </c>
      <c r="AS130" s="54">
        <v>160</v>
      </c>
      <c r="AT130" s="53">
        <v>0</v>
      </c>
      <c r="AU130" s="41">
        <f t="shared" si="72"/>
        <v>-3</v>
      </c>
      <c r="AV130" s="41">
        <v>1049</v>
      </c>
      <c r="AW130" s="41"/>
      <c r="AX130" s="41">
        <v>1057</v>
      </c>
      <c r="AY130" s="54">
        <v>0</v>
      </c>
      <c r="AZ130" s="50">
        <v>305</v>
      </c>
      <c r="BA130" s="50">
        <v>305</v>
      </c>
      <c r="BB130" s="41">
        <v>0</v>
      </c>
      <c r="BC130" s="41">
        <f t="shared" si="74"/>
        <v>-27</v>
      </c>
      <c r="BD130" s="41">
        <v>1640</v>
      </c>
      <c r="BF130" s="41">
        <v>1082</v>
      </c>
      <c r="BG130" s="50">
        <v>0</v>
      </c>
      <c r="BH130" s="41">
        <v>0</v>
      </c>
      <c r="BI130" s="50">
        <v>349</v>
      </c>
      <c r="BJ130" s="41">
        <v>0</v>
      </c>
      <c r="BK130" s="41">
        <f t="shared" si="73"/>
        <v>-9</v>
      </c>
      <c r="BL130" s="41">
        <v>1422</v>
      </c>
      <c r="BM130" s="55"/>
      <c r="BN130" s="41">
        <v>799</v>
      </c>
      <c r="BO130" s="50">
        <v>676</v>
      </c>
      <c r="BP130" s="50">
        <v>0</v>
      </c>
      <c r="BQ130" s="41">
        <v>0</v>
      </c>
      <c r="BR130" s="41">
        <v>0</v>
      </c>
      <c r="BS130" s="41">
        <f t="shared" si="64"/>
        <v>14</v>
      </c>
      <c r="BT130" s="41">
        <v>1489</v>
      </c>
      <c r="BV130" s="41">
        <v>779</v>
      </c>
      <c r="BW130" s="50">
        <v>558</v>
      </c>
      <c r="BX130" s="41">
        <f t="shared" si="67"/>
        <v>124</v>
      </c>
      <c r="BY130" s="41">
        <v>1461</v>
      </c>
      <c r="CA130" s="41">
        <v>599</v>
      </c>
      <c r="CB130" s="50">
        <v>317</v>
      </c>
      <c r="CC130" s="41">
        <f t="shared" si="68"/>
        <v>0</v>
      </c>
      <c r="CD130" s="41">
        <v>916</v>
      </c>
      <c r="CF130" s="41">
        <v>588</v>
      </c>
      <c r="CG130" s="50">
        <v>229</v>
      </c>
      <c r="CH130" s="41">
        <v>0</v>
      </c>
      <c r="CI130" s="41">
        <f t="shared" si="65"/>
        <v>817</v>
      </c>
      <c r="CJ130" s="41">
        <v>549</v>
      </c>
      <c r="CK130" s="50">
        <v>169</v>
      </c>
      <c r="CL130" s="41">
        <f t="shared" si="62"/>
        <v>718</v>
      </c>
      <c r="CM130" s="41">
        <v>674</v>
      </c>
      <c r="CN130" s="50">
        <v>155</v>
      </c>
      <c r="CO130" s="41">
        <v>0</v>
      </c>
      <c r="CP130" s="41">
        <f t="shared" si="66"/>
        <v>829</v>
      </c>
      <c r="CQ130" s="41">
        <v>643</v>
      </c>
      <c r="CR130" s="50">
        <v>118</v>
      </c>
      <c r="CS130" s="41">
        <f t="shared" si="63"/>
        <v>761</v>
      </c>
      <c r="CU130" s="39" t="s">
        <v>502</v>
      </c>
    </row>
    <row r="131" spans="1:99">
      <c r="A131" s="39" t="s">
        <v>63</v>
      </c>
      <c r="B131" s="39" t="s">
        <v>134</v>
      </c>
      <c r="C131" s="39" t="s">
        <v>4</v>
      </c>
      <c r="D131" s="56">
        <v>17161101051</v>
      </c>
      <c r="E131" s="68" t="s">
        <v>139</v>
      </c>
      <c r="H131" s="51">
        <v>9500</v>
      </c>
      <c r="I131" s="49">
        <v>0</v>
      </c>
      <c r="J131" s="49">
        <v>0</v>
      </c>
      <c r="K131" s="51">
        <f t="shared" si="69"/>
        <v>9500</v>
      </c>
      <c r="L131" s="51">
        <f t="shared" si="61"/>
        <v>-320</v>
      </c>
      <c r="M131" s="51">
        <v>9180</v>
      </c>
      <c r="N131" s="52"/>
      <c r="O131" s="41">
        <v>9049</v>
      </c>
      <c r="P131" s="50">
        <v>0</v>
      </c>
      <c r="Q131" s="50">
        <v>0</v>
      </c>
      <c r="R131" s="50">
        <v>0</v>
      </c>
      <c r="S131" s="41">
        <v>0</v>
      </c>
      <c r="T131" s="41">
        <v>9049</v>
      </c>
      <c r="U131" s="41"/>
      <c r="V131" s="41">
        <v>11389</v>
      </c>
      <c r="W131" s="50">
        <v>0</v>
      </c>
      <c r="X131" s="50">
        <v>0</v>
      </c>
      <c r="Y131" s="41">
        <f t="shared" si="70"/>
        <v>-56</v>
      </c>
      <c r="Z131" s="41">
        <v>11333</v>
      </c>
      <c r="AA131" s="41"/>
      <c r="AB131" s="41">
        <v>10363</v>
      </c>
      <c r="AC131" s="41">
        <v>0</v>
      </c>
      <c r="AD131" s="50">
        <v>0</v>
      </c>
      <c r="AE131" s="41">
        <v>0</v>
      </c>
      <c r="AF131" s="41">
        <v>0</v>
      </c>
      <c r="AG131" s="41">
        <f t="shared" si="60"/>
        <v>21</v>
      </c>
      <c r="AH131" s="41">
        <v>10384</v>
      </c>
      <c r="AI131" s="41"/>
      <c r="AJ131" s="41">
        <v>8864</v>
      </c>
      <c r="AK131" s="50">
        <v>0</v>
      </c>
      <c r="AL131" s="41">
        <v>2464</v>
      </c>
      <c r="AM131" s="50">
        <v>0</v>
      </c>
      <c r="AN131" s="41">
        <f t="shared" si="71"/>
        <v>0</v>
      </c>
      <c r="AO131" s="41">
        <v>11328</v>
      </c>
      <c r="AP131" s="41"/>
      <c r="AQ131" s="53">
        <v>10525</v>
      </c>
      <c r="AR131" s="54">
        <v>0</v>
      </c>
      <c r="AS131" s="54">
        <v>0</v>
      </c>
      <c r="AT131" s="53">
        <v>0</v>
      </c>
      <c r="AU131" s="41">
        <f t="shared" si="72"/>
        <v>-303</v>
      </c>
      <c r="AV131" s="41">
        <v>10222</v>
      </c>
      <c r="AW131" s="41"/>
      <c r="AX131" s="41">
        <v>13430</v>
      </c>
      <c r="AY131" s="54">
        <v>0</v>
      </c>
      <c r="AZ131" s="50">
        <v>0</v>
      </c>
      <c r="BA131" s="50">
        <v>0</v>
      </c>
      <c r="BB131" s="41">
        <v>0</v>
      </c>
      <c r="BC131" s="41">
        <f t="shared" si="74"/>
        <v>-5</v>
      </c>
      <c r="BD131" s="41">
        <v>13425</v>
      </c>
      <c r="BF131" s="41">
        <v>12688</v>
      </c>
      <c r="BG131" s="50">
        <v>0</v>
      </c>
      <c r="BH131" s="41">
        <v>0</v>
      </c>
      <c r="BI131" s="50">
        <v>0</v>
      </c>
      <c r="BJ131" s="41">
        <v>0</v>
      </c>
      <c r="BK131" s="41">
        <f t="shared" si="73"/>
        <v>-2</v>
      </c>
      <c r="BL131" s="41">
        <v>12686</v>
      </c>
      <c r="BM131" s="55"/>
      <c r="BN131" s="41">
        <v>13849</v>
      </c>
      <c r="BO131" s="50">
        <v>0</v>
      </c>
      <c r="BP131" s="50">
        <v>0</v>
      </c>
      <c r="BQ131" s="41">
        <v>0</v>
      </c>
      <c r="BR131" s="41">
        <v>0</v>
      </c>
      <c r="BS131" s="41">
        <f t="shared" si="64"/>
        <v>-6</v>
      </c>
      <c r="BT131" s="41">
        <v>13843</v>
      </c>
      <c r="BV131" s="41">
        <v>15373</v>
      </c>
      <c r="BW131" s="50">
        <v>0</v>
      </c>
      <c r="BX131" s="41">
        <f t="shared" si="67"/>
        <v>57</v>
      </c>
      <c r="BY131" s="41">
        <v>15430</v>
      </c>
      <c r="CA131" s="41">
        <v>14817</v>
      </c>
      <c r="CB131" s="50">
        <v>0</v>
      </c>
      <c r="CC131" s="41">
        <f t="shared" si="68"/>
        <v>211</v>
      </c>
      <c r="CD131" s="41">
        <v>15028</v>
      </c>
      <c r="CF131" s="41">
        <v>13377</v>
      </c>
      <c r="CG131" s="50">
        <v>0</v>
      </c>
      <c r="CH131" s="41">
        <v>0</v>
      </c>
      <c r="CI131" s="41">
        <f t="shared" si="65"/>
        <v>13377</v>
      </c>
      <c r="CJ131" s="41">
        <v>15239</v>
      </c>
      <c r="CK131" s="50">
        <v>0</v>
      </c>
      <c r="CL131" s="41">
        <f t="shared" si="62"/>
        <v>15239</v>
      </c>
      <c r="CM131" s="41">
        <v>15954</v>
      </c>
      <c r="CN131" s="50">
        <v>0</v>
      </c>
      <c r="CO131" s="41">
        <v>0</v>
      </c>
      <c r="CP131" s="41">
        <f t="shared" si="66"/>
        <v>15954</v>
      </c>
      <c r="CQ131" s="41">
        <v>18705</v>
      </c>
      <c r="CR131" s="50">
        <v>0</v>
      </c>
      <c r="CS131" s="41">
        <f t="shared" si="63"/>
        <v>18705</v>
      </c>
      <c r="CU131" s="39" t="s">
        <v>503</v>
      </c>
    </row>
    <row r="132" spans="1:99">
      <c r="A132" s="39" t="s">
        <v>63</v>
      </c>
      <c r="B132" s="39" t="s">
        <v>134</v>
      </c>
      <c r="C132" s="39" t="s">
        <v>4</v>
      </c>
      <c r="D132" s="56">
        <v>17181001051</v>
      </c>
      <c r="E132" s="68" t="s">
        <v>140</v>
      </c>
      <c r="H132" s="51">
        <v>4133</v>
      </c>
      <c r="I132" s="49">
        <v>0</v>
      </c>
      <c r="J132" s="49">
        <v>3</v>
      </c>
      <c r="K132" s="51">
        <f t="shared" si="69"/>
        <v>4136</v>
      </c>
      <c r="L132" s="51">
        <f t="shared" si="61"/>
        <v>18</v>
      </c>
      <c r="M132" s="51">
        <v>4154</v>
      </c>
      <c r="N132" s="52"/>
      <c r="O132" s="41">
        <v>4394</v>
      </c>
      <c r="P132" s="50">
        <v>125</v>
      </c>
      <c r="Q132" s="50">
        <v>0</v>
      </c>
      <c r="R132" s="50">
        <v>59</v>
      </c>
      <c r="S132" s="41">
        <v>11</v>
      </c>
      <c r="T132" s="41">
        <v>4589</v>
      </c>
      <c r="U132" s="41"/>
      <c r="V132" s="41">
        <v>4893</v>
      </c>
      <c r="W132" s="50">
        <v>76</v>
      </c>
      <c r="X132" s="50">
        <v>0</v>
      </c>
      <c r="Y132" s="41">
        <f t="shared" si="70"/>
        <v>-22</v>
      </c>
      <c r="Z132" s="41">
        <v>4947</v>
      </c>
      <c r="AA132" s="41"/>
      <c r="AB132" s="41">
        <v>4805</v>
      </c>
      <c r="AC132" s="41">
        <v>0</v>
      </c>
      <c r="AD132" s="50">
        <v>70</v>
      </c>
      <c r="AE132" s="41">
        <v>0</v>
      </c>
      <c r="AF132" s="41">
        <v>0</v>
      </c>
      <c r="AG132" s="41">
        <f t="shared" si="60"/>
        <v>-38</v>
      </c>
      <c r="AH132" s="41">
        <v>4837</v>
      </c>
      <c r="AI132" s="41"/>
      <c r="AJ132" s="41">
        <v>5329</v>
      </c>
      <c r="AK132" s="50">
        <v>49</v>
      </c>
      <c r="AL132" s="41">
        <v>150</v>
      </c>
      <c r="AM132" s="50">
        <v>55</v>
      </c>
      <c r="AN132" s="41">
        <f t="shared" si="71"/>
        <v>210</v>
      </c>
      <c r="AO132" s="41">
        <v>5793</v>
      </c>
      <c r="AP132" s="41"/>
      <c r="AQ132" s="53">
        <v>4904</v>
      </c>
      <c r="AR132" s="54">
        <v>320</v>
      </c>
      <c r="AS132" s="54">
        <v>749</v>
      </c>
      <c r="AT132" s="53">
        <v>0</v>
      </c>
      <c r="AU132" s="41">
        <f t="shared" si="72"/>
        <v>57</v>
      </c>
      <c r="AV132" s="41">
        <v>6030</v>
      </c>
      <c r="AW132" s="41"/>
      <c r="AX132" s="41">
        <v>5282</v>
      </c>
      <c r="AY132" s="54">
        <v>266</v>
      </c>
      <c r="AZ132" s="50">
        <v>91</v>
      </c>
      <c r="BA132" s="50">
        <v>1399</v>
      </c>
      <c r="BB132" s="41">
        <v>0</v>
      </c>
      <c r="BC132" s="41">
        <f t="shared" si="74"/>
        <v>-166</v>
      </c>
      <c r="BD132" s="41">
        <v>6872</v>
      </c>
      <c r="BF132" s="41">
        <v>5236</v>
      </c>
      <c r="BG132" s="50">
        <v>28</v>
      </c>
      <c r="BH132" s="41">
        <v>0</v>
      </c>
      <c r="BI132" s="50">
        <v>197</v>
      </c>
      <c r="BJ132" s="41">
        <v>0</v>
      </c>
      <c r="BK132" s="41">
        <f t="shared" si="73"/>
        <v>103</v>
      </c>
      <c r="BL132" s="41">
        <v>5564</v>
      </c>
      <c r="BM132" s="55"/>
      <c r="BN132" s="41">
        <v>5347</v>
      </c>
      <c r="BO132" s="50">
        <v>396</v>
      </c>
      <c r="BP132" s="50">
        <v>32</v>
      </c>
      <c r="BQ132" s="41">
        <v>0</v>
      </c>
      <c r="BR132" s="41">
        <v>-42</v>
      </c>
      <c r="BS132" s="41">
        <f t="shared" si="64"/>
        <v>64</v>
      </c>
      <c r="BT132" s="41">
        <v>5797</v>
      </c>
      <c r="BV132" s="41">
        <v>5796</v>
      </c>
      <c r="BW132" s="50">
        <v>366</v>
      </c>
      <c r="BX132" s="41">
        <f t="shared" si="67"/>
        <v>43</v>
      </c>
      <c r="BY132" s="41">
        <v>6205</v>
      </c>
      <c r="CA132" s="41">
        <v>5954</v>
      </c>
      <c r="CB132" s="50">
        <v>236</v>
      </c>
      <c r="CC132" s="41">
        <f t="shared" si="68"/>
        <v>-7</v>
      </c>
      <c r="CD132" s="41">
        <v>6183</v>
      </c>
      <c r="CF132" s="41">
        <v>5378</v>
      </c>
      <c r="CG132" s="50">
        <v>90</v>
      </c>
      <c r="CH132" s="41">
        <v>0</v>
      </c>
      <c r="CI132" s="41">
        <f t="shared" si="65"/>
        <v>5468</v>
      </c>
      <c r="CJ132" s="41">
        <v>5299</v>
      </c>
      <c r="CK132" s="50">
        <v>0</v>
      </c>
      <c r="CL132" s="41">
        <f t="shared" si="62"/>
        <v>5299</v>
      </c>
      <c r="CM132" s="41">
        <v>5845</v>
      </c>
      <c r="CN132" s="50">
        <v>124</v>
      </c>
      <c r="CO132" s="41">
        <v>0</v>
      </c>
      <c r="CP132" s="41">
        <f t="shared" si="66"/>
        <v>5969</v>
      </c>
      <c r="CQ132" s="41">
        <v>6484</v>
      </c>
      <c r="CR132" s="50">
        <v>12</v>
      </c>
      <c r="CS132" s="41">
        <f t="shared" si="63"/>
        <v>6496</v>
      </c>
      <c r="CU132" s="39" t="s">
        <v>504</v>
      </c>
    </row>
    <row r="133" spans="1:99">
      <c r="A133" s="39" t="s">
        <v>63</v>
      </c>
      <c r="B133" s="39" t="s">
        <v>134</v>
      </c>
      <c r="C133" s="39" t="s">
        <v>4</v>
      </c>
      <c r="D133" s="56">
        <v>21203101051</v>
      </c>
      <c r="E133" s="68" t="s">
        <v>141</v>
      </c>
      <c r="H133" s="51">
        <v>1955</v>
      </c>
      <c r="I133" s="49">
        <v>0</v>
      </c>
      <c r="J133" s="49">
        <v>0</v>
      </c>
      <c r="K133" s="51">
        <f t="shared" si="69"/>
        <v>1955</v>
      </c>
      <c r="L133" s="51">
        <f t="shared" si="61"/>
        <v>-44</v>
      </c>
      <c r="M133" s="51">
        <v>1911</v>
      </c>
      <c r="N133" s="52"/>
      <c r="O133" s="41">
        <v>2237</v>
      </c>
      <c r="P133" s="50">
        <v>5</v>
      </c>
      <c r="Q133" s="50">
        <v>0</v>
      </c>
      <c r="R133" s="50">
        <v>333</v>
      </c>
      <c r="S133" s="41">
        <v>-321</v>
      </c>
      <c r="T133" s="41">
        <v>2254</v>
      </c>
      <c r="U133" s="41"/>
      <c r="V133" s="41">
        <v>2090</v>
      </c>
      <c r="W133" s="50">
        <v>0</v>
      </c>
      <c r="X133" s="50">
        <v>0</v>
      </c>
      <c r="Y133" s="41">
        <f t="shared" si="70"/>
        <v>35</v>
      </c>
      <c r="Z133" s="41">
        <v>2125</v>
      </c>
      <c r="AA133" s="41"/>
      <c r="AB133" s="41">
        <v>2815</v>
      </c>
      <c r="AC133" s="41">
        <v>0</v>
      </c>
      <c r="AD133" s="50">
        <v>457</v>
      </c>
      <c r="AE133" s="41">
        <v>0</v>
      </c>
      <c r="AF133" s="41">
        <v>0</v>
      </c>
      <c r="AG133" s="41">
        <f t="shared" si="60"/>
        <v>-137</v>
      </c>
      <c r="AH133" s="41">
        <v>3135</v>
      </c>
      <c r="AI133" s="41"/>
      <c r="AJ133" s="41">
        <v>2618</v>
      </c>
      <c r="AK133" s="50">
        <v>232</v>
      </c>
      <c r="AL133" s="41">
        <v>0</v>
      </c>
      <c r="AM133" s="50">
        <v>345</v>
      </c>
      <c r="AN133" s="41">
        <f t="shared" si="71"/>
        <v>199</v>
      </c>
      <c r="AO133" s="41">
        <v>3394</v>
      </c>
      <c r="AP133" s="41"/>
      <c r="AQ133" s="53">
        <v>3489</v>
      </c>
      <c r="AR133" s="54">
        <v>1461</v>
      </c>
      <c r="AS133" s="54">
        <v>620</v>
      </c>
      <c r="AT133" s="53">
        <v>0</v>
      </c>
      <c r="AU133" s="41">
        <f t="shared" si="72"/>
        <v>102</v>
      </c>
      <c r="AV133" s="41">
        <v>5672</v>
      </c>
      <c r="AW133" s="41"/>
      <c r="AX133" s="41">
        <v>4157</v>
      </c>
      <c r="AY133" s="54">
        <v>0</v>
      </c>
      <c r="AZ133" s="50">
        <v>944</v>
      </c>
      <c r="BA133" s="50">
        <v>954</v>
      </c>
      <c r="BB133" s="41">
        <v>0</v>
      </c>
      <c r="BC133" s="41">
        <f t="shared" si="74"/>
        <v>74</v>
      </c>
      <c r="BD133" s="41">
        <v>6129</v>
      </c>
      <c r="BF133" s="41">
        <v>4712</v>
      </c>
      <c r="BG133" s="50">
        <v>84</v>
      </c>
      <c r="BH133" s="41">
        <v>0</v>
      </c>
      <c r="BI133" s="50">
        <v>1193</v>
      </c>
      <c r="BJ133" s="41">
        <v>-23</v>
      </c>
      <c r="BK133" s="41">
        <f t="shared" si="73"/>
        <v>60</v>
      </c>
      <c r="BL133" s="41">
        <v>6026</v>
      </c>
      <c r="BM133" s="55"/>
      <c r="BN133" s="41">
        <v>5078</v>
      </c>
      <c r="BO133" s="50">
        <v>1238</v>
      </c>
      <c r="BP133" s="50">
        <v>219</v>
      </c>
      <c r="BQ133" s="41">
        <v>0</v>
      </c>
      <c r="BR133" s="41">
        <v>-21</v>
      </c>
      <c r="BS133" s="41">
        <f t="shared" si="64"/>
        <v>114</v>
      </c>
      <c r="BT133" s="41">
        <v>6628</v>
      </c>
      <c r="BV133" s="41">
        <v>5241</v>
      </c>
      <c r="BW133" s="50">
        <v>2720</v>
      </c>
      <c r="BX133" s="41">
        <f t="shared" si="67"/>
        <v>93</v>
      </c>
      <c r="BY133" s="41">
        <v>8054</v>
      </c>
      <c r="CA133" s="41">
        <v>5334</v>
      </c>
      <c r="CB133" s="50">
        <v>1137</v>
      </c>
      <c r="CC133" s="41">
        <f t="shared" si="68"/>
        <v>-21</v>
      </c>
      <c r="CD133" s="41">
        <v>6450</v>
      </c>
      <c r="CF133" s="41">
        <v>5447</v>
      </c>
      <c r="CG133" s="50">
        <v>502</v>
      </c>
      <c r="CH133" s="41">
        <v>0</v>
      </c>
      <c r="CI133" s="41">
        <f t="shared" si="65"/>
        <v>5949</v>
      </c>
      <c r="CJ133" s="41">
        <v>4845</v>
      </c>
      <c r="CK133" s="50">
        <v>669</v>
      </c>
      <c r="CL133" s="41">
        <f t="shared" si="62"/>
        <v>5514</v>
      </c>
      <c r="CM133" s="41">
        <v>5168</v>
      </c>
      <c r="CN133" s="50">
        <v>-268</v>
      </c>
      <c r="CO133" s="41">
        <v>0</v>
      </c>
      <c r="CP133" s="41">
        <f t="shared" si="66"/>
        <v>4900</v>
      </c>
      <c r="CQ133" s="41">
        <v>5832</v>
      </c>
      <c r="CR133" s="50">
        <v>162</v>
      </c>
      <c r="CS133" s="41">
        <f t="shared" si="63"/>
        <v>5994</v>
      </c>
      <c r="CU133" s="39" t="s">
        <v>505</v>
      </c>
    </row>
    <row r="134" spans="1:99">
      <c r="A134" s="39" t="s">
        <v>63</v>
      </c>
      <c r="B134" s="39" t="s">
        <v>134</v>
      </c>
      <c r="C134" s="39" t="s">
        <v>4</v>
      </c>
      <c r="D134" s="56">
        <v>21203201051</v>
      </c>
      <c r="E134" s="68" t="s">
        <v>142</v>
      </c>
      <c r="H134" s="51">
        <v>1071</v>
      </c>
      <c r="I134" s="49">
        <v>0</v>
      </c>
      <c r="J134" s="49">
        <v>0</v>
      </c>
      <c r="K134" s="51">
        <f t="shared" si="69"/>
        <v>1071</v>
      </c>
      <c r="L134" s="51">
        <f t="shared" si="61"/>
        <v>-2</v>
      </c>
      <c r="M134" s="51">
        <v>1069</v>
      </c>
      <c r="N134" s="52"/>
      <c r="O134" s="41">
        <v>1017</v>
      </c>
      <c r="P134" s="50">
        <v>20</v>
      </c>
      <c r="Q134" s="50">
        <v>0</v>
      </c>
      <c r="R134" s="50">
        <v>429</v>
      </c>
      <c r="S134" s="41">
        <v>-227</v>
      </c>
      <c r="T134" s="41">
        <v>1239</v>
      </c>
      <c r="U134" s="41"/>
      <c r="V134" s="41">
        <v>1494</v>
      </c>
      <c r="W134" s="50">
        <v>0</v>
      </c>
      <c r="X134" s="50">
        <v>0</v>
      </c>
      <c r="Y134" s="41">
        <f t="shared" si="70"/>
        <v>22</v>
      </c>
      <c r="Z134" s="41">
        <v>1516</v>
      </c>
      <c r="AA134" s="41"/>
      <c r="AB134" s="41">
        <v>1302</v>
      </c>
      <c r="AC134" s="41">
        <v>0</v>
      </c>
      <c r="AD134" s="50">
        <v>310</v>
      </c>
      <c r="AE134" s="41">
        <v>0</v>
      </c>
      <c r="AF134" s="41">
        <v>0</v>
      </c>
      <c r="AG134" s="41">
        <f t="shared" si="60"/>
        <v>-4</v>
      </c>
      <c r="AH134" s="41">
        <v>1608</v>
      </c>
      <c r="AI134" s="41"/>
      <c r="AJ134" s="41">
        <v>1149</v>
      </c>
      <c r="AK134" s="50">
        <v>55</v>
      </c>
      <c r="AL134" s="41">
        <v>0</v>
      </c>
      <c r="AM134" s="50">
        <v>203</v>
      </c>
      <c r="AN134" s="41">
        <f t="shared" si="71"/>
        <v>-77</v>
      </c>
      <c r="AO134" s="41">
        <v>1330</v>
      </c>
      <c r="AP134" s="41"/>
      <c r="AQ134" s="53">
        <v>1274</v>
      </c>
      <c r="AR134" s="54">
        <v>0</v>
      </c>
      <c r="AS134" s="54">
        <v>111</v>
      </c>
      <c r="AT134" s="53">
        <v>0</v>
      </c>
      <c r="AU134" s="41">
        <f t="shared" si="72"/>
        <v>232</v>
      </c>
      <c r="AV134" s="41">
        <v>1617</v>
      </c>
      <c r="AW134" s="41"/>
      <c r="AX134" s="41">
        <v>1899</v>
      </c>
      <c r="AY134" s="54">
        <v>0</v>
      </c>
      <c r="AZ134" s="50">
        <v>0</v>
      </c>
      <c r="BA134" s="50">
        <v>562</v>
      </c>
      <c r="BB134" s="41">
        <v>0</v>
      </c>
      <c r="BC134" s="41">
        <f t="shared" si="74"/>
        <v>13</v>
      </c>
      <c r="BD134" s="41">
        <v>2474</v>
      </c>
      <c r="BF134" s="41">
        <v>2179</v>
      </c>
      <c r="BG134" s="50">
        <v>0</v>
      </c>
      <c r="BH134" s="41">
        <v>0</v>
      </c>
      <c r="BI134" s="50">
        <v>704</v>
      </c>
      <c r="BJ134" s="41">
        <v>0</v>
      </c>
      <c r="BK134" s="41">
        <f t="shared" si="73"/>
        <v>-31</v>
      </c>
      <c r="BL134" s="41">
        <v>2852</v>
      </c>
      <c r="BM134" s="55"/>
      <c r="BN134" s="41">
        <v>1247</v>
      </c>
      <c r="BO134" s="50">
        <v>476</v>
      </c>
      <c r="BP134" s="50">
        <v>0</v>
      </c>
      <c r="BQ134" s="41">
        <v>0</v>
      </c>
      <c r="BR134" s="41">
        <v>0</v>
      </c>
      <c r="BS134" s="41">
        <f t="shared" si="64"/>
        <v>0</v>
      </c>
      <c r="BT134" s="41">
        <v>1723</v>
      </c>
      <c r="BV134" s="41">
        <v>1561</v>
      </c>
      <c r="BW134" s="50">
        <v>344</v>
      </c>
      <c r="BX134" s="41">
        <f t="shared" si="67"/>
        <v>9</v>
      </c>
      <c r="BY134" s="41">
        <v>1914</v>
      </c>
      <c r="CA134" s="41">
        <v>1361</v>
      </c>
      <c r="CB134" s="50">
        <v>127</v>
      </c>
      <c r="CC134" s="41">
        <f t="shared" si="68"/>
        <v>0</v>
      </c>
      <c r="CD134" s="41">
        <v>1488</v>
      </c>
      <c r="CF134" s="41">
        <v>1404</v>
      </c>
      <c r="CG134" s="50">
        <v>62</v>
      </c>
      <c r="CH134" s="41">
        <v>0</v>
      </c>
      <c r="CI134" s="41">
        <f t="shared" si="65"/>
        <v>1466</v>
      </c>
      <c r="CJ134" s="41">
        <v>1549</v>
      </c>
      <c r="CK134" s="50">
        <v>129</v>
      </c>
      <c r="CL134" s="41">
        <f t="shared" si="62"/>
        <v>1678</v>
      </c>
      <c r="CM134" s="41">
        <v>1209</v>
      </c>
      <c r="CN134" s="50">
        <v>32</v>
      </c>
      <c r="CO134" s="41">
        <v>0</v>
      </c>
      <c r="CP134" s="41">
        <f t="shared" si="66"/>
        <v>1241</v>
      </c>
      <c r="CQ134" s="41">
        <v>1601</v>
      </c>
      <c r="CR134" s="50">
        <v>37</v>
      </c>
      <c r="CS134" s="41">
        <f t="shared" si="63"/>
        <v>1638</v>
      </c>
      <c r="CU134" s="39" t="s">
        <v>506</v>
      </c>
    </row>
    <row r="135" spans="1:99">
      <c r="A135" s="39" t="s">
        <v>63</v>
      </c>
      <c r="B135" s="39" t="s">
        <v>134</v>
      </c>
      <c r="C135" s="39" t="s">
        <v>4</v>
      </c>
      <c r="D135" s="56">
        <v>21203301051</v>
      </c>
      <c r="E135" s="68" t="s">
        <v>143</v>
      </c>
      <c r="H135" s="51">
        <v>2178</v>
      </c>
      <c r="I135" s="49">
        <v>0</v>
      </c>
      <c r="J135" s="49">
        <v>0</v>
      </c>
      <c r="K135" s="51">
        <f t="shared" si="69"/>
        <v>2178</v>
      </c>
      <c r="L135" s="51">
        <f t="shared" si="61"/>
        <v>-7</v>
      </c>
      <c r="M135" s="51">
        <v>2171</v>
      </c>
      <c r="N135" s="52"/>
      <c r="O135" s="41">
        <v>2208</v>
      </c>
      <c r="P135" s="50">
        <v>0</v>
      </c>
      <c r="Q135" s="50">
        <v>0</v>
      </c>
      <c r="R135" s="50">
        <v>62</v>
      </c>
      <c r="S135" s="41">
        <v>-9</v>
      </c>
      <c r="T135" s="41">
        <v>2261</v>
      </c>
      <c r="U135" s="41"/>
      <c r="V135" s="41">
        <v>1813</v>
      </c>
      <c r="W135" s="50">
        <v>102</v>
      </c>
      <c r="X135" s="50">
        <v>50</v>
      </c>
      <c r="Y135" s="41">
        <f t="shared" si="70"/>
        <v>3</v>
      </c>
      <c r="Z135" s="41">
        <v>1968</v>
      </c>
      <c r="AA135" s="41"/>
      <c r="AB135" s="41">
        <v>2457</v>
      </c>
      <c r="AC135" s="41">
        <v>0</v>
      </c>
      <c r="AD135" s="50">
        <v>2551</v>
      </c>
      <c r="AE135" s="41">
        <v>0</v>
      </c>
      <c r="AF135" s="41">
        <v>0</v>
      </c>
      <c r="AG135" s="41">
        <f t="shared" si="60"/>
        <v>-56</v>
      </c>
      <c r="AH135" s="41">
        <v>4952</v>
      </c>
      <c r="AI135" s="41"/>
      <c r="AJ135" s="41">
        <v>1373</v>
      </c>
      <c r="AK135" s="50">
        <v>860</v>
      </c>
      <c r="AL135" s="41">
        <v>1</v>
      </c>
      <c r="AM135" s="50">
        <v>1767</v>
      </c>
      <c r="AN135" s="41">
        <f t="shared" si="71"/>
        <v>46</v>
      </c>
      <c r="AO135" s="41">
        <v>4047</v>
      </c>
      <c r="AP135" s="41"/>
      <c r="AQ135" s="53">
        <v>1899</v>
      </c>
      <c r="AR135" s="54">
        <v>3393</v>
      </c>
      <c r="AS135" s="54">
        <v>3404</v>
      </c>
      <c r="AT135" s="53">
        <v>0</v>
      </c>
      <c r="AU135" s="41">
        <f t="shared" si="72"/>
        <v>-356</v>
      </c>
      <c r="AV135" s="41">
        <v>8340</v>
      </c>
      <c r="AW135" s="41"/>
      <c r="AX135" s="41">
        <v>2999</v>
      </c>
      <c r="AY135" s="54">
        <v>0</v>
      </c>
      <c r="AZ135" s="50">
        <v>1429</v>
      </c>
      <c r="BA135" s="50">
        <v>5463</v>
      </c>
      <c r="BB135" s="41">
        <v>0</v>
      </c>
      <c r="BC135" s="41">
        <f t="shared" si="74"/>
        <v>-449</v>
      </c>
      <c r="BD135" s="41">
        <v>9442</v>
      </c>
      <c r="BF135" s="41">
        <v>3160</v>
      </c>
      <c r="BG135" s="50">
        <v>823</v>
      </c>
      <c r="BH135" s="41">
        <v>0</v>
      </c>
      <c r="BI135" s="50">
        <v>1984</v>
      </c>
      <c r="BJ135" s="41">
        <v>0</v>
      </c>
      <c r="BK135" s="41">
        <f t="shared" si="73"/>
        <v>195</v>
      </c>
      <c r="BL135" s="41">
        <v>6162</v>
      </c>
      <c r="BM135" s="55"/>
      <c r="BN135" s="41">
        <v>2288</v>
      </c>
      <c r="BO135" s="50">
        <v>1246</v>
      </c>
      <c r="BP135" s="50">
        <v>3</v>
      </c>
      <c r="BQ135" s="41">
        <v>0</v>
      </c>
      <c r="BR135" s="41">
        <v>-137</v>
      </c>
      <c r="BS135" s="41">
        <f t="shared" si="64"/>
        <v>-144</v>
      </c>
      <c r="BT135" s="41">
        <v>3256</v>
      </c>
      <c r="BV135" s="41">
        <v>1339</v>
      </c>
      <c r="BW135" s="50">
        <v>957</v>
      </c>
      <c r="BX135" s="41">
        <f t="shared" si="67"/>
        <v>618</v>
      </c>
      <c r="BY135" s="41">
        <v>2914</v>
      </c>
      <c r="CA135" s="41">
        <v>2047</v>
      </c>
      <c r="CB135" s="50">
        <v>37</v>
      </c>
      <c r="CC135" s="41">
        <f t="shared" si="68"/>
        <v>-36</v>
      </c>
      <c r="CD135" s="41">
        <v>2048</v>
      </c>
      <c r="CF135" s="41">
        <v>1634</v>
      </c>
      <c r="CG135" s="50">
        <v>14</v>
      </c>
      <c r="CH135" s="41">
        <v>0</v>
      </c>
      <c r="CI135" s="41">
        <f t="shared" si="65"/>
        <v>1648</v>
      </c>
      <c r="CJ135" s="41">
        <v>1611</v>
      </c>
      <c r="CK135" s="50">
        <v>0</v>
      </c>
      <c r="CL135" s="41">
        <f t="shared" si="62"/>
        <v>1611</v>
      </c>
      <c r="CM135" s="41">
        <v>1717</v>
      </c>
      <c r="CN135" s="50">
        <v>5</v>
      </c>
      <c r="CO135" s="41">
        <v>0</v>
      </c>
      <c r="CP135" s="41">
        <f t="shared" si="66"/>
        <v>1722</v>
      </c>
      <c r="CQ135" s="41">
        <v>1944</v>
      </c>
      <c r="CR135" s="50">
        <v>487</v>
      </c>
      <c r="CS135" s="41">
        <f t="shared" si="63"/>
        <v>2431</v>
      </c>
      <c r="CU135" s="39" t="s">
        <v>507</v>
      </c>
    </row>
    <row r="136" spans="1:99">
      <c r="A136" s="39" t="s">
        <v>63</v>
      </c>
      <c r="B136" s="39" t="s">
        <v>134</v>
      </c>
      <c r="C136" s="39" t="s">
        <v>4</v>
      </c>
      <c r="D136" s="56">
        <v>21203401051</v>
      </c>
      <c r="E136" s="68" t="s">
        <v>144</v>
      </c>
      <c r="H136" s="51">
        <v>1164</v>
      </c>
      <c r="I136" s="49">
        <v>0</v>
      </c>
      <c r="J136" s="49">
        <v>0</v>
      </c>
      <c r="K136" s="51">
        <f t="shared" si="69"/>
        <v>1164</v>
      </c>
      <c r="L136" s="51">
        <f t="shared" si="61"/>
        <v>-19</v>
      </c>
      <c r="M136" s="51">
        <v>1145</v>
      </c>
      <c r="N136" s="52"/>
      <c r="O136" s="41">
        <v>1171</v>
      </c>
      <c r="P136" s="50">
        <v>27</v>
      </c>
      <c r="Q136" s="50">
        <v>0</v>
      </c>
      <c r="R136" s="50">
        <v>792</v>
      </c>
      <c r="S136" s="41">
        <v>-139</v>
      </c>
      <c r="T136" s="41">
        <v>1851</v>
      </c>
      <c r="U136" s="41"/>
      <c r="V136" s="41">
        <v>1343</v>
      </c>
      <c r="W136" s="50">
        <v>0</v>
      </c>
      <c r="X136" s="50">
        <v>110</v>
      </c>
      <c r="Y136" s="41">
        <f t="shared" si="70"/>
        <v>-6</v>
      </c>
      <c r="Z136" s="41">
        <v>1447</v>
      </c>
      <c r="AA136" s="41"/>
      <c r="AB136" s="41">
        <v>1585</v>
      </c>
      <c r="AC136" s="41">
        <v>0</v>
      </c>
      <c r="AD136" s="50">
        <v>533</v>
      </c>
      <c r="AE136" s="41">
        <v>0</v>
      </c>
      <c r="AF136" s="41">
        <v>0</v>
      </c>
      <c r="AG136" s="41">
        <f t="shared" si="60"/>
        <v>-83</v>
      </c>
      <c r="AH136" s="41">
        <v>2035</v>
      </c>
      <c r="AI136" s="41"/>
      <c r="AJ136" s="41">
        <v>1710</v>
      </c>
      <c r="AK136" s="50">
        <v>273</v>
      </c>
      <c r="AL136" s="41">
        <v>2</v>
      </c>
      <c r="AM136" s="50">
        <v>830</v>
      </c>
      <c r="AN136" s="41">
        <f t="shared" si="71"/>
        <v>-22</v>
      </c>
      <c r="AO136" s="41">
        <v>2793</v>
      </c>
      <c r="AP136" s="41"/>
      <c r="AQ136" s="53">
        <v>1713</v>
      </c>
      <c r="AR136" s="54">
        <v>238</v>
      </c>
      <c r="AS136" s="54">
        <v>682</v>
      </c>
      <c r="AT136" s="53">
        <v>0</v>
      </c>
      <c r="AU136" s="41">
        <f t="shared" si="72"/>
        <v>-16</v>
      </c>
      <c r="AV136" s="41">
        <v>2617</v>
      </c>
      <c r="AW136" s="41"/>
      <c r="AX136" s="41">
        <v>2208</v>
      </c>
      <c r="AY136" s="54">
        <v>0</v>
      </c>
      <c r="AZ136" s="50">
        <v>154</v>
      </c>
      <c r="BA136" s="50">
        <v>345</v>
      </c>
      <c r="BB136" s="41">
        <v>0</v>
      </c>
      <c r="BC136" s="41">
        <f t="shared" si="74"/>
        <v>39</v>
      </c>
      <c r="BD136" s="41">
        <v>2746</v>
      </c>
      <c r="BF136" s="41">
        <v>2211</v>
      </c>
      <c r="BG136" s="50">
        <v>47</v>
      </c>
      <c r="BH136" s="41">
        <v>0</v>
      </c>
      <c r="BI136" s="50">
        <v>230</v>
      </c>
      <c r="BJ136" s="41">
        <v>-107</v>
      </c>
      <c r="BK136" s="41">
        <f t="shared" si="73"/>
        <v>-3</v>
      </c>
      <c r="BL136" s="41">
        <v>2378</v>
      </c>
      <c r="BM136" s="55"/>
      <c r="BN136" s="41">
        <v>2050</v>
      </c>
      <c r="BO136" s="50">
        <v>366</v>
      </c>
      <c r="BP136" s="50">
        <v>17</v>
      </c>
      <c r="BQ136" s="41">
        <v>0</v>
      </c>
      <c r="BR136" s="41">
        <v>-17</v>
      </c>
      <c r="BS136" s="41">
        <f t="shared" si="64"/>
        <v>-33</v>
      </c>
      <c r="BT136" s="41">
        <v>2383</v>
      </c>
      <c r="BV136" s="41">
        <v>1847</v>
      </c>
      <c r="BW136" s="50">
        <v>370</v>
      </c>
      <c r="BX136" s="41">
        <f t="shared" si="67"/>
        <v>4</v>
      </c>
      <c r="BY136" s="41">
        <v>2221</v>
      </c>
      <c r="CA136" s="41">
        <v>1847</v>
      </c>
      <c r="CB136" s="50">
        <v>188</v>
      </c>
      <c r="CC136" s="41">
        <f t="shared" si="68"/>
        <v>-95</v>
      </c>
      <c r="CD136" s="41">
        <v>1940</v>
      </c>
      <c r="CF136" s="41">
        <v>1521</v>
      </c>
      <c r="CG136" s="50">
        <v>317</v>
      </c>
      <c r="CH136" s="41">
        <v>1</v>
      </c>
      <c r="CI136" s="41">
        <f t="shared" si="65"/>
        <v>1839</v>
      </c>
      <c r="CJ136" s="41">
        <v>1444</v>
      </c>
      <c r="CK136" s="50">
        <v>191</v>
      </c>
      <c r="CL136" s="41">
        <f t="shared" si="62"/>
        <v>1635</v>
      </c>
      <c r="CM136" s="41">
        <v>1015</v>
      </c>
      <c r="CN136" s="50">
        <v>141</v>
      </c>
      <c r="CO136" s="41">
        <v>0</v>
      </c>
      <c r="CP136" s="41">
        <f t="shared" si="66"/>
        <v>1156</v>
      </c>
      <c r="CQ136" s="41">
        <v>1245</v>
      </c>
      <c r="CR136" s="50">
        <v>222</v>
      </c>
      <c r="CS136" s="41">
        <f t="shared" si="63"/>
        <v>1467</v>
      </c>
      <c r="CU136" s="39" t="s">
        <v>508</v>
      </c>
    </row>
    <row r="137" spans="1:99">
      <c r="A137" s="39" t="s">
        <v>63</v>
      </c>
      <c r="B137" s="39" t="s">
        <v>134</v>
      </c>
      <c r="C137" s="39" t="s">
        <v>4</v>
      </c>
      <c r="D137" s="56">
        <v>21203501051</v>
      </c>
      <c r="E137" s="68" t="s">
        <v>145</v>
      </c>
      <c r="H137" s="51">
        <v>4126</v>
      </c>
      <c r="I137" s="49">
        <v>0</v>
      </c>
      <c r="J137" s="49">
        <v>79</v>
      </c>
      <c r="K137" s="51">
        <f t="shared" si="69"/>
        <v>4205</v>
      </c>
      <c r="L137" s="51">
        <f t="shared" si="61"/>
        <v>9</v>
      </c>
      <c r="M137" s="51">
        <v>4214</v>
      </c>
      <c r="N137" s="52"/>
      <c r="O137" s="41">
        <v>5362</v>
      </c>
      <c r="P137" s="50">
        <v>313</v>
      </c>
      <c r="Q137" s="50">
        <v>0</v>
      </c>
      <c r="R137" s="50">
        <v>683</v>
      </c>
      <c r="S137" s="41">
        <v>-83</v>
      </c>
      <c r="T137" s="41">
        <v>6275</v>
      </c>
      <c r="U137" s="41"/>
      <c r="V137" s="41">
        <v>4682</v>
      </c>
      <c r="W137" s="50">
        <v>1206</v>
      </c>
      <c r="X137" s="50">
        <v>755</v>
      </c>
      <c r="Y137" s="41">
        <f t="shared" si="70"/>
        <v>731</v>
      </c>
      <c r="Z137" s="41">
        <v>7374</v>
      </c>
      <c r="AA137" s="41"/>
      <c r="AB137" s="41">
        <v>4881</v>
      </c>
      <c r="AC137" s="41">
        <v>0</v>
      </c>
      <c r="AD137" s="50">
        <v>6251</v>
      </c>
      <c r="AE137" s="41">
        <v>0</v>
      </c>
      <c r="AF137" s="41">
        <v>0</v>
      </c>
      <c r="AG137" s="41">
        <f t="shared" si="60"/>
        <v>1205</v>
      </c>
      <c r="AH137" s="41">
        <v>12337</v>
      </c>
      <c r="AI137" s="41"/>
      <c r="AJ137" s="41">
        <v>4170</v>
      </c>
      <c r="AK137" s="50">
        <v>3175</v>
      </c>
      <c r="AL137" s="41">
        <v>46</v>
      </c>
      <c r="AM137" s="50">
        <v>5820</v>
      </c>
      <c r="AN137" s="41">
        <f t="shared" si="71"/>
        <v>1972</v>
      </c>
      <c r="AO137" s="41">
        <v>15183</v>
      </c>
      <c r="AP137" s="41"/>
      <c r="AQ137" s="53">
        <v>6857</v>
      </c>
      <c r="AR137" s="54">
        <v>5004</v>
      </c>
      <c r="AS137" s="54">
        <v>11070</v>
      </c>
      <c r="AT137" s="53">
        <v>0</v>
      </c>
      <c r="AU137" s="41">
        <f t="shared" si="72"/>
        <v>1767</v>
      </c>
      <c r="AV137" s="41">
        <v>24698</v>
      </c>
      <c r="AW137" s="41"/>
      <c r="AX137" s="41">
        <v>11351</v>
      </c>
      <c r="AY137" s="54">
        <v>10633</v>
      </c>
      <c r="AZ137" s="50">
        <v>2028</v>
      </c>
      <c r="BA137" s="50">
        <v>16337</v>
      </c>
      <c r="BB137" s="41">
        <v>0</v>
      </c>
      <c r="BC137" s="41">
        <f t="shared" si="74"/>
        <v>215</v>
      </c>
      <c r="BD137" s="41">
        <v>40564</v>
      </c>
      <c r="BF137" s="41">
        <v>10652</v>
      </c>
      <c r="BG137" s="50">
        <v>1009</v>
      </c>
      <c r="BH137" s="41">
        <v>0</v>
      </c>
      <c r="BI137" s="50">
        <v>8949</v>
      </c>
      <c r="BJ137" s="41">
        <v>-274</v>
      </c>
      <c r="BK137" s="41">
        <f t="shared" si="73"/>
        <v>909</v>
      </c>
      <c r="BL137" s="41">
        <v>21245</v>
      </c>
      <c r="BM137" s="55"/>
      <c r="BN137" s="41">
        <v>8429</v>
      </c>
      <c r="BO137" s="50">
        <v>12413</v>
      </c>
      <c r="BP137" s="50">
        <v>2065</v>
      </c>
      <c r="BQ137" s="41">
        <v>0</v>
      </c>
      <c r="BR137" s="41">
        <v>-162</v>
      </c>
      <c r="BS137" s="41">
        <f t="shared" si="64"/>
        <v>-115</v>
      </c>
      <c r="BT137" s="41">
        <v>22630</v>
      </c>
      <c r="BV137" s="41">
        <v>7948</v>
      </c>
      <c r="BW137" s="50">
        <v>7520</v>
      </c>
      <c r="BX137" s="41">
        <f t="shared" si="67"/>
        <v>1564</v>
      </c>
      <c r="BY137" s="41">
        <v>17032</v>
      </c>
      <c r="CA137" s="41">
        <v>7427</v>
      </c>
      <c r="CB137" s="50">
        <v>1334</v>
      </c>
      <c r="CC137" s="41">
        <f t="shared" si="68"/>
        <v>289</v>
      </c>
      <c r="CD137" s="41">
        <v>9050</v>
      </c>
      <c r="CF137" s="41">
        <v>5446</v>
      </c>
      <c r="CG137" s="50">
        <v>1532</v>
      </c>
      <c r="CH137" s="41">
        <v>0</v>
      </c>
      <c r="CI137" s="41">
        <f t="shared" si="65"/>
        <v>6978</v>
      </c>
      <c r="CJ137" s="41">
        <v>4852</v>
      </c>
      <c r="CK137" s="50">
        <v>567</v>
      </c>
      <c r="CL137" s="41">
        <f t="shared" si="62"/>
        <v>5419</v>
      </c>
      <c r="CM137" s="41">
        <v>4437</v>
      </c>
      <c r="CN137" s="50">
        <v>766</v>
      </c>
      <c r="CO137" s="41">
        <v>0</v>
      </c>
      <c r="CP137" s="41">
        <f t="shared" si="66"/>
        <v>5203</v>
      </c>
      <c r="CQ137" s="41">
        <v>5649</v>
      </c>
      <c r="CR137" s="50">
        <v>1176</v>
      </c>
      <c r="CS137" s="41">
        <f t="shared" si="63"/>
        <v>6825</v>
      </c>
      <c r="CU137" s="39" t="s">
        <v>509</v>
      </c>
    </row>
    <row r="138" spans="1:99">
      <c r="A138" s="39" t="s">
        <v>63</v>
      </c>
      <c r="B138" s="39" t="s">
        <v>134</v>
      </c>
      <c r="C138" s="39" t="s">
        <v>4</v>
      </c>
      <c r="D138" s="56">
        <v>21209301051</v>
      </c>
      <c r="E138" s="72" t="s">
        <v>146</v>
      </c>
      <c r="H138" s="51">
        <v>0</v>
      </c>
      <c r="I138" s="49">
        <v>0</v>
      </c>
      <c r="J138" s="49">
        <v>0</v>
      </c>
      <c r="K138" s="51">
        <f t="shared" si="69"/>
        <v>0</v>
      </c>
      <c r="L138" s="51">
        <f t="shared" si="61"/>
        <v>0</v>
      </c>
      <c r="M138" s="51">
        <v>0</v>
      </c>
      <c r="N138" s="52"/>
      <c r="O138" s="41">
        <v>0</v>
      </c>
      <c r="P138" s="50">
        <v>0</v>
      </c>
      <c r="Q138" s="50">
        <v>0</v>
      </c>
      <c r="R138" s="50">
        <v>0</v>
      </c>
      <c r="S138" s="41">
        <v>0</v>
      </c>
      <c r="T138" s="41">
        <v>0</v>
      </c>
      <c r="U138" s="41"/>
      <c r="V138" s="41">
        <v>0</v>
      </c>
      <c r="W138" s="50">
        <v>0</v>
      </c>
      <c r="X138" s="50">
        <v>0</v>
      </c>
      <c r="Y138" s="41">
        <f t="shared" si="70"/>
        <v>0</v>
      </c>
      <c r="Z138" s="41">
        <v>0</v>
      </c>
      <c r="AA138" s="41"/>
      <c r="AB138" s="41">
        <v>0</v>
      </c>
      <c r="AC138" s="41">
        <v>0</v>
      </c>
      <c r="AD138" s="50">
        <v>0</v>
      </c>
      <c r="AE138" s="41">
        <v>0</v>
      </c>
      <c r="AF138" s="41">
        <v>0</v>
      </c>
      <c r="AG138" s="41">
        <f t="shared" si="60"/>
        <v>0</v>
      </c>
      <c r="AH138" s="41">
        <v>0</v>
      </c>
      <c r="AI138" s="41"/>
      <c r="AJ138" s="41">
        <v>0</v>
      </c>
      <c r="AK138" s="50">
        <v>0</v>
      </c>
      <c r="AL138" s="41">
        <v>0</v>
      </c>
      <c r="AM138" s="50">
        <v>1958</v>
      </c>
      <c r="AN138" s="41">
        <f t="shared" si="71"/>
        <v>-1958</v>
      </c>
      <c r="AO138" s="41">
        <v>0</v>
      </c>
      <c r="AP138" s="41"/>
      <c r="AQ138" s="53">
        <v>0</v>
      </c>
      <c r="AR138" s="54">
        <v>1921</v>
      </c>
      <c r="AS138" s="54">
        <v>2433</v>
      </c>
      <c r="AT138" s="53">
        <v>0</v>
      </c>
      <c r="AU138" s="41">
        <f t="shared" si="72"/>
        <v>39</v>
      </c>
      <c r="AV138" s="41">
        <v>4393</v>
      </c>
      <c r="AW138" s="41"/>
      <c r="AX138" s="41">
        <v>120</v>
      </c>
      <c r="AY138" s="54">
        <v>0</v>
      </c>
      <c r="AZ138" s="50">
        <v>4269</v>
      </c>
      <c r="BA138" s="50">
        <v>-72</v>
      </c>
      <c r="BB138" s="41">
        <v>0</v>
      </c>
      <c r="BC138" s="41">
        <f t="shared" si="74"/>
        <v>0</v>
      </c>
      <c r="BD138" s="41">
        <v>4317</v>
      </c>
      <c r="BF138" s="41">
        <v>0</v>
      </c>
      <c r="BG138" s="50">
        <v>2000</v>
      </c>
      <c r="BH138" s="41">
        <v>0</v>
      </c>
      <c r="BI138" s="50">
        <v>1117</v>
      </c>
      <c r="BJ138" s="41">
        <v>0</v>
      </c>
      <c r="BK138" s="41">
        <f t="shared" si="73"/>
        <v>0</v>
      </c>
      <c r="BL138" s="41">
        <v>3117</v>
      </c>
      <c r="BM138" s="55"/>
      <c r="BN138" s="41">
        <v>122</v>
      </c>
      <c r="BO138" s="50">
        <v>1762</v>
      </c>
      <c r="BP138" s="50">
        <v>0</v>
      </c>
      <c r="BQ138" s="41">
        <v>0</v>
      </c>
      <c r="BR138" s="41">
        <v>0</v>
      </c>
      <c r="BS138" s="41">
        <f t="shared" si="64"/>
        <v>0</v>
      </c>
      <c r="BT138" s="41">
        <v>1884</v>
      </c>
      <c r="BV138" s="41">
        <v>0</v>
      </c>
      <c r="BW138" s="50">
        <v>2794</v>
      </c>
      <c r="BX138" s="41">
        <f t="shared" si="67"/>
        <v>0</v>
      </c>
      <c r="BY138" s="41">
        <v>2794</v>
      </c>
      <c r="CA138" s="41">
        <v>0</v>
      </c>
      <c r="CB138" s="50">
        <v>2442</v>
      </c>
      <c r="CC138" s="41">
        <f t="shared" si="68"/>
        <v>0</v>
      </c>
      <c r="CD138" s="41">
        <v>2442</v>
      </c>
      <c r="CF138" s="41">
        <v>0</v>
      </c>
      <c r="CG138" s="50">
        <v>1429</v>
      </c>
      <c r="CH138" s="41">
        <v>0</v>
      </c>
      <c r="CI138" s="41">
        <f t="shared" si="65"/>
        <v>1429</v>
      </c>
      <c r="CJ138" s="41">
        <v>0</v>
      </c>
      <c r="CK138" s="50">
        <v>879</v>
      </c>
      <c r="CL138" s="41">
        <f t="shared" si="62"/>
        <v>879</v>
      </c>
      <c r="CM138" s="41">
        <v>0</v>
      </c>
      <c r="CN138" s="50">
        <v>444</v>
      </c>
      <c r="CO138" s="41">
        <v>0</v>
      </c>
      <c r="CP138" s="41">
        <f t="shared" si="66"/>
        <v>444</v>
      </c>
      <c r="CQ138" s="41">
        <v>0</v>
      </c>
      <c r="CR138" s="50">
        <v>349</v>
      </c>
      <c r="CS138" s="41">
        <f t="shared" si="63"/>
        <v>349</v>
      </c>
      <c r="CT138" s="60"/>
      <c r="CU138" s="39" t="s">
        <v>510</v>
      </c>
    </row>
    <row r="139" spans="1:99">
      <c r="A139" s="39" t="s">
        <v>63</v>
      </c>
      <c r="B139" s="39" t="s">
        <v>134</v>
      </c>
      <c r="C139" s="39" t="s">
        <v>4</v>
      </c>
      <c r="D139" s="56"/>
      <c r="E139" s="72" t="s">
        <v>147</v>
      </c>
      <c r="H139" s="51">
        <v>0</v>
      </c>
      <c r="I139" s="49">
        <v>0</v>
      </c>
      <c r="J139" s="49">
        <v>0</v>
      </c>
      <c r="K139" s="51">
        <v>0</v>
      </c>
      <c r="L139" s="51">
        <v>0</v>
      </c>
      <c r="M139" s="51">
        <v>0</v>
      </c>
      <c r="N139" s="52"/>
      <c r="O139" s="41">
        <v>0</v>
      </c>
      <c r="P139" s="50">
        <v>0</v>
      </c>
      <c r="Q139" s="50">
        <v>0</v>
      </c>
      <c r="R139" s="50">
        <v>0</v>
      </c>
      <c r="S139" s="41">
        <v>0</v>
      </c>
      <c r="T139" s="41">
        <v>0</v>
      </c>
      <c r="U139" s="41"/>
      <c r="V139" s="41">
        <v>0</v>
      </c>
      <c r="W139" s="50">
        <v>0</v>
      </c>
      <c r="X139" s="50">
        <v>0</v>
      </c>
      <c r="Y139" s="41">
        <v>0</v>
      </c>
      <c r="Z139" s="41">
        <v>0</v>
      </c>
      <c r="AA139" s="41"/>
      <c r="AB139" s="41">
        <v>0</v>
      </c>
      <c r="AC139" s="41">
        <v>0</v>
      </c>
      <c r="AD139" s="50">
        <v>0</v>
      </c>
      <c r="AE139" s="41">
        <v>0</v>
      </c>
      <c r="AF139" s="41">
        <v>0</v>
      </c>
      <c r="AG139" s="41">
        <v>0</v>
      </c>
      <c r="AH139" s="41">
        <v>0</v>
      </c>
      <c r="AI139" s="41"/>
      <c r="AJ139" s="41">
        <v>0</v>
      </c>
      <c r="AK139" s="50">
        <v>0</v>
      </c>
      <c r="AL139" s="41">
        <v>0</v>
      </c>
      <c r="AM139" s="50">
        <v>0</v>
      </c>
      <c r="AN139" s="41">
        <v>0</v>
      </c>
      <c r="AO139" s="41">
        <v>0</v>
      </c>
      <c r="AP139" s="41"/>
      <c r="AQ139" s="53">
        <v>0</v>
      </c>
      <c r="AR139" s="54">
        <v>0</v>
      </c>
      <c r="AS139" s="54">
        <v>0</v>
      </c>
      <c r="AT139" s="53">
        <v>0</v>
      </c>
      <c r="AU139" s="41">
        <v>0</v>
      </c>
      <c r="AV139" s="41">
        <v>0</v>
      </c>
      <c r="AW139" s="41"/>
      <c r="AX139" s="41">
        <v>0</v>
      </c>
      <c r="AY139" s="54">
        <v>0</v>
      </c>
      <c r="AZ139" s="50">
        <v>0</v>
      </c>
      <c r="BA139" s="50">
        <v>0</v>
      </c>
      <c r="BB139" s="41">
        <v>0</v>
      </c>
      <c r="BC139" s="41">
        <v>0</v>
      </c>
      <c r="BD139" s="41">
        <v>0</v>
      </c>
      <c r="BF139" s="41">
        <v>0</v>
      </c>
      <c r="BG139" s="50">
        <v>0</v>
      </c>
      <c r="BH139" s="41">
        <v>0</v>
      </c>
      <c r="BI139" s="50">
        <v>0</v>
      </c>
      <c r="BJ139" s="41">
        <v>0</v>
      </c>
      <c r="BK139" s="41">
        <v>0</v>
      </c>
      <c r="BL139" s="41">
        <v>0</v>
      </c>
      <c r="BM139" s="55"/>
      <c r="BN139" s="41">
        <v>0</v>
      </c>
      <c r="BO139" s="50">
        <v>0</v>
      </c>
      <c r="BP139" s="50">
        <v>0</v>
      </c>
      <c r="BQ139" s="41">
        <v>0</v>
      </c>
      <c r="BR139" s="41">
        <v>0</v>
      </c>
      <c r="BS139" s="41">
        <f t="shared" si="64"/>
        <v>0</v>
      </c>
      <c r="BT139" s="41">
        <v>0</v>
      </c>
      <c r="BV139" s="41">
        <v>0</v>
      </c>
      <c r="BW139" s="50">
        <v>800</v>
      </c>
      <c r="BX139" s="41">
        <f t="shared" si="67"/>
        <v>-297</v>
      </c>
      <c r="BY139" s="41">
        <v>503</v>
      </c>
      <c r="CA139" s="41">
        <v>0</v>
      </c>
      <c r="CB139" s="50">
        <v>0</v>
      </c>
      <c r="CC139" s="41">
        <f t="shared" si="68"/>
        <v>0</v>
      </c>
      <c r="CD139" s="41">
        <v>0</v>
      </c>
      <c r="CF139" s="41">
        <v>0</v>
      </c>
      <c r="CG139" s="50">
        <v>0</v>
      </c>
      <c r="CH139" s="41">
        <v>0</v>
      </c>
      <c r="CI139" s="41">
        <f t="shared" si="65"/>
        <v>0</v>
      </c>
      <c r="CJ139" s="41">
        <v>0</v>
      </c>
      <c r="CK139" s="50">
        <v>0</v>
      </c>
      <c r="CL139" s="41">
        <f t="shared" si="62"/>
        <v>0</v>
      </c>
      <c r="CM139" s="41">
        <v>0</v>
      </c>
      <c r="CN139" s="50">
        <v>0</v>
      </c>
      <c r="CO139" s="41">
        <v>0</v>
      </c>
      <c r="CP139" s="41">
        <f t="shared" si="66"/>
        <v>0</v>
      </c>
      <c r="CQ139" s="41">
        <v>0</v>
      </c>
      <c r="CR139" s="50">
        <v>0</v>
      </c>
      <c r="CS139" s="41">
        <f t="shared" si="63"/>
        <v>0</v>
      </c>
      <c r="CT139" s="60"/>
    </row>
    <row r="140" spans="1:99">
      <c r="A140" s="39" t="s">
        <v>63</v>
      </c>
      <c r="B140" s="39" t="s">
        <v>134</v>
      </c>
      <c r="C140" s="39" t="s">
        <v>4</v>
      </c>
      <c r="D140" s="56"/>
      <c r="E140" s="68" t="s">
        <v>148</v>
      </c>
      <c r="H140" s="51">
        <v>1098</v>
      </c>
      <c r="I140" s="49">
        <v>0</v>
      </c>
      <c r="J140" s="49">
        <v>0</v>
      </c>
      <c r="K140" s="51">
        <f t="shared" si="69"/>
        <v>1098</v>
      </c>
      <c r="L140" s="51">
        <f t="shared" si="61"/>
        <v>-1098</v>
      </c>
      <c r="M140" s="51">
        <v>0</v>
      </c>
      <c r="N140" s="52"/>
      <c r="O140" s="41">
        <v>1449</v>
      </c>
      <c r="P140" s="50">
        <v>0</v>
      </c>
      <c r="Q140" s="50">
        <v>0</v>
      </c>
      <c r="R140" s="50">
        <v>0</v>
      </c>
      <c r="S140" s="41">
        <v>-1449</v>
      </c>
      <c r="T140" s="41">
        <v>0</v>
      </c>
      <c r="U140" s="41"/>
      <c r="V140" s="41">
        <v>0</v>
      </c>
      <c r="W140" s="50">
        <v>0</v>
      </c>
      <c r="X140" s="50">
        <v>0</v>
      </c>
      <c r="Y140" s="41">
        <f t="shared" si="70"/>
        <v>0</v>
      </c>
      <c r="Z140" s="41">
        <v>0</v>
      </c>
      <c r="AA140" s="41"/>
      <c r="AB140" s="41">
        <v>0</v>
      </c>
      <c r="AC140" s="41">
        <v>0</v>
      </c>
      <c r="AD140" s="50">
        <v>0</v>
      </c>
      <c r="AE140" s="41">
        <v>0</v>
      </c>
      <c r="AF140" s="41">
        <v>0</v>
      </c>
      <c r="AG140" s="41">
        <f t="shared" si="60"/>
        <v>0</v>
      </c>
      <c r="AH140" s="41">
        <v>0</v>
      </c>
      <c r="AI140" s="41"/>
      <c r="AJ140" s="41">
        <v>0</v>
      </c>
      <c r="AK140" s="50">
        <v>0</v>
      </c>
      <c r="AL140" s="41">
        <v>0</v>
      </c>
      <c r="AM140" s="50">
        <v>0</v>
      </c>
      <c r="AN140" s="41">
        <f t="shared" si="71"/>
        <v>0</v>
      </c>
      <c r="AO140" s="41">
        <v>0</v>
      </c>
      <c r="AP140" s="41"/>
      <c r="AQ140" s="53">
        <v>0</v>
      </c>
      <c r="AR140" s="54">
        <v>0</v>
      </c>
      <c r="AS140" s="54">
        <v>0</v>
      </c>
      <c r="AT140" s="53">
        <v>0</v>
      </c>
      <c r="AU140" s="41">
        <f t="shared" si="72"/>
        <v>0</v>
      </c>
      <c r="AV140" s="41">
        <v>0</v>
      </c>
      <c r="AW140" s="41"/>
      <c r="AX140" s="41">
        <v>0</v>
      </c>
      <c r="AY140" s="54">
        <v>0</v>
      </c>
      <c r="AZ140" s="50">
        <v>0</v>
      </c>
      <c r="BA140" s="50">
        <v>0</v>
      </c>
      <c r="BB140" s="41">
        <v>0</v>
      </c>
      <c r="BC140" s="41">
        <f t="shared" si="74"/>
        <v>0</v>
      </c>
      <c r="BD140" s="41">
        <v>0</v>
      </c>
      <c r="BF140" s="41">
        <v>0</v>
      </c>
      <c r="BG140" s="50">
        <v>0</v>
      </c>
      <c r="BH140" s="41">
        <v>0</v>
      </c>
      <c r="BI140" s="50">
        <v>0</v>
      </c>
      <c r="BJ140" s="41">
        <v>0</v>
      </c>
      <c r="BK140" s="41">
        <f t="shared" si="73"/>
        <v>0</v>
      </c>
      <c r="BL140" s="41">
        <v>0</v>
      </c>
      <c r="BM140" s="55"/>
      <c r="BN140" s="41">
        <v>0</v>
      </c>
      <c r="BO140" s="50">
        <v>0</v>
      </c>
      <c r="BP140" s="50">
        <v>0</v>
      </c>
      <c r="BQ140" s="41">
        <v>0</v>
      </c>
      <c r="BR140" s="41">
        <v>0</v>
      </c>
      <c r="BS140" s="41">
        <f t="shared" si="64"/>
        <v>0</v>
      </c>
      <c r="BT140" s="41">
        <v>0</v>
      </c>
      <c r="BV140" s="41">
        <v>0</v>
      </c>
      <c r="BW140" s="50">
        <v>0</v>
      </c>
      <c r="BX140" s="41">
        <f t="shared" si="67"/>
        <v>0</v>
      </c>
      <c r="BY140" s="41">
        <v>0</v>
      </c>
      <c r="CA140" s="41">
        <v>0</v>
      </c>
      <c r="CB140" s="50">
        <v>0</v>
      </c>
      <c r="CC140" s="41">
        <f t="shared" si="68"/>
        <v>0</v>
      </c>
      <c r="CD140" s="41">
        <v>0</v>
      </c>
      <c r="CF140" s="41">
        <v>0</v>
      </c>
      <c r="CG140" s="50">
        <v>0</v>
      </c>
      <c r="CH140" s="41">
        <v>0</v>
      </c>
      <c r="CI140" s="41">
        <f t="shared" si="65"/>
        <v>0</v>
      </c>
      <c r="CJ140" s="41">
        <v>0</v>
      </c>
      <c r="CK140" s="50">
        <v>0</v>
      </c>
      <c r="CL140" s="41">
        <f t="shared" si="62"/>
        <v>0</v>
      </c>
      <c r="CM140" s="41">
        <v>0</v>
      </c>
      <c r="CN140" s="50">
        <v>0</v>
      </c>
      <c r="CO140" s="41">
        <v>0</v>
      </c>
      <c r="CP140" s="41">
        <f t="shared" si="66"/>
        <v>0</v>
      </c>
      <c r="CQ140" s="41">
        <v>0</v>
      </c>
      <c r="CR140" s="50">
        <v>0</v>
      </c>
      <c r="CS140" s="41">
        <f t="shared" si="63"/>
        <v>0</v>
      </c>
    </row>
    <row r="141" spans="1:99">
      <c r="A141" s="39" t="s">
        <v>63</v>
      </c>
      <c r="B141" s="39" t="s">
        <v>134</v>
      </c>
      <c r="C141" s="39" t="s">
        <v>4</v>
      </c>
      <c r="D141" s="56">
        <v>57301001051</v>
      </c>
      <c r="E141" s="68" t="s">
        <v>149</v>
      </c>
      <c r="H141" s="51">
        <v>10422</v>
      </c>
      <c r="I141" s="49">
        <v>0</v>
      </c>
      <c r="J141" s="49">
        <v>93</v>
      </c>
      <c r="K141" s="51">
        <f t="shared" si="69"/>
        <v>10515</v>
      </c>
      <c r="L141" s="51">
        <f t="shared" si="61"/>
        <v>-14</v>
      </c>
      <c r="M141" s="51">
        <v>10501</v>
      </c>
      <c r="N141" s="52"/>
      <c r="O141" s="41">
        <v>12575</v>
      </c>
      <c r="P141" s="50">
        <v>239</v>
      </c>
      <c r="Q141" s="50">
        <v>0</v>
      </c>
      <c r="R141" s="50">
        <v>281</v>
      </c>
      <c r="S141" s="41">
        <v>-152</v>
      </c>
      <c r="T141" s="41">
        <v>12943</v>
      </c>
      <c r="U141" s="41"/>
      <c r="V141" s="41">
        <f>11919+50</f>
        <v>11969</v>
      </c>
      <c r="W141" s="50">
        <v>54</v>
      </c>
      <c r="X141" s="50">
        <v>0</v>
      </c>
      <c r="Y141" s="41">
        <f t="shared" si="70"/>
        <v>15</v>
      </c>
      <c r="Z141" s="41">
        <v>12038</v>
      </c>
      <c r="AA141" s="41"/>
      <c r="AB141" s="41">
        <v>13523</v>
      </c>
      <c r="AC141" s="41">
        <v>11</v>
      </c>
      <c r="AD141" s="50">
        <v>277</v>
      </c>
      <c r="AE141" s="41">
        <v>0</v>
      </c>
      <c r="AF141" s="41">
        <v>0</v>
      </c>
      <c r="AG141" s="41">
        <f t="shared" si="60"/>
        <v>87</v>
      </c>
      <c r="AH141" s="41">
        <v>13898</v>
      </c>
      <c r="AI141" s="41"/>
      <c r="AJ141" s="41">
        <v>12567</v>
      </c>
      <c r="AK141" s="50">
        <v>115</v>
      </c>
      <c r="AL141" s="41">
        <v>13</v>
      </c>
      <c r="AM141" s="50">
        <v>675</v>
      </c>
      <c r="AN141" s="41">
        <f t="shared" si="71"/>
        <v>-83</v>
      </c>
      <c r="AO141" s="41">
        <v>13287</v>
      </c>
      <c r="AP141" s="41"/>
      <c r="AQ141" s="53">
        <v>11348</v>
      </c>
      <c r="AR141" s="54">
        <v>2291</v>
      </c>
      <c r="AS141" s="54">
        <v>2106</v>
      </c>
      <c r="AT141" s="53">
        <v>0</v>
      </c>
      <c r="AU141" s="41">
        <f t="shared" si="72"/>
        <v>-166</v>
      </c>
      <c r="AV141" s="41">
        <v>15579</v>
      </c>
      <c r="AW141" s="41"/>
      <c r="AX141" s="41">
        <v>11863</v>
      </c>
      <c r="AY141" s="54">
        <v>0</v>
      </c>
      <c r="AZ141" s="50">
        <v>51</v>
      </c>
      <c r="BA141" s="50">
        <v>7104</v>
      </c>
      <c r="BB141" s="41">
        <v>0</v>
      </c>
      <c r="BC141" s="41">
        <f t="shared" si="74"/>
        <v>-405</v>
      </c>
      <c r="BD141" s="41">
        <v>18613</v>
      </c>
      <c r="BF141" s="41">
        <v>13074</v>
      </c>
      <c r="BG141" s="50">
        <v>202</v>
      </c>
      <c r="BH141" s="41">
        <v>0</v>
      </c>
      <c r="BI141" s="50">
        <v>4592</v>
      </c>
      <c r="BJ141" s="41">
        <v>-44</v>
      </c>
      <c r="BK141" s="41">
        <f t="shared" si="73"/>
        <v>75</v>
      </c>
      <c r="BL141" s="41">
        <v>17899</v>
      </c>
      <c r="BM141" s="55"/>
      <c r="BN141" s="41">
        <v>12626</v>
      </c>
      <c r="BO141" s="50">
        <v>737</v>
      </c>
      <c r="BP141" s="50">
        <v>175</v>
      </c>
      <c r="BQ141" s="41">
        <v>0</v>
      </c>
      <c r="BR141" s="41">
        <v>-102</v>
      </c>
      <c r="BS141" s="41">
        <f t="shared" si="64"/>
        <v>-257</v>
      </c>
      <c r="BT141" s="41">
        <v>13179</v>
      </c>
      <c r="BV141" s="41">
        <v>12756</v>
      </c>
      <c r="BW141" s="50">
        <v>1992</v>
      </c>
      <c r="BX141" s="41">
        <f t="shared" si="67"/>
        <v>280</v>
      </c>
      <c r="BY141" s="41">
        <v>15028</v>
      </c>
      <c r="CA141" s="41">
        <v>12633</v>
      </c>
      <c r="CB141" s="50">
        <v>1236</v>
      </c>
      <c r="CC141" s="41">
        <f t="shared" si="68"/>
        <v>-181</v>
      </c>
      <c r="CD141" s="41">
        <v>13688</v>
      </c>
      <c r="CF141" s="41">
        <v>9538</v>
      </c>
      <c r="CG141" s="50">
        <v>259</v>
      </c>
      <c r="CH141" s="41">
        <v>0</v>
      </c>
      <c r="CI141" s="41">
        <f t="shared" si="65"/>
        <v>9797</v>
      </c>
      <c r="CJ141" s="41">
        <v>9690</v>
      </c>
      <c r="CK141" s="50">
        <v>189</v>
      </c>
      <c r="CL141" s="41">
        <f t="shared" si="62"/>
        <v>9879</v>
      </c>
      <c r="CM141" s="41">
        <v>11920</v>
      </c>
      <c r="CN141" s="50">
        <v>481</v>
      </c>
      <c r="CO141" s="41">
        <v>0</v>
      </c>
      <c r="CP141" s="41">
        <f t="shared" si="66"/>
        <v>12401</v>
      </c>
      <c r="CQ141" s="41">
        <v>15556</v>
      </c>
      <c r="CR141" s="50">
        <v>129</v>
      </c>
      <c r="CS141" s="41">
        <f t="shared" si="63"/>
        <v>15685</v>
      </c>
      <c r="CU141" s="39" t="s">
        <v>511</v>
      </c>
    </row>
    <row r="142" spans="1:99">
      <c r="A142" s="39" t="s">
        <v>63</v>
      </c>
      <c r="B142" s="39" t="s">
        <v>134</v>
      </c>
      <c r="C142" s="39" t="s">
        <v>4</v>
      </c>
      <c r="D142" s="56">
        <v>57301101051</v>
      </c>
      <c r="E142" s="68" t="s">
        <v>150</v>
      </c>
      <c r="H142" s="51">
        <v>855</v>
      </c>
      <c r="I142" s="49">
        <v>0</v>
      </c>
      <c r="J142" s="49">
        <v>115</v>
      </c>
      <c r="K142" s="51">
        <f t="shared" si="69"/>
        <v>970</v>
      </c>
      <c r="L142" s="51">
        <f t="shared" si="61"/>
        <v>-2</v>
      </c>
      <c r="M142" s="51">
        <v>968</v>
      </c>
      <c r="N142" s="52"/>
      <c r="O142" s="41">
        <v>1134</v>
      </c>
      <c r="P142" s="50">
        <v>131</v>
      </c>
      <c r="Q142" s="50">
        <v>0</v>
      </c>
      <c r="R142" s="50">
        <v>133</v>
      </c>
      <c r="S142" s="41">
        <v>-1</v>
      </c>
      <c r="T142" s="41">
        <v>1397</v>
      </c>
      <c r="U142" s="41"/>
      <c r="V142" s="41">
        <v>1253</v>
      </c>
      <c r="W142" s="50">
        <v>0</v>
      </c>
      <c r="X142" s="50">
        <v>0</v>
      </c>
      <c r="Y142" s="41">
        <f t="shared" si="70"/>
        <v>-2</v>
      </c>
      <c r="Z142" s="41">
        <v>1251</v>
      </c>
      <c r="AA142" s="41"/>
      <c r="AB142" s="41">
        <v>1322</v>
      </c>
      <c r="AC142" s="41">
        <v>0</v>
      </c>
      <c r="AD142" s="50">
        <v>7</v>
      </c>
      <c r="AE142" s="41">
        <v>0</v>
      </c>
      <c r="AF142" s="41">
        <v>0</v>
      </c>
      <c r="AG142" s="41">
        <f t="shared" si="60"/>
        <v>-17</v>
      </c>
      <c r="AH142" s="41">
        <v>1312</v>
      </c>
      <c r="AI142" s="41"/>
      <c r="AJ142" s="41">
        <v>1003</v>
      </c>
      <c r="AK142" s="50">
        <v>0</v>
      </c>
      <c r="AL142" s="41">
        <v>0</v>
      </c>
      <c r="AM142" s="50">
        <v>29</v>
      </c>
      <c r="AN142" s="41">
        <f t="shared" si="71"/>
        <v>0</v>
      </c>
      <c r="AO142" s="41">
        <v>1032</v>
      </c>
      <c r="AP142" s="41"/>
      <c r="AQ142" s="53">
        <v>1050</v>
      </c>
      <c r="AR142" s="54">
        <v>0</v>
      </c>
      <c r="AS142" s="54">
        <v>6</v>
      </c>
      <c r="AT142" s="53">
        <v>0</v>
      </c>
      <c r="AU142" s="41">
        <f t="shared" si="72"/>
        <v>-12</v>
      </c>
      <c r="AV142" s="41">
        <v>1044</v>
      </c>
      <c r="AW142" s="41"/>
      <c r="AX142" s="41">
        <v>749</v>
      </c>
      <c r="AY142" s="54">
        <v>0</v>
      </c>
      <c r="AZ142" s="50">
        <v>0</v>
      </c>
      <c r="BA142" s="50">
        <v>205</v>
      </c>
      <c r="BB142" s="41">
        <v>0</v>
      </c>
      <c r="BC142" s="41">
        <f t="shared" si="74"/>
        <v>-15</v>
      </c>
      <c r="BD142" s="41">
        <v>939</v>
      </c>
      <c r="BF142" s="41">
        <v>856</v>
      </c>
      <c r="BG142" s="50">
        <v>0</v>
      </c>
      <c r="BH142" s="41">
        <v>0</v>
      </c>
      <c r="BI142" s="50">
        <v>159</v>
      </c>
      <c r="BJ142" s="41">
        <v>0</v>
      </c>
      <c r="BK142" s="41">
        <f t="shared" si="73"/>
        <v>8</v>
      </c>
      <c r="BL142" s="41">
        <v>1023</v>
      </c>
      <c r="BM142" s="55"/>
      <c r="BN142" s="41">
        <v>799</v>
      </c>
      <c r="BO142" s="50">
        <v>257</v>
      </c>
      <c r="BP142" s="50">
        <v>0</v>
      </c>
      <c r="BQ142" s="41">
        <v>0</v>
      </c>
      <c r="BR142" s="41">
        <v>-7</v>
      </c>
      <c r="BS142" s="41">
        <f t="shared" si="64"/>
        <v>28</v>
      </c>
      <c r="BT142" s="41">
        <v>1077</v>
      </c>
      <c r="BV142" s="41">
        <v>731</v>
      </c>
      <c r="BW142" s="50">
        <v>293</v>
      </c>
      <c r="BX142" s="41">
        <f t="shared" si="67"/>
        <v>34</v>
      </c>
      <c r="BY142" s="41">
        <v>1058</v>
      </c>
      <c r="CA142" s="41">
        <v>500</v>
      </c>
      <c r="CB142" s="50">
        <v>109</v>
      </c>
      <c r="CC142" s="41">
        <f t="shared" si="68"/>
        <v>-1</v>
      </c>
      <c r="CD142" s="41">
        <v>608</v>
      </c>
      <c r="CF142" s="41">
        <v>546</v>
      </c>
      <c r="CG142" s="50">
        <v>107</v>
      </c>
      <c r="CH142" s="41">
        <v>0</v>
      </c>
      <c r="CI142" s="41">
        <f t="shared" si="65"/>
        <v>653</v>
      </c>
      <c r="CJ142" s="41">
        <v>730</v>
      </c>
      <c r="CK142" s="50">
        <v>138</v>
      </c>
      <c r="CL142" s="41">
        <f t="shared" si="62"/>
        <v>868</v>
      </c>
      <c r="CM142" s="41">
        <v>660</v>
      </c>
      <c r="CN142" s="50">
        <v>220</v>
      </c>
      <c r="CO142" s="41">
        <v>0</v>
      </c>
      <c r="CP142" s="41">
        <f t="shared" si="66"/>
        <v>880</v>
      </c>
      <c r="CQ142" s="41">
        <v>1739</v>
      </c>
      <c r="CR142" s="50">
        <v>229</v>
      </c>
      <c r="CS142" s="41">
        <f t="shared" si="63"/>
        <v>1968</v>
      </c>
      <c r="CU142" s="39" t="s">
        <v>512</v>
      </c>
    </row>
    <row r="143" spans="1:99">
      <c r="A143" s="39" t="s">
        <v>63</v>
      </c>
      <c r="B143" s="39" t="s">
        <v>134</v>
      </c>
      <c r="C143" s="39" t="s">
        <v>4</v>
      </c>
      <c r="D143" s="56">
        <v>57302001051</v>
      </c>
      <c r="E143" s="68" t="s">
        <v>151</v>
      </c>
      <c r="H143" s="51">
        <f>2910-12</f>
        <v>2898</v>
      </c>
      <c r="I143" s="49">
        <v>0</v>
      </c>
      <c r="J143" s="49">
        <v>0</v>
      </c>
      <c r="K143" s="51">
        <f t="shared" si="69"/>
        <v>2898</v>
      </c>
      <c r="L143" s="51">
        <f t="shared" si="61"/>
        <v>-138</v>
      </c>
      <c r="M143" s="51">
        <v>2760</v>
      </c>
      <c r="N143" s="52"/>
      <c r="O143" s="41">
        <v>2895</v>
      </c>
      <c r="P143" s="50">
        <v>10</v>
      </c>
      <c r="Q143" s="50">
        <v>115</v>
      </c>
      <c r="R143" s="50">
        <v>90</v>
      </c>
      <c r="S143" s="41">
        <v>28</v>
      </c>
      <c r="T143" s="41">
        <v>3138</v>
      </c>
      <c r="U143" s="41"/>
      <c r="V143" s="41">
        <v>4129</v>
      </c>
      <c r="W143" s="50">
        <v>20</v>
      </c>
      <c r="X143" s="50">
        <v>0</v>
      </c>
      <c r="Y143" s="41">
        <f t="shared" si="70"/>
        <v>-5</v>
      </c>
      <c r="Z143" s="41">
        <v>4144</v>
      </c>
      <c r="AA143" s="41"/>
      <c r="AB143" s="41">
        <v>4429</v>
      </c>
      <c r="AC143" s="41">
        <v>10</v>
      </c>
      <c r="AD143" s="50">
        <v>0</v>
      </c>
      <c r="AE143" s="41">
        <v>0</v>
      </c>
      <c r="AF143" s="41">
        <v>0</v>
      </c>
      <c r="AG143" s="41">
        <f t="shared" si="60"/>
        <v>-15</v>
      </c>
      <c r="AH143" s="41">
        <v>4424</v>
      </c>
      <c r="AI143" s="41"/>
      <c r="AJ143" s="41">
        <v>5009</v>
      </c>
      <c r="AK143" s="50">
        <v>17</v>
      </c>
      <c r="AL143" s="41">
        <v>0</v>
      </c>
      <c r="AM143" s="50">
        <v>-80</v>
      </c>
      <c r="AN143" s="41">
        <f t="shared" si="71"/>
        <v>61</v>
      </c>
      <c r="AO143" s="41">
        <v>5007</v>
      </c>
      <c r="AP143" s="41"/>
      <c r="AQ143" s="53">
        <v>3751</v>
      </c>
      <c r="AR143" s="54">
        <v>33</v>
      </c>
      <c r="AS143" s="54">
        <v>95</v>
      </c>
      <c r="AT143" s="53">
        <v>0</v>
      </c>
      <c r="AU143" s="41">
        <f t="shared" si="72"/>
        <v>34</v>
      </c>
      <c r="AV143" s="41">
        <v>3913</v>
      </c>
      <c r="AW143" s="41"/>
      <c r="AX143" s="41">
        <v>4945</v>
      </c>
      <c r="AY143" s="54">
        <v>0</v>
      </c>
      <c r="AZ143" s="50">
        <v>0</v>
      </c>
      <c r="BA143" s="50">
        <v>67</v>
      </c>
      <c r="BB143" s="41">
        <v>0</v>
      </c>
      <c r="BC143" s="41">
        <f t="shared" si="74"/>
        <v>18</v>
      </c>
      <c r="BD143" s="41">
        <v>5030</v>
      </c>
      <c r="BF143" s="41">
        <v>5418</v>
      </c>
      <c r="BG143" s="50">
        <v>0</v>
      </c>
      <c r="BH143" s="41">
        <v>0</v>
      </c>
      <c r="BI143" s="50">
        <v>50</v>
      </c>
      <c r="BJ143" s="41">
        <v>0</v>
      </c>
      <c r="BK143" s="41">
        <f t="shared" si="73"/>
        <v>181</v>
      </c>
      <c r="BL143" s="41">
        <v>5649</v>
      </c>
      <c r="BM143" s="55"/>
      <c r="BN143" s="41">
        <v>5917</v>
      </c>
      <c r="BO143" s="50">
        <v>37</v>
      </c>
      <c r="BP143" s="50">
        <v>0</v>
      </c>
      <c r="BQ143" s="41">
        <v>0</v>
      </c>
      <c r="BR143" s="41">
        <v>-28</v>
      </c>
      <c r="BS143" s="41">
        <f t="shared" si="64"/>
        <v>103</v>
      </c>
      <c r="BT143" s="41">
        <v>6029</v>
      </c>
      <c r="BV143" s="41">
        <v>5425</v>
      </c>
      <c r="BW143" s="50">
        <v>57</v>
      </c>
      <c r="BX143" s="41">
        <f t="shared" si="67"/>
        <v>-116</v>
      </c>
      <c r="BY143" s="41">
        <v>5366</v>
      </c>
      <c r="CA143" s="41">
        <v>5870</v>
      </c>
      <c r="CB143" s="50">
        <v>41</v>
      </c>
      <c r="CC143" s="41">
        <f t="shared" si="68"/>
        <v>-86</v>
      </c>
      <c r="CD143" s="41">
        <v>5825</v>
      </c>
      <c r="CF143" s="41">
        <v>4882</v>
      </c>
      <c r="CG143" s="50">
        <v>34</v>
      </c>
      <c r="CH143" s="41">
        <v>0</v>
      </c>
      <c r="CI143" s="41">
        <f t="shared" si="65"/>
        <v>4916</v>
      </c>
      <c r="CJ143" s="41">
        <v>4382</v>
      </c>
      <c r="CK143" s="50">
        <v>24</v>
      </c>
      <c r="CL143" s="41">
        <f t="shared" si="62"/>
        <v>4406</v>
      </c>
      <c r="CM143" s="41">
        <v>4459</v>
      </c>
      <c r="CN143" s="50">
        <v>136</v>
      </c>
      <c r="CO143" s="41">
        <v>0</v>
      </c>
      <c r="CP143" s="41">
        <f t="shared" si="66"/>
        <v>4595</v>
      </c>
      <c r="CQ143" s="41">
        <v>2700</v>
      </c>
      <c r="CR143" s="50">
        <v>289</v>
      </c>
      <c r="CS143" s="41">
        <f t="shared" si="63"/>
        <v>2989</v>
      </c>
      <c r="CU143" s="39" t="s">
        <v>513</v>
      </c>
    </row>
    <row r="144" spans="1:99" ht="15">
      <c r="A144" s="39" t="s">
        <v>63</v>
      </c>
      <c r="B144" s="39" t="s">
        <v>134</v>
      </c>
      <c r="C144" s="39" t="s">
        <v>4</v>
      </c>
      <c r="D144" s="37">
        <v>57302101051</v>
      </c>
      <c r="E144" s="74" t="s">
        <v>514</v>
      </c>
      <c r="H144" s="51"/>
      <c r="I144" s="49"/>
      <c r="J144" s="49"/>
      <c r="K144" s="51"/>
      <c r="L144" s="51"/>
      <c r="M144" s="51"/>
      <c r="N144" s="52"/>
      <c r="O144" s="41"/>
      <c r="P144" s="50"/>
      <c r="Q144" s="50"/>
      <c r="R144" s="50"/>
      <c r="S144" s="41"/>
      <c r="T144" s="41"/>
      <c r="U144" s="41"/>
      <c r="V144" s="41"/>
      <c r="W144" s="50"/>
      <c r="X144" s="50"/>
      <c r="Y144" s="41"/>
      <c r="Z144" s="41"/>
      <c r="AA144" s="41"/>
      <c r="AB144" s="41"/>
      <c r="AC144" s="41"/>
      <c r="AD144" s="50"/>
      <c r="AE144" s="41"/>
      <c r="AF144" s="41"/>
      <c r="AG144" s="41"/>
      <c r="AH144" s="41"/>
      <c r="AI144" s="41"/>
      <c r="AJ144" s="41"/>
      <c r="AK144" s="50"/>
      <c r="AL144" s="41"/>
      <c r="AM144" s="50"/>
      <c r="AN144" s="41"/>
      <c r="AO144" s="41"/>
      <c r="AP144" s="41"/>
      <c r="AQ144" s="53"/>
      <c r="AR144" s="54"/>
      <c r="AS144" s="54"/>
      <c r="AT144" s="53"/>
      <c r="AU144" s="41"/>
      <c r="AV144" s="41"/>
      <c r="AW144" s="41"/>
      <c r="AX144" s="41"/>
      <c r="AY144" s="54"/>
      <c r="BF144" s="41"/>
      <c r="BG144" s="50"/>
      <c r="BH144" s="41"/>
      <c r="BI144" s="50"/>
      <c r="BJ144" s="41"/>
      <c r="BK144" s="41"/>
      <c r="BL144" s="41"/>
      <c r="BM144" s="55"/>
      <c r="BN144" s="41"/>
      <c r="BO144" s="50"/>
      <c r="BP144" s="50"/>
      <c r="BQ144" s="41"/>
      <c r="BR144" s="41"/>
      <c r="BS144" s="41"/>
      <c r="BT144" s="41"/>
      <c r="BV144" s="41"/>
      <c r="BW144" s="50"/>
      <c r="BX144" s="41"/>
      <c r="BY144" s="41"/>
      <c r="CA144" s="41"/>
      <c r="CB144" s="50"/>
      <c r="CC144" s="41"/>
      <c r="CD144" s="41"/>
      <c r="CF144" s="41"/>
      <c r="CG144" s="50"/>
      <c r="CH144" s="41"/>
      <c r="CI144" s="41"/>
      <c r="CJ144" s="41"/>
      <c r="CK144" s="50"/>
      <c r="CL144" s="41"/>
      <c r="CM144" s="41"/>
      <c r="CN144" s="50"/>
      <c r="CO144" s="41"/>
      <c r="CP144" s="41"/>
      <c r="CQ144" s="41">
        <v>2812</v>
      </c>
      <c r="CR144" s="50">
        <v>0</v>
      </c>
      <c r="CS144" s="41">
        <f t="shared" si="63"/>
        <v>2812</v>
      </c>
    </row>
    <row r="145" spans="1:99">
      <c r="A145" s="39" t="s">
        <v>63</v>
      </c>
      <c r="B145" s="39" t="s">
        <v>134</v>
      </c>
      <c r="C145" s="39" t="s">
        <v>4</v>
      </c>
      <c r="D145" s="56">
        <v>57308001051</v>
      </c>
      <c r="E145" s="68" t="s">
        <v>152</v>
      </c>
      <c r="H145" s="51">
        <f>7999-65</f>
        <v>7934</v>
      </c>
      <c r="I145" s="49">
        <v>0</v>
      </c>
      <c r="J145" s="49">
        <v>748</v>
      </c>
      <c r="K145" s="51">
        <f t="shared" si="69"/>
        <v>8682</v>
      </c>
      <c r="L145" s="51">
        <f t="shared" si="61"/>
        <v>318</v>
      </c>
      <c r="M145" s="51">
        <v>9000</v>
      </c>
      <c r="N145" s="52"/>
      <c r="O145" s="41">
        <v>10468</v>
      </c>
      <c r="P145" s="50">
        <v>79</v>
      </c>
      <c r="Q145" s="50">
        <v>2272</v>
      </c>
      <c r="R145" s="50">
        <v>1226</v>
      </c>
      <c r="S145" s="41">
        <v>-139</v>
      </c>
      <c r="T145" s="41">
        <v>13906</v>
      </c>
      <c r="U145" s="41"/>
      <c r="V145" s="41">
        <v>11469</v>
      </c>
      <c r="W145" s="50">
        <v>3440</v>
      </c>
      <c r="X145" s="50">
        <v>110</v>
      </c>
      <c r="Y145" s="41">
        <f t="shared" si="70"/>
        <v>10</v>
      </c>
      <c r="Z145" s="41">
        <v>15029</v>
      </c>
      <c r="AA145" s="41"/>
      <c r="AB145" s="41">
        <v>12867</v>
      </c>
      <c r="AC145" s="41">
        <v>32</v>
      </c>
      <c r="AD145" s="50">
        <v>2585</v>
      </c>
      <c r="AE145" s="41">
        <v>0</v>
      </c>
      <c r="AF145" s="41">
        <v>0</v>
      </c>
      <c r="AG145" s="41">
        <f t="shared" si="60"/>
        <v>-2</v>
      </c>
      <c r="AH145" s="41">
        <v>15482</v>
      </c>
      <c r="AI145" s="41"/>
      <c r="AJ145" s="41">
        <v>13867</v>
      </c>
      <c r="AK145" s="50">
        <v>18</v>
      </c>
      <c r="AL145" s="41">
        <v>138</v>
      </c>
      <c r="AM145" s="50">
        <v>1462</v>
      </c>
      <c r="AN145" s="41">
        <f t="shared" si="71"/>
        <v>1178</v>
      </c>
      <c r="AO145" s="41">
        <v>16663</v>
      </c>
      <c r="AP145" s="41"/>
      <c r="AQ145" s="53">
        <v>15429</v>
      </c>
      <c r="AR145" s="54">
        <v>1318</v>
      </c>
      <c r="AS145" s="54">
        <v>2096</v>
      </c>
      <c r="AT145" s="53">
        <v>0</v>
      </c>
      <c r="AU145" s="41">
        <f t="shared" si="72"/>
        <v>57</v>
      </c>
      <c r="AV145" s="41">
        <v>18900</v>
      </c>
      <c r="AW145" s="41"/>
      <c r="AX145" s="41">
        <v>15334</v>
      </c>
      <c r="AY145" s="54">
        <v>717</v>
      </c>
      <c r="AZ145" s="50">
        <v>31</v>
      </c>
      <c r="BA145" s="50">
        <v>1953</v>
      </c>
      <c r="BB145" s="41">
        <v>0</v>
      </c>
      <c r="BC145" s="41">
        <f t="shared" si="74"/>
        <v>1198</v>
      </c>
      <c r="BD145" s="41">
        <v>19233</v>
      </c>
      <c r="BF145" s="41">
        <v>16004</v>
      </c>
      <c r="BG145" s="50">
        <v>1501</v>
      </c>
      <c r="BH145" s="41">
        <v>0</v>
      </c>
      <c r="BI145" s="50">
        <v>1802</v>
      </c>
      <c r="BJ145" s="41">
        <v>-18</v>
      </c>
      <c r="BK145" s="41">
        <f>BL145-SUM(BF145:BJ145)</f>
        <v>322</v>
      </c>
      <c r="BL145" s="41">
        <v>19611</v>
      </c>
      <c r="BM145" s="55"/>
      <c r="BN145" s="41">
        <v>17079</v>
      </c>
      <c r="BO145" s="50">
        <v>2644</v>
      </c>
      <c r="BP145" s="50">
        <v>673</v>
      </c>
      <c r="BQ145" s="41">
        <v>-5</v>
      </c>
      <c r="BR145" s="41">
        <v>-130</v>
      </c>
      <c r="BS145" s="41">
        <f t="shared" si="64"/>
        <v>-160</v>
      </c>
      <c r="BT145" s="41">
        <v>20101</v>
      </c>
      <c r="BV145" s="41">
        <v>17531</v>
      </c>
      <c r="BW145" s="50">
        <v>2889</v>
      </c>
      <c r="BX145" s="41">
        <f t="shared" si="67"/>
        <v>-81</v>
      </c>
      <c r="BY145" s="41">
        <v>20339</v>
      </c>
      <c r="CA145" s="41">
        <v>17335</v>
      </c>
      <c r="CB145" s="50">
        <v>3086</v>
      </c>
      <c r="CC145" s="41">
        <f t="shared" si="68"/>
        <v>-49</v>
      </c>
      <c r="CD145" s="41">
        <v>20372</v>
      </c>
      <c r="CF145" s="41">
        <v>15601</v>
      </c>
      <c r="CG145" s="50">
        <v>2459</v>
      </c>
      <c r="CH145" s="41">
        <v>0</v>
      </c>
      <c r="CI145" s="41">
        <f t="shared" si="65"/>
        <v>18060</v>
      </c>
      <c r="CJ145" s="41">
        <v>16528</v>
      </c>
      <c r="CK145" s="50">
        <v>2518</v>
      </c>
      <c r="CL145" s="41">
        <f t="shared" si="62"/>
        <v>19046</v>
      </c>
      <c r="CM145" s="41">
        <v>16781</v>
      </c>
      <c r="CN145" s="50">
        <v>3608</v>
      </c>
      <c r="CO145" s="41">
        <v>0</v>
      </c>
      <c r="CP145" s="41">
        <f t="shared" si="66"/>
        <v>20389</v>
      </c>
      <c r="CQ145" s="41">
        <v>18205</v>
      </c>
      <c r="CR145" s="50">
        <v>3477</v>
      </c>
      <c r="CS145" s="41">
        <f t="shared" si="63"/>
        <v>21682</v>
      </c>
      <c r="CU145" s="39" t="s">
        <v>515</v>
      </c>
    </row>
    <row r="146" spans="1:99">
      <c r="A146" s="39" t="s">
        <v>63</v>
      </c>
      <c r="B146" s="39" t="s">
        <v>134</v>
      </c>
      <c r="C146" s="39" t="s">
        <v>4</v>
      </c>
      <c r="D146" s="56"/>
      <c r="E146" s="68" t="s">
        <v>153</v>
      </c>
      <c r="H146" s="51">
        <v>0</v>
      </c>
      <c r="I146" s="49">
        <v>0</v>
      </c>
      <c r="J146" s="49">
        <v>0</v>
      </c>
      <c r="K146" s="51">
        <f t="shared" si="69"/>
        <v>0</v>
      </c>
      <c r="L146" s="51">
        <f t="shared" si="61"/>
        <v>0</v>
      </c>
      <c r="M146" s="51">
        <v>0</v>
      </c>
      <c r="N146" s="52"/>
      <c r="O146" s="41">
        <v>0</v>
      </c>
      <c r="P146" s="50">
        <v>0</v>
      </c>
      <c r="Q146" s="50">
        <v>0</v>
      </c>
      <c r="R146" s="50">
        <v>0</v>
      </c>
      <c r="S146" s="41">
        <v>0</v>
      </c>
      <c r="T146" s="41">
        <v>0</v>
      </c>
      <c r="U146" s="41"/>
      <c r="V146" s="41">
        <v>0</v>
      </c>
      <c r="W146" s="50">
        <v>0</v>
      </c>
      <c r="X146" s="50">
        <v>0</v>
      </c>
      <c r="Y146" s="41">
        <f t="shared" si="70"/>
        <v>0</v>
      </c>
      <c r="Z146" s="41">
        <v>0</v>
      </c>
      <c r="AA146" s="41"/>
      <c r="AB146" s="41">
        <v>0</v>
      </c>
      <c r="AC146" s="41">
        <v>0</v>
      </c>
      <c r="AD146" s="50">
        <v>0</v>
      </c>
      <c r="AE146" s="41">
        <v>0</v>
      </c>
      <c r="AF146" s="41">
        <v>0</v>
      </c>
      <c r="AG146" s="41">
        <f t="shared" si="60"/>
        <v>0</v>
      </c>
      <c r="AH146" s="41">
        <v>0</v>
      </c>
      <c r="AI146" s="41"/>
      <c r="AJ146" s="41">
        <v>0</v>
      </c>
      <c r="AK146" s="50">
        <v>0</v>
      </c>
      <c r="AL146" s="41">
        <v>0</v>
      </c>
      <c r="AM146" s="50">
        <v>0</v>
      </c>
      <c r="AN146" s="41">
        <f t="shared" si="71"/>
        <v>0</v>
      </c>
      <c r="AO146" s="41">
        <v>0</v>
      </c>
      <c r="AP146" s="41"/>
      <c r="AQ146" s="53">
        <v>0</v>
      </c>
      <c r="AR146" s="54">
        <v>0</v>
      </c>
      <c r="AS146" s="54">
        <v>0</v>
      </c>
      <c r="AT146" s="53">
        <v>0</v>
      </c>
      <c r="AU146" s="41">
        <f t="shared" si="72"/>
        <v>0</v>
      </c>
      <c r="AV146" s="41">
        <v>0</v>
      </c>
      <c r="AW146" s="41"/>
      <c r="AX146" s="41">
        <v>0</v>
      </c>
      <c r="AY146" s="54">
        <v>2430</v>
      </c>
      <c r="AZ146" s="50">
        <v>0</v>
      </c>
      <c r="BA146" s="50">
        <v>0</v>
      </c>
      <c r="BB146" s="41">
        <v>0</v>
      </c>
      <c r="BC146" s="41">
        <f t="shared" si="74"/>
        <v>-2430</v>
      </c>
      <c r="BD146" s="41">
        <v>0</v>
      </c>
      <c r="BF146" s="41">
        <v>0</v>
      </c>
      <c r="BG146" s="50">
        <v>0</v>
      </c>
      <c r="BH146" s="41">
        <v>0</v>
      </c>
      <c r="BI146" s="50">
        <v>1543</v>
      </c>
      <c r="BJ146" s="41">
        <v>0</v>
      </c>
      <c r="BK146" s="41">
        <f t="shared" si="73"/>
        <v>-951</v>
      </c>
      <c r="BL146" s="41">
        <v>592</v>
      </c>
      <c r="BM146" s="55"/>
      <c r="BN146" s="41">
        <v>0</v>
      </c>
      <c r="BO146" s="50">
        <v>0</v>
      </c>
      <c r="BP146" s="50">
        <v>1123</v>
      </c>
      <c r="BQ146" s="41">
        <v>0</v>
      </c>
      <c r="BR146" s="41">
        <v>0</v>
      </c>
      <c r="BS146" s="41">
        <f t="shared" si="64"/>
        <v>-177</v>
      </c>
      <c r="BT146" s="41">
        <v>946</v>
      </c>
      <c r="BV146" s="41">
        <v>0</v>
      </c>
      <c r="BW146" s="50">
        <v>1569</v>
      </c>
      <c r="BX146" s="41">
        <f t="shared" si="67"/>
        <v>-874</v>
      </c>
      <c r="BY146" s="41">
        <v>695</v>
      </c>
      <c r="CA146" s="41">
        <v>0</v>
      </c>
      <c r="CB146" s="50">
        <v>2600</v>
      </c>
      <c r="CC146" s="41">
        <f t="shared" si="68"/>
        <v>-1952</v>
      </c>
      <c r="CD146" s="41">
        <v>648</v>
      </c>
      <c r="CF146" s="41">
        <v>0</v>
      </c>
      <c r="CG146" s="50">
        <v>-400</v>
      </c>
      <c r="CH146" s="41">
        <v>0</v>
      </c>
      <c r="CI146" s="41">
        <f t="shared" si="65"/>
        <v>-400</v>
      </c>
      <c r="CJ146" s="41">
        <v>0</v>
      </c>
      <c r="CK146" s="50">
        <v>0</v>
      </c>
      <c r="CL146" s="41">
        <f t="shared" si="62"/>
        <v>0</v>
      </c>
      <c r="CM146" s="41">
        <v>0</v>
      </c>
      <c r="CN146" s="50">
        <v>0</v>
      </c>
      <c r="CO146" s="41">
        <v>0</v>
      </c>
      <c r="CP146" s="41">
        <f t="shared" si="66"/>
        <v>0</v>
      </c>
      <c r="CQ146" s="41">
        <v>0</v>
      </c>
      <c r="CR146" s="50">
        <v>0</v>
      </c>
      <c r="CS146" s="41">
        <f t="shared" si="63"/>
        <v>0</v>
      </c>
    </row>
    <row r="147" spans="1:99">
      <c r="A147" s="39" t="s">
        <v>63</v>
      </c>
      <c r="B147" s="39" t="s">
        <v>134</v>
      </c>
      <c r="C147" s="39" t="s">
        <v>4</v>
      </c>
      <c r="D147" s="56">
        <v>97030001051</v>
      </c>
      <c r="E147" s="68" t="s">
        <v>154</v>
      </c>
      <c r="H147" s="51">
        <f>2267-30</f>
        <v>2237</v>
      </c>
      <c r="I147" s="49">
        <v>0</v>
      </c>
      <c r="J147" s="49">
        <v>100</v>
      </c>
      <c r="K147" s="51">
        <f t="shared" si="69"/>
        <v>2337</v>
      </c>
      <c r="L147" s="51">
        <f t="shared" si="61"/>
        <v>445</v>
      </c>
      <c r="M147" s="51">
        <v>2782</v>
      </c>
      <c r="N147" s="52"/>
      <c r="O147" s="41">
        <v>3273</v>
      </c>
      <c r="P147" s="50">
        <v>181</v>
      </c>
      <c r="Q147" s="50">
        <v>33</v>
      </c>
      <c r="R147" s="50">
        <v>1049</v>
      </c>
      <c r="S147" s="41">
        <v>-118</v>
      </c>
      <c r="T147" s="41">
        <v>4418</v>
      </c>
      <c r="U147" s="41"/>
      <c r="V147" s="41">
        <v>3652</v>
      </c>
      <c r="W147" s="50">
        <v>419</v>
      </c>
      <c r="X147" s="50">
        <v>50</v>
      </c>
      <c r="Y147" s="41">
        <f t="shared" si="70"/>
        <v>49</v>
      </c>
      <c r="Z147" s="41">
        <v>4170</v>
      </c>
      <c r="AA147" s="41"/>
      <c r="AB147" s="41">
        <v>2899</v>
      </c>
      <c r="AC147" s="41">
        <v>90</v>
      </c>
      <c r="AD147" s="50">
        <v>646</v>
      </c>
      <c r="AE147" s="41">
        <v>0</v>
      </c>
      <c r="AF147" s="41">
        <v>0</v>
      </c>
      <c r="AG147" s="41">
        <f t="shared" si="60"/>
        <v>-165</v>
      </c>
      <c r="AH147" s="41">
        <v>3470</v>
      </c>
      <c r="AI147" s="41"/>
      <c r="AJ147" s="41">
        <v>2547</v>
      </c>
      <c r="AK147" s="50">
        <v>182</v>
      </c>
      <c r="AL147" s="41">
        <v>13</v>
      </c>
      <c r="AM147" s="50">
        <v>331</v>
      </c>
      <c r="AN147" s="41">
        <f t="shared" si="71"/>
        <v>68</v>
      </c>
      <c r="AO147" s="41">
        <v>3141</v>
      </c>
      <c r="AP147" s="41"/>
      <c r="AQ147" s="53">
        <v>2899</v>
      </c>
      <c r="AR147" s="54">
        <v>146</v>
      </c>
      <c r="AS147" s="54">
        <v>980</v>
      </c>
      <c r="AT147" s="53">
        <v>0</v>
      </c>
      <c r="AU147" s="41">
        <f t="shared" si="72"/>
        <v>80</v>
      </c>
      <c r="AV147" s="41">
        <v>4105</v>
      </c>
      <c r="AW147" s="41"/>
      <c r="AX147" s="41">
        <v>3246</v>
      </c>
      <c r="AY147" s="54">
        <v>220</v>
      </c>
      <c r="AZ147" s="50">
        <v>275</v>
      </c>
      <c r="BA147" s="50">
        <v>408</v>
      </c>
      <c r="BB147" s="41">
        <v>0</v>
      </c>
      <c r="BC147" s="41">
        <f t="shared" si="74"/>
        <v>639</v>
      </c>
      <c r="BD147" s="41">
        <v>4788</v>
      </c>
      <c r="BF147" s="41">
        <v>3311</v>
      </c>
      <c r="BG147" s="50">
        <v>177</v>
      </c>
      <c r="BH147" s="41">
        <v>0</v>
      </c>
      <c r="BI147" s="50">
        <v>380</v>
      </c>
      <c r="BJ147" s="41">
        <v>-6</v>
      </c>
      <c r="BK147" s="41">
        <f t="shared" si="73"/>
        <v>201</v>
      </c>
      <c r="BL147" s="41">
        <v>4063</v>
      </c>
      <c r="BM147" s="55"/>
      <c r="BN147" s="41">
        <v>4050</v>
      </c>
      <c r="BO147" s="50">
        <v>649</v>
      </c>
      <c r="BP147" s="50">
        <v>189</v>
      </c>
      <c r="BQ147" s="41">
        <v>0</v>
      </c>
      <c r="BR147" s="41">
        <v>-33</v>
      </c>
      <c r="BS147" s="41">
        <f t="shared" si="64"/>
        <v>536</v>
      </c>
      <c r="BT147" s="41">
        <v>5391</v>
      </c>
      <c r="BV147" s="41">
        <v>4024</v>
      </c>
      <c r="BW147" s="50">
        <v>1262</v>
      </c>
      <c r="BX147" s="41">
        <f t="shared" si="67"/>
        <v>55</v>
      </c>
      <c r="BY147" s="41">
        <v>5341</v>
      </c>
      <c r="CA147" s="41">
        <v>4903</v>
      </c>
      <c r="CB147" s="50">
        <v>406</v>
      </c>
      <c r="CC147" s="41">
        <f t="shared" si="68"/>
        <v>-220</v>
      </c>
      <c r="CD147" s="41">
        <v>5089</v>
      </c>
      <c r="CF147" s="41">
        <v>4436</v>
      </c>
      <c r="CG147" s="50">
        <v>171</v>
      </c>
      <c r="CH147" s="41">
        <v>0</v>
      </c>
      <c r="CI147" s="41">
        <f t="shared" si="65"/>
        <v>4607</v>
      </c>
      <c r="CJ147" s="41">
        <v>4151</v>
      </c>
      <c r="CK147" s="50">
        <v>129</v>
      </c>
      <c r="CL147" s="41">
        <f t="shared" si="62"/>
        <v>4280</v>
      </c>
      <c r="CM147" s="41">
        <v>4417</v>
      </c>
      <c r="CN147" s="50">
        <v>250</v>
      </c>
      <c r="CO147" s="41">
        <v>17</v>
      </c>
      <c r="CP147" s="41">
        <f t="shared" si="66"/>
        <v>4684</v>
      </c>
      <c r="CQ147" s="41">
        <v>5245</v>
      </c>
      <c r="CR147" s="50">
        <v>174</v>
      </c>
      <c r="CS147" s="41">
        <f t="shared" si="63"/>
        <v>5419</v>
      </c>
      <c r="CU147" s="39" t="s">
        <v>516</v>
      </c>
    </row>
    <row r="148" spans="1:99">
      <c r="A148" s="39" t="s">
        <v>63</v>
      </c>
      <c r="B148" s="39" t="s">
        <v>155</v>
      </c>
      <c r="C148" s="39" t="s">
        <v>4</v>
      </c>
      <c r="D148" s="56"/>
      <c r="E148" s="72" t="s">
        <v>156</v>
      </c>
      <c r="H148" s="51">
        <v>0</v>
      </c>
      <c r="I148" s="49">
        <v>0</v>
      </c>
      <c r="J148" s="49">
        <v>0</v>
      </c>
      <c r="K148" s="51">
        <f t="shared" si="69"/>
        <v>0</v>
      </c>
      <c r="L148" s="51">
        <f t="shared" si="61"/>
        <v>0</v>
      </c>
      <c r="M148" s="51">
        <v>0</v>
      </c>
      <c r="N148" s="52"/>
      <c r="O148" s="41">
        <v>0</v>
      </c>
      <c r="P148" s="50">
        <v>0</v>
      </c>
      <c r="Q148" s="50">
        <v>0</v>
      </c>
      <c r="R148" s="50">
        <v>0</v>
      </c>
      <c r="S148" s="41">
        <v>0</v>
      </c>
      <c r="T148" s="41">
        <v>0</v>
      </c>
      <c r="U148" s="41"/>
      <c r="V148" s="41">
        <v>0</v>
      </c>
      <c r="W148" s="50">
        <v>0</v>
      </c>
      <c r="X148" s="50">
        <v>0</v>
      </c>
      <c r="Y148" s="41">
        <f t="shared" si="70"/>
        <v>0</v>
      </c>
      <c r="Z148" s="41">
        <v>0</v>
      </c>
      <c r="AA148" s="41"/>
      <c r="AB148" s="41">
        <v>0</v>
      </c>
      <c r="AC148" s="41">
        <v>0</v>
      </c>
      <c r="AD148" s="50">
        <v>0</v>
      </c>
      <c r="AE148" s="41">
        <v>0</v>
      </c>
      <c r="AF148" s="41">
        <v>0</v>
      </c>
      <c r="AG148" s="41">
        <f t="shared" si="60"/>
        <v>0</v>
      </c>
      <c r="AH148" s="41">
        <v>0</v>
      </c>
      <c r="AI148" s="41"/>
      <c r="AJ148" s="41">
        <v>0</v>
      </c>
      <c r="AK148" s="50">
        <v>0</v>
      </c>
      <c r="AL148" s="41">
        <v>0</v>
      </c>
      <c r="AM148" s="50">
        <v>0</v>
      </c>
      <c r="AN148" s="41">
        <f t="shared" si="71"/>
        <v>0</v>
      </c>
      <c r="AO148" s="41">
        <v>0</v>
      </c>
      <c r="AP148" s="41"/>
      <c r="AQ148" s="53">
        <v>0</v>
      </c>
      <c r="AR148" s="54">
        <v>0</v>
      </c>
      <c r="AS148" s="54">
        <v>0</v>
      </c>
      <c r="AT148" s="53">
        <v>0</v>
      </c>
      <c r="AU148" s="41">
        <f t="shared" si="72"/>
        <v>0</v>
      </c>
      <c r="AV148" s="41">
        <v>0</v>
      </c>
      <c r="AW148" s="41"/>
      <c r="AX148" s="41">
        <v>0</v>
      </c>
      <c r="AY148" s="54">
        <v>0</v>
      </c>
      <c r="AZ148" s="50">
        <v>0</v>
      </c>
      <c r="BA148" s="50">
        <v>0</v>
      </c>
      <c r="BB148" s="41">
        <v>0</v>
      </c>
      <c r="BC148" s="41">
        <f t="shared" si="74"/>
        <v>0</v>
      </c>
      <c r="BD148" s="41">
        <v>0</v>
      </c>
      <c r="BF148" s="41">
        <v>0</v>
      </c>
      <c r="BG148" s="50">
        <v>0</v>
      </c>
      <c r="BH148" s="41">
        <v>0</v>
      </c>
      <c r="BI148" s="50">
        <v>0</v>
      </c>
      <c r="BJ148" s="41">
        <v>0</v>
      </c>
      <c r="BK148" s="41">
        <f t="shared" si="73"/>
        <v>0</v>
      </c>
      <c r="BL148" s="41">
        <v>0</v>
      </c>
      <c r="BM148" s="55"/>
      <c r="BN148" s="41">
        <v>0</v>
      </c>
      <c r="BO148" s="50">
        <v>0</v>
      </c>
      <c r="BP148" s="50">
        <v>0</v>
      </c>
      <c r="BQ148" s="41">
        <v>0</v>
      </c>
      <c r="BR148" s="41">
        <v>0</v>
      </c>
      <c r="BS148" s="41">
        <f t="shared" si="64"/>
        <v>0</v>
      </c>
      <c r="BT148" s="41">
        <v>0</v>
      </c>
      <c r="BV148" s="41">
        <v>0</v>
      </c>
      <c r="BW148" s="50">
        <v>0</v>
      </c>
      <c r="BX148" s="41">
        <f t="shared" si="67"/>
        <v>0</v>
      </c>
      <c r="BY148" s="41">
        <v>0</v>
      </c>
      <c r="CA148" s="41">
        <v>0</v>
      </c>
      <c r="CB148" s="50">
        <v>0</v>
      </c>
      <c r="CC148" s="41">
        <f t="shared" si="68"/>
        <v>0</v>
      </c>
      <c r="CD148" s="41">
        <v>0</v>
      </c>
      <c r="CF148" s="41">
        <v>0</v>
      </c>
      <c r="CG148" s="50">
        <v>0</v>
      </c>
      <c r="CH148" s="41">
        <v>0</v>
      </c>
      <c r="CI148" s="41">
        <f t="shared" si="65"/>
        <v>0</v>
      </c>
      <c r="CJ148" s="41">
        <v>0</v>
      </c>
      <c r="CK148" s="50">
        <v>0</v>
      </c>
      <c r="CL148" s="41">
        <f t="shared" si="62"/>
        <v>0</v>
      </c>
      <c r="CM148" s="41">
        <v>0</v>
      </c>
      <c r="CN148" s="50">
        <v>0</v>
      </c>
      <c r="CO148" s="41">
        <v>0</v>
      </c>
      <c r="CP148" s="41">
        <f t="shared" si="66"/>
        <v>0</v>
      </c>
      <c r="CQ148" s="41">
        <v>0</v>
      </c>
      <c r="CR148" s="50">
        <v>0</v>
      </c>
      <c r="CS148" s="41">
        <f t="shared" si="63"/>
        <v>0</v>
      </c>
      <c r="CT148" s="60"/>
    </row>
    <row r="149" spans="1:99">
      <c r="A149" s="39" t="s">
        <v>63</v>
      </c>
      <c r="B149" s="39" t="s">
        <v>134</v>
      </c>
      <c r="C149" s="39" t="s">
        <v>4</v>
      </c>
      <c r="D149" s="56">
        <v>97035001051</v>
      </c>
      <c r="E149" s="68" t="s">
        <v>157</v>
      </c>
      <c r="H149" s="51">
        <v>694</v>
      </c>
      <c r="I149" s="49">
        <v>0</v>
      </c>
      <c r="J149" s="49">
        <v>0</v>
      </c>
      <c r="K149" s="51">
        <f t="shared" si="69"/>
        <v>694</v>
      </c>
      <c r="L149" s="51">
        <f t="shared" si="61"/>
        <v>3</v>
      </c>
      <c r="M149" s="51">
        <v>697</v>
      </c>
      <c r="N149" s="52"/>
      <c r="O149" s="41">
        <v>96</v>
      </c>
      <c r="P149" s="50">
        <v>0</v>
      </c>
      <c r="Q149" s="50">
        <v>0</v>
      </c>
      <c r="R149" s="50">
        <v>0</v>
      </c>
      <c r="S149" s="41">
        <v>6</v>
      </c>
      <c r="T149" s="41">
        <v>102</v>
      </c>
      <c r="U149" s="41"/>
      <c r="V149" s="41">
        <v>397</v>
      </c>
      <c r="W149" s="50">
        <v>0</v>
      </c>
      <c r="X149" s="50">
        <v>50</v>
      </c>
      <c r="Y149" s="41">
        <f t="shared" si="70"/>
        <v>0</v>
      </c>
      <c r="Z149" s="41">
        <v>447</v>
      </c>
      <c r="AA149" s="41"/>
      <c r="AB149" s="41">
        <v>349</v>
      </c>
      <c r="AC149" s="41">
        <v>0</v>
      </c>
      <c r="AD149" s="50">
        <v>0</v>
      </c>
      <c r="AE149" s="41">
        <v>0</v>
      </c>
      <c r="AF149" s="41">
        <v>0</v>
      </c>
      <c r="AG149" s="41">
        <f t="shared" si="60"/>
        <v>1</v>
      </c>
      <c r="AH149" s="41">
        <v>350</v>
      </c>
      <c r="AI149" s="41"/>
      <c r="AJ149" s="41">
        <v>178</v>
      </c>
      <c r="AK149" s="50">
        <v>1000</v>
      </c>
      <c r="AL149" s="41">
        <v>16</v>
      </c>
      <c r="AM149" s="50">
        <v>0</v>
      </c>
      <c r="AN149" s="41">
        <f t="shared" si="71"/>
        <v>18</v>
      </c>
      <c r="AO149" s="41">
        <v>1212</v>
      </c>
      <c r="AP149" s="41"/>
      <c r="AQ149" s="53">
        <v>289</v>
      </c>
      <c r="AR149" s="54">
        <v>0</v>
      </c>
      <c r="AS149" s="54">
        <v>1000</v>
      </c>
      <c r="AT149" s="53">
        <v>0</v>
      </c>
      <c r="AU149" s="41">
        <f t="shared" si="72"/>
        <v>55</v>
      </c>
      <c r="AV149" s="41">
        <v>1344</v>
      </c>
      <c r="AW149" s="41"/>
      <c r="AX149" s="41">
        <v>973</v>
      </c>
      <c r="AY149" s="54">
        <v>0</v>
      </c>
      <c r="AZ149" s="50">
        <v>0</v>
      </c>
      <c r="BA149" s="50">
        <v>825</v>
      </c>
      <c r="BB149" s="41">
        <v>0</v>
      </c>
      <c r="BC149" s="41">
        <f t="shared" si="74"/>
        <v>-55</v>
      </c>
      <c r="BD149" s="41">
        <v>1743</v>
      </c>
      <c r="BF149" s="41">
        <v>748</v>
      </c>
      <c r="BG149" s="50">
        <v>0</v>
      </c>
      <c r="BH149" s="41">
        <v>0</v>
      </c>
      <c r="BI149" s="50">
        <v>500</v>
      </c>
      <c r="BJ149" s="41">
        <v>0</v>
      </c>
      <c r="BK149" s="41">
        <f t="shared" si="73"/>
        <v>-7</v>
      </c>
      <c r="BL149" s="41">
        <v>1241</v>
      </c>
      <c r="BM149" s="55"/>
      <c r="BN149" s="41">
        <v>0</v>
      </c>
      <c r="BO149" s="50">
        <v>950</v>
      </c>
      <c r="BP149" s="50">
        <v>0</v>
      </c>
      <c r="BQ149" s="41">
        <v>0</v>
      </c>
      <c r="BR149" s="41">
        <v>0</v>
      </c>
      <c r="BS149" s="41">
        <f t="shared" si="64"/>
        <v>0</v>
      </c>
      <c r="BT149" s="41">
        <v>950</v>
      </c>
      <c r="BV149" s="41">
        <v>0</v>
      </c>
      <c r="BW149" s="50">
        <v>850</v>
      </c>
      <c r="BX149" s="41">
        <f t="shared" si="67"/>
        <v>5</v>
      </c>
      <c r="BY149" s="41">
        <v>855</v>
      </c>
      <c r="CA149" s="41">
        <v>0</v>
      </c>
      <c r="CB149" s="50">
        <v>1000</v>
      </c>
      <c r="CC149" s="41">
        <f t="shared" si="68"/>
        <v>0</v>
      </c>
      <c r="CD149" s="41">
        <v>1000</v>
      </c>
      <c r="CF149" s="41">
        <v>0</v>
      </c>
      <c r="CG149" s="50">
        <v>1483</v>
      </c>
      <c r="CH149" s="41">
        <v>0</v>
      </c>
      <c r="CI149" s="41">
        <f t="shared" si="65"/>
        <v>1483</v>
      </c>
      <c r="CJ149" s="41">
        <v>0</v>
      </c>
      <c r="CK149" s="50">
        <v>1000</v>
      </c>
      <c r="CL149" s="41">
        <f t="shared" si="62"/>
        <v>1000</v>
      </c>
      <c r="CM149" s="41">
        <v>0</v>
      </c>
      <c r="CN149" s="50">
        <v>1200</v>
      </c>
      <c r="CO149" s="41">
        <v>0</v>
      </c>
      <c r="CP149" s="41">
        <f t="shared" si="66"/>
        <v>1200</v>
      </c>
      <c r="CQ149" s="41">
        <v>0</v>
      </c>
      <c r="CR149" s="50">
        <v>1000</v>
      </c>
      <c r="CS149" s="41">
        <f t="shared" si="63"/>
        <v>1000</v>
      </c>
      <c r="CU149" s="39" t="s">
        <v>517</v>
      </c>
    </row>
    <row r="150" spans="1:99">
      <c r="A150" s="39" t="s">
        <v>63</v>
      </c>
      <c r="B150" s="39" t="s">
        <v>134</v>
      </c>
      <c r="C150" s="39" t="s">
        <v>4</v>
      </c>
      <c r="D150" s="56">
        <v>97036001051</v>
      </c>
      <c r="E150" s="68" t="s">
        <v>158</v>
      </c>
      <c r="H150" s="51">
        <v>40</v>
      </c>
      <c r="I150" s="49">
        <v>0</v>
      </c>
      <c r="J150" s="49">
        <v>0</v>
      </c>
      <c r="K150" s="51">
        <f t="shared" si="69"/>
        <v>40</v>
      </c>
      <c r="L150" s="51">
        <f t="shared" si="61"/>
        <v>0</v>
      </c>
      <c r="M150" s="51">
        <v>40</v>
      </c>
      <c r="N150" s="52"/>
      <c r="O150" s="41">
        <v>72</v>
      </c>
      <c r="P150" s="50">
        <v>0</v>
      </c>
      <c r="Q150" s="50">
        <v>0</v>
      </c>
      <c r="R150" s="50">
        <v>0</v>
      </c>
      <c r="S150" s="41">
        <v>-1</v>
      </c>
      <c r="T150" s="41">
        <v>71</v>
      </c>
      <c r="U150" s="41"/>
      <c r="V150" s="41">
        <v>77</v>
      </c>
      <c r="W150" s="50">
        <v>0</v>
      </c>
      <c r="X150" s="50">
        <v>0</v>
      </c>
      <c r="Y150" s="41">
        <f t="shared" si="70"/>
        <v>0</v>
      </c>
      <c r="Z150" s="41">
        <v>77</v>
      </c>
      <c r="AA150" s="41"/>
      <c r="AB150" s="41">
        <v>43</v>
      </c>
      <c r="AC150" s="41">
        <v>0</v>
      </c>
      <c r="AD150" s="50">
        <v>0</v>
      </c>
      <c r="AE150" s="41">
        <v>0</v>
      </c>
      <c r="AF150" s="41">
        <v>0</v>
      </c>
      <c r="AG150" s="41">
        <f t="shared" ref="AG150:AG212" si="75">AH150-SUM(AB150:AF150)</f>
        <v>0</v>
      </c>
      <c r="AH150" s="41">
        <v>43</v>
      </c>
      <c r="AI150" s="41"/>
      <c r="AJ150" s="41">
        <v>57</v>
      </c>
      <c r="AK150" s="50">
        <v>0</v>
      </c>
      <c r="AL150" s="41">
        <v>0</v>
      </c>
      <c r="AM150" s="50">
        <v>0</v>
      </c>
      <c r="AN150" s="41">
        <f t="shared" si="71"/>
        <v>0</v>
      </c>
      <c r="AO150" s="41">
        <v>57</v>
      </c>
      <c r="AP150" s="41"/>
      <c r="AQ150" s="53">
        <v>63</v>
      </c>
      <c r="AR150" s="54">
        <v>0</v>
      </c>
      <c r="AS150" s="54">
        <v>0</v>
      </c>
      <c r="AT150" s="53">
        <v>0</v>
      </c>
      <c r="AU150" s="41">
        <f t="shared" si="72"/>
        <v>0</v>
      </c>
      <c r="AV150" s="41">
        <v>63</v>
      </c>
      <c r="AW150" s="41"/>
      <c r="AX150" s="41">
        <v>94</v>
      </c>
      <c r="AY150" s="54">
        <v>0</v>
      </c>
      <c r="AZ150" s="50">
        <v>0</v>
      </c>
      <c r="BA150" s="50">
        <v>0</v>
      </c>
      <c r="BB150" s="41">
        <v>0</v>
      </c>
      <c r="BC150" s="41">
        <f t="shared" si="74"/>
        <v>0</v>
      </c>
      <c r="BD150" s="41">
        <v>94</v>
      </c>
      <c r="BF150" s="41">
        <v>100</v>
      </c>
      <c r="BG150" s="50">
        <v>0</v>
      </c>
      <c r="BH150" s="41">
        <v>0</v>
      </c>
      <c r="BI150" s="50">
        <v>0</v>
      </c>
      <c r="BJ150" s="41">
        <v>0</v>
      </c>
      <c r="BK150" s="41">
        <f t="shared" si="73"/>
        <v>0</v>
      </c>
      <c r="BL150" s="41">
        <v>100</v>
      </c>
      <c r="BM150" s="55"/>
      <c r="BN150" s="41">
        <v>150</v>
      </c>
      <c r="BO150" s="50">
        <v>0</v>
      </c>
      <c r="BP150" s="50">
        <v>0</v>
      </c>
      <c r="BQ150" s="41">
        <v>0</v>
      </c>
      <c r="BR150" s="41">
        <v>0</v>
      </c>
      <c r="BS150" s="41">
        <f t="shared" si="64"/>
        <v>1</v>
      </c>
      <c r="BT150" s="41">
        <v>151</v>
      </c>
      <c r="BV150" s="41">
        <v>34</v>
      </c>
      <c r="BW150" s="50">
        <v>0</v>
      </c>
      <c r="BX150" s="41">
        <f t="shared" si="67"/>
        <v>0</v>
      </c>
      <c r="BY150" s="41">
        <v>34</v>
      </c>
      <c r="CA150" s="41">
        <v>170</v>
      </c>
      <c r="CB150" s="50">
        <v>0</v>
      </c>
      <c r="CC150" s="41">
        <f t="shared" si="68"/>
        <v>5</v>
      </c>
      <c r="CD150" s="41">
        <v>175</v>
      </c>
      <c r="CF150" s="41">
        <v>199</v>
      </c>
      <c r="CG150" s="50">
        <v>0</v>
      </c>
      <c r="CH150" s="41">
        <v>0</v>
      </c>
      <c r="CI150" s="41">
        <f t="shared" si="65"/>
        <v>199</v>
      </c>
      <c r="CJ150" s="41">
        <v>60</v>
      </c>
      <c r="CK150" s="50">
        <v>0</v>
      </c>
      <c r="CL150" s="41">
        <f t="shared" si="62"/>
        <v>60</v>
      </c>
      <c r="CM150" s="41">
        <v>52</v>
      </c>
      <c r="CN150" s="50">
        <v>0</v>
      </c>
      <c r="CO150" s="41">
        <v>0</v>
      </c>
      <c r="CP150" s="41">
        <f t="shared" si="66"/>
        <v>52</v>
      </c>
      <c r="CQ150" s="41">
        <v>77</v>
      </c>
      <c r="CR150" s="50">
        <v>0</v>
      </c>
      <c r="CS150" s="41">
        <f t="shared" si="63"/>
        <v>77</v>
      </c>
      <c r="CU150" s="39" t="s">
        <v>518</v>
      </c>
    </row>
    <row r="151" spans="1:99">
      <c r="A151" s="39" t="s">
        <v>63</v>
      </c>
      <c r="B151" s="39" t="s">
        <v>134</v>
      </c>
      <c r="C151" s="39" t="s">
        <v>4</v>
      </c>
      <c r="D151" s="57">
        <v>97039001051</v>
      </c>
      <c r="E151" s="68" t="s">
        <v>159</v>
      </c>
      <c r="H151" s="51">
        <v>0</v>
      </c>
      <c r="I151" s="49">
        <v>0</v>
      </c>
      <c r="J151" s="49">
        <v>0</v>
      </c>
      <c r="K151" s="51">
        <f t="shared" si="69"/>
        <v>0</v>
      </c>
      <c r="L151" s="51">
        <f t="shared" si="61"/>
        <v>1114</v>
      </c>
      <c r="M151" s="51">
        <v>1114</v>
      </c>
      <c r="N151" s="52"/>
      <c r="O151" s="41">
        <v>0</v>
      </c>
      <c r="P151" s="50">
        <v>0</v>
      </c>
      <c r="Q151" s="50">
        <v>0</v>
      </c>
      <c r="R151" s="50">
        <v>0</v>
      </c>
      <c r="S151" s="41">
        <v>1449</v>
      </c>
      <c r="T151" s="41">
        <v>1449</v>
      </c>
      <c r="U151" s="41"/>
      <c r="V151" s="41">
        <v>1500</v>
      </c>
      <c r="W151" s="50">
        <v>0</v>
      </c>
      <c r="X151" s="50">
        <v>0</v>
      </c>
      <c r="Y151" s="41">
        <f t="shared" si="70"/>
        <v>0</v>
      </c>
      <c r="Z151" s="41">
        <v>1500</v>
      </c>
      <c r="AA151" s="41"/>
      <c r="AB151" s="41">
        <v>1373</v>
      </c>
      <c r="AC151" s="41">
        <v>0</v>
      </c>
      <c r="AD151" s="50">
        <v>0</v>
      </c>
      <c r="AE151" s="41">
        <v>0</v>
      </c>
      <c r="AF151" s="41">
        <v>0</v>
      </c>
      <c r="AG151" s="41">
        <f t="shared" si="75"/>
        <v>-1</v>
      </c>
      <c r="AH151" s="41">
        <v>1372</v>
      </c>
      <c r="AI151" s="41"/>
      <c r="AJ151" s="41">
        <v>1387</v>
      </c>
      <c r="AK151" s="50">
        <v>0</v>
      </c>
      <c r="AL151" s="41">
        <v>0</v>
      </c>
      <c r="AM151" s="50">
        <v>0</v>
      </c>
      <c r="AN151" s="41">
        <f t="shared" si="71"/>
        <v>0</v>
      </c>
      <c r="AO151" s="41">
        <v>1387</v>
      </c>
      <c r="AP151" s="41"/>
      <c r="AQ151" s="53">
        <v>1272</v>
      </c>
      <c r="AR151" s="54">
        <v>0</v>
      </c>
      <c r="AS151" s="54">
        <v>0</v>
      </c>
      <c r="AT151" s="53">
        <v>0</v>
      </c>
      <c r="AU151" s="41">
        <f t="shared" si="72"/>
        <v>0</v>
      </c>
      <c r="AV151" s="41">
        <v>1272</v>
      </c>
      <c r="AW151" s="41"/>
      <c r="AX151" s="41">
        <v>1513</v>
      </c>
      <c r="AY151" s="54">
        <v>0</v>
      </c>
      <c r="AZ151" s="50">
        <v>0</v>
      </c>
      <c r="BA151" s="50">
        <v>0</v>
      </c>
      <c r="BB151" s="41">
        <v>0</v>
      </c>
      <c r="BC151" s="41">
        <f t="shared" si="74"/>
        <v>0</v>
      </c>
      <c r="BD151" s="41">
        <v>1513</v>
      </c>
      <c r="BF151" s="41">
        <v>1506</v>
      </c>
      <c r="BG151" s="50">
        <v>0</v>
      </c>
      <c r="BH151" s="41">
        <v>0</v>
      </c>
      <c r="BI151" s="50">
        <v>0</v>
      </c>
      <c r="BJ151" s="41">
        <v>0</v>
      </c>
      <c r="BK151" s="41">
        <f t="shared" si="73"/>
        <v>0</v>
      </c>
      <c r="BL151" s="41">
        <v>1506</v>
      </c>
      <c r="BM151" s="55"/>
      <c r="BN151" s="41">
        <v>1561</v>
      </c>
      <c r="BO151" s="50">
        <v>0</v>
      </c>
      <c r="BP151" s="50">
        <v>0</v>
      </c>
      <c r="BQ151" s="41">
        <v>0</v>
      </c>
      <c r="BR151" s="41">
        <v>0</v>
      </c>
      <c r="BS151" s="41">
        <f t="shared" si="64"/>
        <v>0</v>
      </c>
      <c r="BT151" s="41">
        <v>1561</v>
      </c>
      <c r="BV151" s="41">
        <v>1467</v>
      </c>
      <c r="BW151" s="50">
        <v>0</v>
      </c>
      <c r="BX151" s="41">
        <f t="shared" si="67"/>
        <v>0</v>
      </c>
      <c r="BY151" s="41">
        <v>1467</v>
      </c>
      <c r="CA151" s="41">
        <v>1554</v>
      </c>
      <c r="CB151" s="50">
        <v>0</v>
      </c>
      <c r="CC151" s="41">
        <f t="shared" si="68"/>
        <v>-98</v>
      </c>
      <c r="CD151" s="41">
        <v>1456</v>
      </c>
      <c r="CF151" s="41">
        <v>1300</v>
      </c>
      <c r="CG151" s="50">
        <v>0</v>
      </c>
      <c r="CH151" s="41">
        <v>0</v>
      </c>
      <c r="CI151" s="41">
        <f t="shared" si="65"/>
        <v>1300</v>
      </c>
      <c r="CJ151" s="41">
        <v>1004</v>
      </c>
      <c r="CK151" s="50">
        <v>0</v>
      </c>
      <c r="CL151" s="41">
        <f t="shared" ref="CL151:CL182" si="76">SUM(CJ151:CK151)</f>
        <v>1004</v>
      </c>
      <c r="CM151" s="41">
        <v>802</v>
      </c>
      <c r="CN151" s="50">
        <v>0</v>
      </c>
      <c r="CO151" s="41">
        <v>0</v>
      </c>
      <c r="CP151" s="41">
        <f t="shared" si="66"/>
        <v>802</v>
      </c>
      <c r="CQ151" s="41">
        <v>699</v>
      </c>
      <c r="CR151" s="50">
        <v>0</v>
      </c>
      <c r="CS151" s="41">
        <f t="shared" si="63"/>
        <v>699</v>
      </c>
      <c r="CU151" s="44" t="s">
        <v>519</v>
      </c>
    </row>
    <row r="152" spans="1:99">
      <c r="A152" s="39" t="s">
        <v>63</v>
      </c>
      <c r="B152" s="39" t="s">
        <v>134</v>
      </c>
      <c r="C152" s="39" t="s">
        <v>4</v>
      </c>
      <c r="D152" s="56"/>
      <c r="E152" s="68" t="s">
        <v>160</v>
      </c>
      <c r="H152" s="51">
        <v>-126</v>
      </c>
      <c r="I152" s="49">
        <v>0</v>
      </c>
      <c r="J152" s="49">
        <v>0</v>
      </c>
      <c r="K152" s="51">
        <f t="shared" si="69"/>
        <v>-126</v>
      </c>
      <c r="L152" s="51">
        <f t="shared" si="61"/>
        <v>126</v>
      </c>
      <c r="M152" s="51">
        <v>0</v>
      </c>
      <c r="N152" s="52"/>
      <c r="O152" s="41">
        <v>0</v>
      </c>
      <c r="P152" s="50">
        <v>0</v>
      </c>
      <c r="Q152" s="50">
        <v>0</v>
      </c>
      <c r="R152" s="50">
        <v>0</v>
      </c>
      <c r="S152" s="41">
        <v>0</v>
      </c>
      <c r="T152" s="41">
        <v>0</v>
      </c>
      <c r="U152" s="41"/>
      <c r="V152" s="41">
        <v>0</v>
      </c>
      <c r="W152" s="50">
        <v>0</v>
      </c>
      <c r="X152" s="50">
        <v>0</v>
      </c>
      <c r="Y152" s="41">
        <f t="shared" si="70"/>
        <v>0</v>
      </c>
      <c r="Z152" s="41">
        <v>0</v>
      </c>
      <c r="AA152" s="41"/>
      <c r="AB152" s="41">
        <v>0</v>
      </c>
      <c r="AC152" s="41">
        <v>0</v>
      </c>
      <c r="AD152" s="50">
        <v>0</v>
      </c>
      <c r="AE152" s="41">
        <v>0</v>
      </c>
      <c r="AF152" s="41">
        <v>0</v>
      </c>
      <c r="AG152" s="41">
        <f t="shared" si="75"/>
        <v>0</v>
      </c>
      <c r="AH152" s="41">
        <v>0</v>
      </c>
      <c r="AI152" s="41"/>
      <c r="AJ152" s="41">
        <v>0</v>
      </c>
      <c r="AK152" s="50">
        <v>0</v>
      </c>
      <c r="AL152" s="41">
        <v>0</v>
      </c>
      <c r="AM152" s="50">
        <v>0</v>
      </c>
      <c r="AN152" s="41">
        <f t="shared" si="71"/>
        <v>0</v>
      </c>
      <c r="AO152" s="41">
        <v>0</v>
      </c>
      <c r="AP152" s="41"/>
      <c r="AQ152" s="53">
        <v>0</v>
      </c>
      <c r="AR152" s="54">
        <v>0</v>
      </c>
      <c r="AS152" s="54">
        <v>0</v>
      </c>
      <c r="AT152" s="53">
        <v>0</v>
      </c>
      <c r="AU152" s="41">
        <f t="shared" si="72"/>
        <v>0</v>
      </c>
      <c r="AV152" s="41">
        <v>0</v>
      </c>
      <c r="AW152" s="41"/>
      <c r="AX152" s="41">
        <v>0</v>
      </c>
      <c r="AY152" s="54">
        <v>0</v>
      </c>
      <c r="AZ152" s="50">
        <v>0</v>
      </c>
      <c r="BA152" s="50">
        <v>0</v>
      </c>
      <c r="BB152" s="41">
        <v>0</v>
      </c>
      <c r="BC152" s="41">
        <f t="shared" si="74"/>
        <v>0</v>
      </c>
      <c r="BD152" s="41">
        <v>0</v>
      </c>
      <c r="BF152" s="41">
        <v>0</v>
      </c>
      <c r="BG152" s="50">
        <v>0</v>
      </c>
      <c r="BH152" s="41">
        <v>0</v>
      </c>
      <c r="BI152" s="50">
        <v>0</v>
      </c>
      <c r="BJ152" s="41">
        <v>0</v>
      </c>
      <c r="BK152" s="41">
        <f t="shared" si="73"/>
        <v>0</v>
      </c>
      <c r="BL152" s="41">
        <v>0</v>
      </c>
      <c r="BM152" s="55"/>
      <c r="BN152" s="41">
        <v>0</v>
      </c>
      <c r="BO152" s="50">
        <v>0</v>
      </c>
      <c r="BP152" s="50">
        <v>0</v>
      </c>
      <c r="BQ152" s="41">
        <v>0</v>
      </c>
      <c r="BR152" s="41">
        <v>0</v>
      </c>
      <c r="BS152" s="41">
        <f t="shared" si="64"/>
        <v>0</v>
      </c>
      <c r="BT152" s="41">
        <v>0</v>
      </c>
      <c r="BV152" s="41">
        <v>0</v>
      </c>
      <c r="BW152" s="50">
        <v>0</v>
      </c>
      <c r="BX152" s="41">
        <f t="shared" si="67"/>
        <v>0</v>
      </c>
      <c r="BY152" s="41">
        <v>0</v>
      </c>
      <c r="CA152" s="41">
        <v>0</v>
      </c>
      <c r="CB152" s="50">
        <v>0</v>
      </c>
      <c r="CC152" s="41">
        <f t="shared" si="68"/>
        <v>0</v>
      </c>
      <c r="CD152" s="41">
        <v>0</v>
      </c>
      <c r="CF152" s="41">
        <v>0</v>
      </c>
      <c r="CG152" s="50">
        <v>0</v>
      </c>
      <c r="CH152" s="41">
        <v>0</v>
      </c>
      <c r="CI152" s="41">
        <f t="shared" si="65"/>
        <v>0</v>
      </c>
      <c r="CJ152" s="41">
        <v>0</v>
      </c>
      <c r="CK152" s="50">
        <v>0</v>
      </c>
      <c r="CL152" s="41">
        <f t="shared" si="76"/>
        <v>0</v>
      </c>
      <c r="CM152" s="41">
        <v>0</v>
      </c>
      <c r="CN152" s="50">
        <v>0</v>
      </c>
      <c r="CO152" s="41">
        <v>0</v>
      </c>
      <c r="CP152" s="41">
        <f t="shared" si="66"/>
        <v>0</v>
      </c>
      <c r="CQ152" s="41">
        <v>0</v>
      </c>
      <c r="CR152" s="50">
        <v>0</v>
      </c>
      <c r="CS152" s="41">
        <f t="shared" si="63"/>
        <v>0</v>
      </c>
    </row>
    <row r="153" spans="1:99">
      <c r="A153" s="39" t="s">
        <v>63</v>
      </c>
      <c r="B153" s="39" t="s">
        <v>134</v>
      </c>
      <c r="C153" s="39" t="s">
        <v>4</v>
      </c>
      <c r="D153" s="56"/>
      <c r="E153" s="68" t="s">
        <v>161</v>
      </c>
      <c r="H153" s="51">
        <v>0</v>
      </c>
      <c r="I153" s="49">
        <v>0</v>
      </c>
      <c r="J153" s="49">
        <v>0</v>
      </c>
      <c r="K153" s="51">
        <f t="shared" si="69"/>
        <v>0</v>
      </c>
      <c r="L153" s="51">
        <f t="shared" si="61"/>
        <v>0</v>
      </c>
      <c r="M153" s="51">
        <v>0</v>
      </c>
      <c r="N153" s="52"/>
      <c r="O153" s="41">
        <v>0</v>
      </c>
      <c r="P153" s="50">
        <v>0</v>
      </c>
      <c r="Q153" s="50">
        <v>0</v>
      </c>
      <c r="R153" s="50">
        <v>0</v>
      </c>
      <c r="S153" s="41">
        <v>0</v>
      </c>
      <c r="T153" s="41">
        <v>0</v>
      </c>
      <c r="U153" s="41"/>
      <c r="V153" s="41">
        <v>0</v>
      </c>
      <c r="W153" s="50">
        <v>0</v>
      </c>
      <c r="X153" s="50">
        <v>0</v>
      </c>
      <c r="Y153" s="41">
        <f t="shared" si="70"/>
        <v>0</v>
      </c>
      <c r="Z153" s="41">
        <v>0</v>
      </c>
      <c r="AA153" s="41"/>
      <c r="AB153" s="41">
        <v>0</v>
      </c>
      <c r="AC153" s="41">
        <v>0</v>
      </c>
      <c r="AD153" s="50">
        <v>0</v>
      </c>
      <c r="AE153" s="41">
        <v>0</v>
      </c>
      <c r="AF153" s="41">
        <v>0</v>
      </c>
      <c r="AG153" s="41">
        <f t="shared" si="75"/>
        <v>0</v>
      </c>
      <c r="AH153" s="41">
        <v>0</v>
      </c>
      <c r="AI153" s="41"/>
      <c r="AJ153" s="41">
        <v>0</v>
      </c>
      <c r="AK153" s="50">
        <v>0</v>
      </c>
      <c r="AL153" s="41">
        <v>0</v>
      </c>
      <c r="AM153" s="50">
        <v>0</v>
      </c>
      <c r="AN153" s="41">
        <f t="shared" si="71"/>
        <v>0</v>
      </c>
      <c r="AO153" s="41">
        <v>0</v>
      </c>
      <c r="AP153" s="41"/>
      <c r="AQ153" s="53">
        <v>0</v>
      </c>
      <c r="AR153" s="54">
        <v>0</v>
      </c>
      <c r="AS153" s="54">
        <v>0</v>
      </c>
      <c r="AT153" s="53">
        <v>0</v>
      </c>
      <c r="AU153" s="41">
        <f t="shared" si="72"/>
        <v>0</v>
      </c>
      <c r="AV153" s="41">
        <v>0</v>
      </c>
      <c r="AW153" s="41"/>
      <c r="AX153" s="41">
        <v>0</v>
      </c>
      <c r="AY153" s="54">
        <v>0</v>
      </c>
      <c r="AZ153" s="50">
        <v>0</v>
      </c>
      <c r="BA153" s="50">
        <v>-3296</v>
      </c>
      <c r="BB153" s="41">
        <v>0</v>
      </c>
      <c r="BC153" s="41">
        <f t="shared" si="74"/>
        <v>3296</v>
      </c>
      <c r="BD153" s="41">
        <v>0</v>
      </c>
      <c r="BF153" s="41">
        <v>0</v>
      </c>
      <c r="BG153" s="50">
        <v>0</v>
      </c>
      <c r="BH153" s="41">
        <v>0</v>
      </c>
      <c r="BI153" s="50">
        <v>0</v>
      </c>
      <c r="BJ153" s="41">
        <v>0</v>
      </c>
      <c r="BK153" s="41">
        <f t="shared" si="73"/>
        <v>0</v>
      </c>
      <c r="BL153" s="41">
        <v>0</v>
      </c>
      <c r="BM153" s="55"/>
      <c r="BN153" s="41">
        <v>0</v>
      </c>
      <c r="BO153" s="50">
        <v>0</v>
      </c>
      <c r="BP153" s="50">
        <v>0</v>
      </c>
      <c r="BQ153" s="41">
        <v>0</v>
      </c>
      <c r="BR153" s="41">
        <v>0</v>
      </c>
      <c r="BS153" s="41">
        <f t="shared" si="64"/>
        <v>0</v>
      </c>
      <c r="BT153" s="41">
        <v>0</v>
      </c>
      <c r="BV153" s="41">
        <v>-564</v>
      </c>
      <c r="BW153" s="50">
        <v>0</v>
      </c>
      <c r="BX153" s="41">
        <f t="shared" si="67"/>
        <v>564</v>
      </c>
      <c r="BY153" s="41">
        <v>0</v>
      </c>
      <c r="CA153" s="41">
        <v>0</v>
      </c>
      <c r="CB153" s="50">
        <v>0</v>
      </c>
      <c r="CC153" s="41">
        <f t="shared" si="68"/>
        <v>0</v>
      </c>
      <c r="CD153" s="41">
        <v>0</v>
      </c>
      <c r="CF153" s="41">
        <v>0</v>
      </c>
      <c r="CG153" s="50">
        <v>0</v>
      </c>
      <c r="CH153" s="41">
        <v>0</v>
      </c>
      <c r="CI153" s="41">
        <f t="shared" si="65"/>
        <v>0</v>
      </c>
      <c r="CJ153" s="41">
        <v>0</v>
      </c>
      <c r="CK153" s="50">
        <v>0</v>
      </c>
      <c r="CL153" s="41">
        <f t="shared" si="76"/>
        <v>0</v>
      </c>
      <c r="CM153" s="41">
        <v>0</v>
      </c>
      <c r="CN153" s="50">
        <v>0</v>
      </c>
      <c r="CO153" s="41">
        <v>0</v>
      </c>
      <c r="CP153" s="41">
        <f t="shared" si="66"/>
        <v>0</v>
      </c>
      <c r="CQ153" s="41">
        <v>0</v>
      </c>
      <c r="CR153" s="50">
        <v>0</v>
      </c>
      <c r="CS153" s="41">
        <f t="shared" si="63"/>
        <v>0</v>
      </c>
    </row>
    <row r="154" spans="1:99">
      <c r="A154" s="39" t="s">
        <v>63</v>
      </c>
      <c r="B154" s="39" t="s">
        <v>134</v>
      </c>
      <c r="C154" s="39" t="s">
        <v>4</v>
      </c>
      <c r="D154" s="56"/>
      <c r="E154" s="72" t="s">
        <v>133</v>
      </c>
      <c r="H154" s="51">
        <v>0</v>
      </c>
      <c r="I154" s="49">
        <v>0</v>
      </c>
      <c r="J154" s="49">
        <v>0</v>
      </c>
      <c r="K154" s="51">
        <f t="shared" si="69"/>
        <v>0</v>
      </c>
      <c r="L154" s="51">
        <f t="shared" si="61"/>
        <v>0</v>
      </c>
      <c r="M154" s="51">
        <v>0</v>
      </c>
      <c r="N154" s="52"/>
      <c r="O154" s="41">
        <v>0</v>
      </c>
      <c r="P154" s="50">
        <v>0</v>
      </c>
      <c r="Q154" s="50">
        <v>0</v>
      </c>
      <c r="R154" s="50">
        <v>0</v>
      </c>
      <c r="S154" s="41">
        <v>0</v>
      </c>
      <c r="T154" s="41">
        <v>0</v>
      </c>
      <c r="U154" s="41"/>
      <c r="V154" s="41">
        <v>0</v>
      </c>
      <c r="W154" s="50">
        <v>0</v>
      </c>
      <c r="X154" s="50">
        <v>0</v>
      </c>
      <c r="Y154" s="41">
        <f t="shared" si="70"/>
        <v>0</v>
      </c>
      <c r="Z154" s="41">
        <v>0</v>
      </c>
      <c r="AA154" s="41"/>
      <c r="AB154" s="41">
        <v>0</v>
      </c>
      <c r="AC154" s="41">
        <v>0</v>
      </c>
      <c r="AD154" s="50">
        <v>0</v>
      </c>
      <c r="AE154" s="41">
        <v>0</v>
      </c>
      <c r="AF154" s="41">
        <v>0</v>
      </c>
      <c r="AG154" s="41">
        <f t="shared" si="75"/>
        <v>0</v>
      </c>
      <c r="AH154" s="41">
        <v>0</v>
      </c>
      <c r="AI154" s="41"/>
      <c r="AJ154" s="41">
        <v>0</v>
      </c>
      <c r="AK154" s="50">
        <v>0</v>
      </c>
      <c r="AL154" s="41">
        <v>0</v>
      </c>
      <c r="AM154" s="50">
        <v>0</v>
      </c>
      <c r="AN154" s="41">
        <f t="shared" si="71"/>
        <v>0</v>
      </c>
      <c r="AO154" s="41">
        <v>0</v>
      </c>
      <c r="AP154" s="41"/>
      <c r="AQ154" s="53">
        <v>0</v>
      </c>
      <c r="AR154" s="54">
        <v>0</v>
      </c>
      <c r="AS154" s="54">
        <v>0</v>
      </c>
      <c r="AT154" s="53">
        <v>0</v>
      </c>
      <c r="AU154" s="41">
        <f t="shared" si="72"/>
        <v>0</v>
      </c>
      <c r="AV154" s="41">
        <v>0</v>
      </c>
      <c r="AW154" s="41"/>
      <c r="AX154" s="41">
        <v>0</v>
      </c>
      <c r="AY154" s="54">
        <v>0</v>
      </c>
      <c r="AZ154" s="50">
        <v>0</v>
      </c>
      <c r="BA154" s="50">
        <v>0</v>
      </c>
      <c r="BB154" s="41">
        <v>0</v>
      </c>
      <c r="BC154" s="41">
        <f t="shared" si="74"/>
        <v>0</v>
      </c>
      <c r="BD154" s="41">
        <v>0</v>
      </c>
      <c r="BF154" s="41">
        <v>0</v>
      </c>
      <c r="BG154" s="50">
        <v>0</v>
      </c>
      <c r="BH154" s="41">
        <v>0</v>
      </c>
      <c r="BI154" s="50">
        <v>0</v>
      </c>
      <c r="BJ154" s="41">
        <v>0</v>
      </c>
      <c r="BK154" s="41">
        <f t="shared" si="73"/>
        <v>0</v>
      </c>
      <c r="BL154" s="41">
        <v>0</v>
      </c>
      <c r="BM154" s="55"/>
      <c r="BN154" s="41">
        <v>0</v>
      </c>
      <c r="BO154" s="50">
        <v>0</v>
      </c>
      <c r="BP154" s="50">
        <v>0</v>
      </c>
      <c r="BQ154" s="41">
        <v>0</v>
      </c>
      <c r="BR154" s="41">
        <v>0</v>
      </c>
      <c r="BS154" s="41">
        <f t="shared" si="64"/>
        <v>0</v>
      </c>
      <c r="BT154" s="41">
        <v>0</v>
      </c>
      <c r="BV154" s="41">
        <v>0</v>
      </c>
      <c r="BW154" s="50">
        <v>0</v>
      </c>
      <c r="BX154" s="41">
        <f t="shared" si="67"/>
        <v>0</v>
      </c>
      <c r="BY154" s="41">
        <v>0</v>
      </c>
      <c r="CA154" s="41">
        <v>0</v>
      </c>
      <c r="CB154" s="50">
        <v>0</v>
      </c>
      <c r="CC154" s="41">
        <f t="shared" si="68"/>
        <v>0</v>
      </c>
      <c r="CD154" s="41">
        <v>0</v>
      </c>
      <c r="CF154" s="41">
        <v>0</v>
      </c>
      <c r="CG154" s="50">
        <v>0</v>
      </c>
      <c r="CH154" s="41">
        <v>0</v>
      </c>
      <c r="CI154" s="41">
        <f t="shared" si="65"/>
        <v>0</v>
      </c>
      <c r="CJ154" s="41">
        <v>0</v>
      </c>
      <c r="CK154" s="50">
        <v>0</v>
      </c>
      <c r="CL154" s="41">
        <f t="shared" si="76"/>
        <v>0</v>
      </c>
      <c r="CM154" s="41">
        <v>0</v>
      </c>
      <c r="CN154" s="50">
        <v>0</v>
      </c>
      <c r="CO154" s="41">
        <v>0</v>
      </c>
      <c r="CP154" s="41">
        <f t="shared" si="66"/>
        <v>0</v>
      </c>
      <c r="CQ154" s="41">
        <v>0</v>
      </c>
      <c r="CR154" s="50">
        <v>0</v>
      </c>
      <c r="CS154" s="41">
        <f t="shared" si="63"/>
        <v>0</v>
      </c>
      <c r="CT154" s="60"/>
    </row>
    <row r="155" spans="1:99">
      <c r="A155" s="39" t="s">
        <v>63</v>
      </c>
      <c r="B155" s="39" t="s">
        <v>162</v>
      </c>
      <c r="C155" s="39" t="s">
        <v>163</v>
      </c>
      <c r="D155" s="57">
        <v>17131901051</v>
      </c>
      <c r="E155" s="68" t="s">
        <v>164</v>
      </c>
      <c r="H155" s="51">
        <v>11371</v>
      </c>
      <c r="I155" s="49">
        <v>0</v>
      </c>
      <c r="J155" s="49">
        <v>9</v>
      </c>
      <c r="K155" s="51">
        <f t="shared" si="69"/>
        <v>11380</v>
      </c>
      <c r="L155" s="51">
        <f t="shared" si="61"/>
        <v>7</v>
      </c>
      <c r="M155" s="51">
        <v>11387</v>
      </c>
      <c r="N155" s="52"/>
      <c r="O155" s="41">
        <v>13409</v>
      </c>
      <c r="P155" s="50">
        <v>185</v>
      </c>
      <c r="Q155" s="50">
        <v>2</v>
      </c>
      <c r="R155" s="50">
        <v>1</v>
      </c>
      <c r="S155" s="41">
        <v>69</v>
      </c>
      <c r="T155" s="41">
        <v>13666</v>
      </c>
      <c r="U155" s="41"/>
      <c r="V155" s="41">
        <v>14935</v>
      </c>
      <c r="W155" s="50">
        <v>34</v>
      </c>
      <c r="X155" s="50">
        <v>0</v>
      </c>
      <c r="Y155" s="41">
        <f t="shared" si="70"/>
        <v>-48</v>
      </c>
      <c r="Z155" s="41">
        <v>14921</v>
      </c>
      <c r="AA155" s="41"/>
      <c r="AB155" s="41">
        <v>16731</v>
      </c>
      <c r="AC155" s="41">
        <v>0</v>
      </c>
      <c r="AD155" s="50">
        <v>204</v>
      </c>
      <c r="AE155" s="41">
        <v>0</v>
      </c>
      <c r="AF155" s="41">
        <v>0</v>
      </c>
      <c r="AG155" s="41">
        <f t="shared" si="75"/>
        <v>-34</v>
      </c>
      <c r="AH155" s="41">
        <v>16901</v>
      </c>
      <c r="AI155" s="41"/>
      <c r="AJ155" s="41">
        <v>18698</v>
      </c>
      <c r="AK155" s="50">
        <v>0</v>
      </c>
      <c r="AL155" s="41">
        <v>14</v>
      </c>
      <c r="AM155" s="50">
        <v>125</v>
      </c>
      <c r="AN155" s="41">
        <f t="shared" si="71"/>
        <v>136</v>
      </c>
      <c r="AO155" s="41">
        <v>18973</v>
      </c>
      <c r="AP155" s="41"/>
      <c r="AQ155" s="53">
        <v>18540</v>
      </c>
      <c r="AR155" s="54">
        <v>231</v>
      </c>
      <c r="AS155" s="54">
        <v>299</v>
      </c>
      <c r="AT155" s="53">
        <v>0</v>
      </c>
      <c r="AU155" s="41">
        <f t="shared" si="72"/>
        <v>495</v>
      </c>
      <c r="AV155" s="41">
        <v>19565</v>
      </c>
      <c r="AW155" s="41"/>
      <c r="AX155" s="41">
        <v>17776</v>
      </c>
      <c r="AY155" s="54">
        <v>40</v>
      </c>
      <c r="AZ155" s="50">
        <v>0</v>
      </c>
      <c r="BA155" s="50">
        <v>357</v>
      </c>
      <c r="BB155" s="41">
        <v>9</v>
      </c>
      <c r="BC155" s="41">
        <f t="shared" si="74"/>
        <v>257</v>
      </c>
      <c r="BD155" s="41">
        <v>18439</v>
      </c>
      <c r="BF155" s="41">
        <v>19702</v>
      </c>
      <c r="BG155" s="50">
        <v>113</v>
      </c>
      <c r="BH155" s="41">
        <v>75</v>
      </c>
      <c r="BI155" s="50">
        <v>137</v>
      </c>
      <c r="BJ155" s="41">
        <v>-228</v>
      </c>
      <c r="BK155" s="41">
        <f t="shared" si="73"/>
        <v>4</v>
      </c>
      <c r="BL155" s="41">
        <v>19803</v>
      </c>
      <c r="BM155" s="55"/>
      <c r="BN155" s="41">
        <v>19888</v>
      </c>
      <c r="BO155" s="50">
        <v>114</v>
      </c>
      <c r="BP155" s="50">
        <v>40</v>
      </c>
      <c r="BQ155" s="41">
        <v>5</v>
      </c>
      <c r="BR155" s="41">
        <v>0</v>
      </c>
      <c r="BS155" s="41">
        <f t="shared" si="64"/>
        <v>-109</v>
      </c>
      <c r="BT155" s="41">
        <v>19938</v>
      </c>
      <c r="BV155" s="41">
        <v>17736</v>
      </c>
      <c r="BW155" s="50">
        <v>105</v>
      </c>
      <c r="BX155" s="41">
        <f t="shared" si="67"/>
        <v>91</v>
      </c>
      <c r="BY155" s="41">
        <v>17932</v>
      </c>
      <c r="CA155" s="41">
        <v>17674</v>
      </c>
      <c r="CB155" s="50">
        <v>54</v>
      </c>
      <c r="CC155" s="41">
        <f t="shared" si="68"/>
        <v>-70</v>
      </c>
      <c r="CD155" s="41">
        <v>17658</v>
      </c>
      <c r="CF155" s="41">
        <v>15228</v>
      </c>
      <c r="CG155" s="50">
        <v>48</v>
      </c>
      <c r="CH155" s="41">
        <v>0</v>
      </c>
      <c r="CI155" s="41">
        <f t="shared" si="65"/>
        <v>15276</v>
      </c>
      <c r="CJ155" s="41">
        <v>14891</v>
      </c>
      <c r="CK155" s="50">
        <v>34</v>
      </c>
      <c r="CL155" s="41">
        <f t="shared" si="76"/>
        <v>14925</v>
      </c>
      <c r="CM155" s="41">
        <v>15816</v>
      </c>
      <c r="CN155" s="50">
        <v>36</v>
      </c>
      <c r="CO155" s="41">
        <v>0</v>
      </c>
      <c r="CP155" s="41">
        <f t="shared" si="66"/>
        <v>15852</v>
      </c>
      <c r="CQ155" s="41">
        <v>17890</v>
      </c>
      <c r="CR155" s="50">
        <v>36</v>
      </c>
      <c r="CS155" s="41">
        <f t="shared" si="63"/>
        <v>17926</v>
      </c>
      <c r="CU155" s="44" t="s">
        <v>520</v>
      </c>
    </row>
    <row r="156" spans="1:99">
      <c r="A156" s="39" t="s">
        <v>63</v>
      </c>
      <c r="B156" s="39" t="s">
        <v>162</v>
      </c>
      <c r="C156" s="39" t="s">
        <v>163</v>
      </c>
      <c r="D156" s="57">
        <v>21204001051</v>
      </c>
      <c r="E156" s="68" t="s">
        <v>165</v>
      </c>
      <c r="H156" s="51">
        <v>7046</v>
      </c>
      <c r="I156" s="49">
        <v>0</v>
      </c>
      <c r="J156" s="49">
        <v>8</v>
      </c>
      <c r="K156" s="51">
        <f t="shared" si="69"/>
        <v>7054</v>
      </c>
      <c r="L156" s="51">
        <f t="shared" si="61"/>
        <v>-24</v>
      </c>
      <c r="M156" s="51">
        <v>7030</v>
      </c>
      <c r="N156" s="52"/>
      <c r="O156" s="41">
        <v>7411</v>
      </c>
      <c r="P156" s="50">
        <v>116</v>
      </c>
      <c r="Q156" s="50">
        <v>0</v>
      </c>
      <c r="R156" s="50">
        <v>22</v>
      </c>
      <c r="S156" s="41">
        <v>23</v>
      </c>
      <c r="T156" s="41">
        <v>7572</v>
      </c>
      <c r="U156" s="41"/>
      <c r="V156" s="41">
        <v>10215</v>
      </c>
      <c r="W156" s="50">
        <v>0</v>
      </c>
      <c r="X156" s="50">
        <v>0</v>
      </c>
      <c r="Y156" s="41">
        <f t="shared" si="70"/>
        <v>4</v>
      </c>
      <c r="Z156" s="41">
        <v>10219</v>
      </c>
      <c r="AA156" s="41"/>
      <c r="AB156" s="41">
        <v>10545</v>
      </c>
      <c r="AC156" s="41">
        <v>0</v>
      </c>
      <c r="AD156" s="50">
        <v>39</v>
      </c>
      <c r="AE156" s="41">
        <v>0</v>
      </c>
      <c r="AF156" s="41">
        <v>0</v>
      </c>
      <c r="AG156" s="41">
        <f t="shared" si="75"/>
        <v>-128</v>
      </c>
      <c r="AH156" s="41">
        <v>10456</v>
      </c>
      <c r="AI156" s="41"/>
      <c r="AJ156" s="41">
        <v>11018</v>
      </c>
      <c r="AK156" s="50">
        <v>13</v>
      </c>
      <c r="AL156" s="41">
        <v>0</v>
      </c>
      <c r="AM156" s="50">
        <v>55</v>
      </c>
      <c r="AN156" s="41">
        <f t="shared" si="71"/>
        <v>607</v>
      </c>
      <c r="AO156" s="41">
        <v>11693</v>
      </c>
      <c r="AP156" s="41"/>
      <c r="AQ156" s="53">
        <v>10957</v>
      </c>
      <c r="AR156" s="54">
        <v>0</v>
      </c>
      <c r="AS156" s="54">
        <v>100</v>
      </c>
      <c r="AT156" s="53">
        <v>0</v>
      </c>
      <c r="AU156" s="41">
        <f t="shared" si="72"/>
        <v>246</v>
      </c>
      <c r="AV156" s="41">
        <v>11303</v>
      </c>
      <c r="AW156" s="41"/>
      <c r="AX156" s="41">
        <v>12047</v>
      </c>
      <c r="AY156" s="54">
        <v>20</v>
      </c>
      <c r="AZ156" s="50">
        <v>0</v>
      </c>
      <c r="BA156" s="50">
        <v>157</v>
      </c>
      <c r="BB156" s="41">
        <v>6</v>
      </c>
      <c r="BC156" s="41">
        <f t="shared" si="74"/>
        <v>217</v>
      </c>
      <c r="BD156" s="41">
        <v>12447</v>
      </c>
      <c r="BF156" s="41">
        <v>11970</v>
      </c>
      <c r="BG156" s="50">
        <v>0</v>
      </c>
      <c r="BH156" s="41">
        <v>75</v>
      </c>
      <c r="BI156" s="50">
        <v>53</v>
      </c>
      <c r="BJ156" s="41">
        <v>-188</v>
      </c>
      <c r="BK156" s="41">
        <f t="shared" si="73"/>
        <v>192</v>
      </c>
      <c r="BL156" s="41">
        <v>12102</v>
      </c>
      <c r="BM156" s="55"/>
      <c r="BN156" s="41">
        <v>11414</v>
      </c>
      <c r="BO156" s="50">
        <v>58</v>
      </c>
      <c r="BP156" s="50">
        <v>0</v>
      </c>
      <c r="BQ156" s="41">
        <v>-72</v>
      </c>
      <c r="BR156" s="41">
        <v>-76</v>
      </c>
      <c r="BS156" s="41">
        <f t="shared" si="64"/>
        <v>238</v>
      </c>
      <c r="BT156" s="41">
        <v>11562</v>
      </c>
      <c r="BV156" s="41">
        <v>9548</v>
      </c>
      <c r="BW156" s="50">
        <v>143</v>
      </c>
      <c r="BX156" s="41">
        <f t="shared" si="67"/>
        <v>263</v>
      </c>
      <c r="BY156" s="41">
        <v>9954</v>
      </c>
      <c r="CA156" s="41">
        <v>8384</v>
      </c>
      <c r="CB156" s="50">
        <v>19</v>
      </c>
      <c r="CC156" s="41">
        <f t="shared" si="68"/>
        <v>-55</v>
      </c>
      <c r="CD156" s="41">
        <v>8348</v>
      </c>
      <c r="CF156" s="41">
        <v>7878</v>
      </c>
      <c r="CG156" s="50">
        <v>27</v>
      </c>
      <c r="CH156" s="41">
        <v>0</v>
      </c>
      <c r="CI156" s="41">
        <f t="shared" si="65"/>
        <v>7905</v>
      </c>
      <c r="CJ156" s="41">
        <v>7080</v>
      </c>
      <c r="CK156" s="50">
        <v>14</v>
      </c>
      <c r="CL156" s="41">
        <f t="shared" si="76"/>
        <v>7094</v>
      </c>
      <c r="CM156" s="41">
        <v>6671</v>
      </c>
      <c r="CN156" s="50">
        <v>2</v>
      </c>
      <c r="CO156" s="41">
        <v>0</v>
      </c>
      <c r="CP156" s="41">
        <f t="shared" si="66"/>
        <v>6673</v>
      </c>
      <c r="CQ156" s="41">
        <v>7556</v>
      </c>
      <c r="CR156" s="50">
        <v>2</v>
      </c>
      <c r="CS156" s="41">
        <f t="shared" si="63"/>
        <v>7558</v>
      </c>
      <c r="CU156" s="44" t="s">
        <v>521</v>
      </c>
    </row>
    <row r="157" spans="1:99">
      <c r="A157" s="39" t="s">
        <v>63</v>
      </c>
      <c r="B157" s="39" t="s">
        <v>162</v>
      </c>
      <c r="C157" s="39" t="s">
        <v>163</v>
      </c>
      <c r="D157" s="57">
        <v>57024001051</v>
      </c>
      <c r="E157" s="68" t="s">
        <v>166</v>
      </c>
      <c r="H157" s="51">
        <v>0</v>
      </c>
      <c r="I157" s="49">
        <v>0</v>
      </c>
      <c r="J157" s="49">
        <v>0</v>
      </c>
      <c r="K157" s="51">
        <f t="shared" si="69"/>
        <v>0</v>
      </c>
      <c r="L157" s="51">
        <f t="shared" si="61"/>
        <v>0</v>
      </c>
      <c r="M157" s="51">
        <v>0</v>
      </c>
      <c r="N157" s="52"/>
      <c r="O157" s="41">
        <v>0</v>
      </c>
      <c r="P157" s="50">
        <v>0</v>
      </c>
      <c r="Q157" s="50">
        <v>0</v>
      </c>
      <c r="R157" s="50">
        <v>0</v>
      </c>
      <c r="S157" s="41">
        <v>0</v>
      </c>
      <c r="T157" s="41">
        <v>0</v>
      </c>
      <c r="U157" s="41"/>
      <c r="V157" s="41">
        <v>0</v>
      </c>
      <c r="W157" s="50">
        <v>0</v>
      </c>
      <c r="X157" s="50">
        <v>0</v>
      </c>
      <c r="Y157" s="41">
        <f t="shared" si="70"/>
        <v>0</v>
      </c>
      <c r="Z157" s="41">
        <v>0</v>
      </c>
      <c r="AA157" s="41"/>
      <c r="AB157" s="41">
        <v>100</v>
      </c>
      <c r="AC157" s="41">
        <v>0</v>
      </c>
      <c r="AD157" s="50">
        <v>0</v>
      </c>
      <c r="AE157" s="41">
        <v>0</v>
      </c>
      <c r="AF157" s="41">
        <v>0</v>
      </c>
      <c r="AG157" s="41">
        <f t="shared" si="75"/>
        <v>-10</v>
      </c>
      <c r="AH157" s="41">
        <v>90</v>
      </c>
      <c r="AI157" s="41"/>
      <c r="AJ157" s="41">
        <v>0</v>
      </c>
      <c r="AK157" s="50">
        <v>0</v>
      </c>
      <c r="AL157" s="41">
        <v>0</v>
      </c>
      <c r="AM157" s="50">
        <v>0</v>
      </c>
      <c r="AN157" s="41">
        <f t="shared" si="71"/>
        <v>0</v>
      </c>
      <c r="AO157" s="41">
        <v>0</v>
      </c>
      <c r="AP157" s="41"/>
      <c r="AQ157" s="53">
        <v>0</v>
      </c>
      <c r="AR157" s="54">
        <v>0</v>
      </c>
      <c r="AS157" s="54">
        <v>0</v>
      </c>
      <c r="AT157" s="53">
        <v>0</v>
      </c>
      <c r="AU157" s="41">
        <f t="shared" si="72"/>
        <v>0</v>
      </c>
      <c r="AV157" s="41">
        <v>0</v>
      </c>
      <c r="AW157" s="41"/>
      <c r="AX157" s="41">
        <v>150</v>
      </c>
      <c r="AY157" s="54">
        <v>0</v>
      </c>
      <c r="AZ157" s="50">
        <v>0</v>
      </c>
      <c r="BA157" s="50">
        <v>0</v>
      </c>
      <c r="BB157" s="41">
        <v>0</v>
      </c>
      <c r="BC157" s="41">
        <f t="shared" si="74"/>
        <v>0</v>
      </c>
      <c r="BD157" s="41">
        <v>150</v>
      </c>
      <c r="BF157" s="41">
        <v>-240</v>
      </c>
      <c r="BG157" s="50">
        <v>0</v>
      </c>
      <c r="BH157" s="41">
        <v>0</v>
      </c>
      <c r="BI157" s="50">
        <v>0</v>
      </c>
      <c r="BJ157" s="41">
        <v>0</v>
      </c>
      <c r="BK157" s="41">
        <f t="shared" si="73"/>
        <v>0</v>
      </c>
      <c r="BL157" s="41">
        <v>-240</v>
      </c>
      <c r="BM157" s="55"/>
      <c r="BN157" s="41">
        <v>292</v>
      </c>
      <c r="BO157" s="50">
        <v>0</v>
      </c>
      <c r="BP157" s="50">
        <v>0</v>
      </c>
      <c r="BQ157" s="41">
        <v>0</v>
      </c>
      <c r="BR157" s="41">
        <v>0</v>
      </c>
      <c r="BS157" s="41">
        <f t="shared" si="64"/>
        <v>0</v>
      </c>
      <c r="BT157" s="41">
        <v>292</v>
      </c>
      <c r="BV157" s="41">
        <v>539</v>
      </c>
      <c r="BW157" s="50">
        <v>0</v>
      </c>
      <c r="BX157" s="41">
        <f t="shared" si="67"/>
        <v>-539</v>
      </c>
      <c r="BY157" s="41">
        <v>0</v>
      </c>
      <c r="CA157" s="41">
        <v>0</v>
      </c>
      <c r="CB157" s="50">
        <v>0</v>
      </c>
      <c r="CC157" s="41">
        <f t="shared" si="68"/>
        <v>0</v>
      </c>
      <c r="CD157" s="41">
        <v>0</v>
      </c>
      <c r="CF157" s="41">
        <v>0</v>
      </c>
      <c r="CG157" s="50">
        <v>0</v>
      </c>
      <c r="CH157" s="41">
        <v>0</v>
      </c>
      <c r="CI157" s="41">
        <f t="shared" si="65"/>
        <v>0</v>
      </c>
      <c r="CJ157" s="41">
        <v>0</v>
      </c>
      <c r="CK157" s="50">
        <v>0</v>
      </c>
      <c r="CL157" s="41">
        <f t="shared" si="76"/>
        <v>0</v>
      </c>
      <c r="CM157" s="41">
        <v>0</v>
      </c>
      <c r="CN157" s="50">
        <v>0</v>
      </c>
      <c r="CO157" s="41">
        <v>0</v>
      </c>
      <c r="CP157" s="41">
        <f t="shared" si="66"/>
        <v>0</v>
      </c>
      <c r="CQ157" s="41">
        <v>0</v>
      </c>
      <c r="CR157" s="50">
        <v>0</v>
      </c>
      <c r="CS157" s="41">
        <f t="shared" si="63"/>
        <v>0</v>
      </c>
      <c r="CU157" s="44">
        <v>57024001051</v>
      </c>
    </row>
    <row r="158" spans="1:99">
      <c r="A158" s="39" t="s">
        <v>63</v>
      </c>
      <c r="B158" s="39" t="s">
        <v>162</v>
      </c>
      <c r="C158" s="39" t="s">
        <v>163</v>
      </c>
      <c r="D158" s="57">
        <v>57360001051</v>
      </c>
      <c r="E158" s="68" t="s">
        <v>167</v>
      </c>
      <c r="H158" s="51">
        <f>14478-57</f>
        <v>14421</v>
      </c>
      <c r="I158" s="49">
        <v>0</v>
      </c>
      <c r="J158" s="49">
        <v>61</v>
      </c>
      <c r="K158" s="51">
        <f t="shared" si="69"/>
        <v>14482</v>
      </c>
      <c r="L158" s="51">
        <f t="shared" si="61"/>
        <v>38</v>
      </c>
      <c r="M158" s="51">
        <v>14520</v>
      </c>
      <c r="N158" s="52"/>
      <c r="O158" s="41">
        <v>17968</v>
      </c>
      <c r="P158" s="50">
        <v>483</v>
      </c>
      <c r="Q158" s="50">
        <v>312</v>
      </c>
      <c r="R158" s="50">
        <v>68</v>
      </c>
      <c r="S158" s="41">
        <v>-6</v>
      </c>
      <c r="T158" s="41">
        <v>18825</v>
      </c>
      <c r="U158" s="41"/>
      <c r="V158" s="41">
        <v>20255</v>
      </c>
      <c r="W158" s="50">
        <v>39</v>
      </c>
      <c r="X158" s="50">
        <v>0</v>
      </c>
      <c r="Y158" s="41">
        <f t="shared" si="70"/>
        <v>-3</v>
      </c>
      <c r="Z158" s="41">
        <v>20291</v>
      </c>
      <c r="AA158" s="41"/>
      <c r="AB158" s="41">
        <v>20654</v>
      </c>
      <c r="AC158" s="41">
        <v>0</v>
      </c>
      <c r="AD158" s="50">
        <v>144</v>
      </c>
      <c r="AE158" s="41">
        <v>0</v>
      </c>
      <c r="AF158" s="41">
        <v>0</v>
      </c>
      <c r="AG158" s="41">
        <f t="shared" si="75"/>
        <v>-338</v>
      </c>
      <c r="AH158" s="41">
        <v>20460</v>
      </c>
      <c r="AI158" s="41"/>
      <c r="AJ158" s="41">
        <v>21592</v>
      </c>
      <c r="AK158" s="50">
        <v>12</v>
      </c>
      <c r="AL158" s="41">
        <v>11</v>
      </c>
      <c r="AM158" s="50">
        <v>383</v>
      </c>
      <c r="AN158" s="41">
        <f t="shared" si="71"/>
        <v>222</v>
      </c>
      <c r="AO158" s="41">
        <v>22220</v>
      </c>
      <c r="AP158" s="41"/>
      <c r="AQ158" s="53">
        <v>24290</v>
      </c>
      <c r="AR158" s="54">
        <v>37</v>
      </c>
      <c r="AS158" s="54">
        <v>187</v>
      </c>
      <c r="AT158" s="53">
        <v>0</v>
      </c>
      <c r="AU158" s="41">
        <f t="shared" si="72"/>
        <v>52</v>
      </c>
      <c r="AV158" s="41">
        <v>24566</v>
      </c>
      <c r="AW158" s="41"/>
      <c r="AX158" s="41">
        <v>25902</v>
      </c>
      <c r="AY158" s="54">
        <v>0</v>
      </c>
      <c r="AZ158" s="50">
        <v>0</v>
      </c>
      <c r="BA158" s="50">
        <v>381</v>
      </c>
      <c r="BB158" s="41">
        <v>19</v>
      </c>
      <c r="BC158" s="41">
        <f t="shared" si="74"/>
        <v>178</v>
      </c>
      <c r="BD158" s="41">
        <v>26480</v>
      </c>
      <c r="BF158" s="41">
        <v>26680</v>
      </c>
      <c r="BG158" s="50">
        <v>72</v>
      </c>
      <c r="BH158" s="41">
        <v>75</v>
      </c>
      <c r="BI158" s="50">
        <v>160</v>
      </c>
      <c r="BJ158" s="41">
        <v>-324</v>
      </c>
      <c r="BK158" s="41">
        <f t="shared" si="73"/>
        <v>-134</v>
      </c>
      <c r="BL158" s="41">
        <v>26529</v>
      </c>
      <c r="BM158" s="55"/>
      <c r="BN158" s="41">
        <v>27844</v>
      </c>
      <c r="BO158" s="50">
        <v>39</v>
      </c>
      <c r="BP158" s="50">
        <v>161</v>
      </c>
      <c r="BQ158" s="41">
        <v>3</v>
      </c>
      <c r="BR158" s="41">
        <v>-164</v>
      </c>
      <c r="BS158" s="41">
        <f t="shared" si="64"/>
        <v>-228</v>
      </c>
      <c r="BT158" s="41">
        <v>27655</v>
      </c>
      <c r="BV158" s="41">
        <v>26318</v>
      </c>
      <c r="BW158" s="50">
        <v>484</v>
      </c>
      <c r="BX158" s="41">
        <f t="shared" si="67"/>
        <v>679</v>
      </c>
      <c r="BY158" s="41">
        <v>27481</v>
      </c>
      <c r="CA158" s="41">
        <v>26222</v>
      </c>
      <c r="CB158" s="50">
        <v>260</v>
      </c>
      <c r="CC158" s="41">
        <f t="shared" si="68"/>
        <v>-109</v>
      </c>
      <c r="CD158" s="41">
        <v>26373</v>
      </c>
      <c r="CF158" s="41">
        <v>23034</v>
      </c>
      <c r="CG158" s="50">
        <v>3</v>
      </c>
      <c r="CH158" s="41">
        <v>0</v>
      </c>
      <c r="CI158" s="41">
        <f t="shared" si="65"/>
        <v>23037</v>
      </c>
      <c r="CJ158" s="41">
        <v>23546</v>
      </c>
      <c r="CK158" s="50">
        <v>9</v>
      </c>
      <c r="CL158" s="41">
        <f t="shared" si="76"/>
        <v>23555</v>
      </c>
      <c r="CM158" s="41">
        <v>23607</v>
      </c>
      <c r="CN158" s="50">
        <v>15</v>
      </c>
      <c r="CO158" s="41">
        <v>0</v>
      </c>
      <c r="CP158" s="41">
        <f t="shared" si="66"/>
        <v>23622</v>
      </c>
      <c r="CQ158" s="41">
        <v>24498</v>
      </c>
      <c r="CR158" s="50">
        <v>17</v>
      </c>
      <c r="CS158" s="41">
        <f t="shared" si="63"/>
        <v>24515</v>
      </c>
      <c r="CU158" s="44" t="s">
        <v>522</v>
      </c>
    </row>
    <row r="159" spans="1:99">
      <c r="A159" s="39" t="s">
        <v>63</v>
      </c>
      <c r="B159" s="39" t="s">
        <v>162</v>
      </c>
      <c r="C159" s="39" t="s">
        <v>163</v>
      </c>
      <c r="D159" s="57">
        <v>97040001051</v>
      </c>
      <c r="E159" s="68" t="s">
        <v>168</v>
      </c>
      <c r="H159" s="51">
        <v>15284</v>
      </c>
      <c r="I159" s="49">
        <v>0</v>
      </c>
      <c r="J159" s="49">
        <v>67</v>
      </c>
      <c r="K159" s="51">
        <f t="shared" si="69"/>
        <v>15351</v>
      </c>
      <c r="L159" s="51">
        <f t="shared" si="61"/>
        <v>195</v>
      </c>
      <c r="M159" s="51">
        <v>15546</v>
      </c>
      <c r="N159" s="52"/>
      <c r="O159" s="41">
        <v>16275</v>
      </c>
      <c r="P159" s="50">
        <v>686</v>
      </c>
      <c r="Q159" s="50">
        <v>416</v>
      </c>
      <c r="R159" s="50">
        <v>329</v>
      </c>
      <c r="S159" s="41">
        <v>95</v>
      </c>
      <c r="T159" s="41">
        <v>17801</v>
      </c>
      <c r="U159" s="41"/>
      <c r="V159" s="41">
        <v>18641</v>
      </c>
      <c r="W159" s="50">
        <v>261</v>
      </c>
      <c r="X159" s="50">
        <v>0</v>
      </c>
      <c r="Y159" s="41">
        <f t="shared" si="70"/>
        <v>8</v>
      </c>
      <c r="Z159" s="41">
        <v>18910</v>
      </c>
      <c r="AA159" s="41"/>
      <c r="AB159" s="41">
        <v>20468</v>
      </c>
      <c r="AC159" s="41">
        <v>6</v>
      </c>
      <c r="AD159" s="50">
        <v>254</v>
      </c>
      <c r="AE159" s="41">
        <v>0</v>
      </c>
      <c r="AF159" s="41">
        <v>0</v>
      </c>
      <c r="AG159" s="41">
        <f t="shared" si="75"/>
        <v>-120</v>
      </c>
      <c r="AH159" s="41">
        <v>20608</v>
      </c>
      <c r="AI159" s="41"/>
      <c r="AJ159" s="41">
        <v>19502</v>
      </c>
      <c r="AK159" s="50">
        <v>25</v>
      </c>
      <c r="AL159" s="41">
        <v>29</v>
      </c>
      <c r="AM159" s="50">
        <v>149</v>
      </c>
      <c r="AN159" s="41">
        <f t="shared" si="71"/>
        <v>98</v>
      </c>
      <c r="AO159" s="41">
        <v>19803</v>
      </c>
      <c r="AP159" s="41"/>
      <c r="AQ159" s="53">
        <v>21169</v>
      </c>
      <c r="AR159" s="54">
        <v>140</v>
      </c>
      <c r="AS159" s="54">
        <v>513</v>
      </c>
      <c r="AT159" s="53">
        <v>0</v>
      </c>
      <c r="AU159" s="41">
        <f t="shared" si="72"/>
        <v>-36</v>
      </c>
      <c r="AV159" s="41">
        <v>21786</v>
      </c>
      <c r="AW159" s="41"/>
      <c r="AX159" s="41">
        <v>20499</v>
      </c>
      <c r="AY159" s="54">
        <v>0</v>
      </c>
      <c r="AZ159" s="50">
        <v>0</v>
      </c>
      <c r="BA159" s="50">
        <v>817</v>
      </c>
      <c r="BB159" s="41">
        <v>0</v>
      </c>
      <c r="BC159" s="41">
        <f t="shared" si="74"/>
        <v>558</v>
      </c>
      <c r="BD159" s="41">
        <v>21874</v>
      </c>
      <c r="BF159" s="41">
        <v>21192</v>
      </c>
      <c r="BG159" s="50">
        <v>203</v>
      </c>
      <c r="BH159" s="41">
        <v>75</v>
      </c>
      <c r="BI159" s="50">
        <v>483</v>
      </c>
      <c r="BJ159" s="41">
        <v>-169</v>
      </c>
      <c r="BK159" s="41">
        <f t="shared" si="73"/>
        <v>-159</v>
      </c>
      <c r="BL159" s="41">
        <v>21625</v>
      </c>
      <c r="BM159" s="55"/>
      <c r="BN159" s="41">
        <v>20471</v>
      </c>
      <c r="BO159" s="50">
        <v>112</v>
      </c>
      <c r="BP159" s="50">
        <v>55</v>
      </c>
      <c r="BQ159" s="41">
        <v>10</v>
      </c>
      <c r="BR159" s="41">
        <v>-137</v>
      </c>
      <c r="BS159" s="41">
        <f t="shared" si="64"/>
        <v>87</v>
      </c>
      <c r="BT159" s="41">
        <v>20598</v>
      </c>
      <c r="BV159" s="41">
        <v>20787</v>
      </c>
      <c r="BW159" s="50">
        <v>223</v>
      </c>
      <c r="BX159" s="41">
        <f t="shared" si="67"/>
        <v>119</v>
      </c>
      <c r="BY159" s="41">
        <v>21129</v>
      </c>
      <c r="CA159" s="41">
        <v>18907</v>
      </c>
      <c r="CB159" s="50">
        <v>194</v>
      </c>
      <c r="CC159" s="41">
        <f t="shared" si="68"/>
        <v>367</v>
      </c>
      <c r="CD159" s="41">
        <v>19468</v>
      </c>
      <c r="CF159" s="41">
        <v>17015</v>
      </c>
      <c r="CG159" s="50">
        <v>102</v>
      </c>
      <c r="CH159" s="41">
        <v>0</v>
      </c>
      <c r="CI159" s="41">
        <f t="shared" si="65"/>
        <v>17117</v>
      </c>
      <c r="CJ159" s="41">
        <v>17071</v>
      </c>
      <c r="CK159" s="50">
        <v>78</v>
      </c>
      <c r="CL159" s="41">
        <f t="shared" si="76"/>
        <v>17149</v>
      </c>
      <c r="CM159" s="41">
        <v>17226</v>
      </c>
      <c r="CN159" s="50">
        <v>175</v>
      </c>
      <c r="CO159" s="41">
        <v>95</v>
      </c>
      <c r="CP159" s="41">
        <f t="shared" si="66"/>
        <v>17496</v>
      </c>
      <c r="CQ159" s="41">
        <v>18693</v>
      </c>
      <c r="CR159" s="50">
        <v>177</v>
      </c>
      <c r="CS159" s="41">
        <f t="shared" si="63"/>
        <v>18870</v>
      </c>
      <c r="CU159" s="44" t="s">
        <v>523</v>
      </c>
    </row>
    <row r="160" spans="1:99">
      <c r="A160" s="39" t="s">
        <v>63</v>
      </c>
      <c r="B160" s="39" t="s">
        <v>162</v>
      </c>
      <c r="C160" s="39" t="s">
        <v>163</v>
      </c>
      <c r="D160" s="57">
        <v>97046001051</v>
      </c>
      <c r="E160" s="68" t="s">
        <v>169</v>
      </c>
      <c r="H160" s="51">
        <v>230</v>
      </c>
      <c r="I160" s="49">
        <v>0</v>
      </c>
      <c r="J160" s="49">
        <v>0</v>
      </c>
      <c r="K160" s="51">
        <f t="shared" si="69"/>
        <v>230</v>
      </c>
      <c r="L160" s="51">
        <f t="shared" si="61"/>
        <v>0</v>
      </c>
      <c r="M160" s="51">
        <v>230</v>
      </c>
      <c r="N160" s="52"/>
      <c r="O160" s="41">
        <v>237</v>
      </c>
      <c r="P160" s="50">
        <v>0</v>
      </c>
      <c r="Q160" s="50">
        <v>0</v>
      </c>
      <c r="R160" s="50">
        <v>0</v>
      </c>
      <c r="S160" s="41">
        <v>2</v>
      </c>
      <c r="T160" s="41">
        <v>239</v>
      </c>
      <c r="U160" s="41"/>
      <c r="V160" s="41">
        <v>302</v>
      </c>
      <c r="W160" s="50">
        <v>0</v>
      </c>
      <c r="X160" s="50">
        <v>0</v>
      </c>
      <c r="Y160" s="41">
        <f t="shared" si="70"/>
        <v>0</v>
      </c>
      <c r="Z160" s="41">
        <v>302</v>
      </c>
      <c r="AA160" s="41"/>
      <c r="AB160" s="41">
        <v>310</v>
      </c>
      <c r="AC160" s="41">
        <v>0</v>
      </c>
      <c r="AD160" s="50">
        <v>0</v>
      </c>
      <c r="AE160" s="41">
        <v>0</v>
      </c>
      <c r="AF160" s="41">
        <v>0</v>
      </c>
      <c r="AG160" s="41">
        <f t="shared" si="75"/>
        <v>1</v>
      </c>
      <c r="AH160" s="41">
        <v>311</v>
      </c>
      <c r="AI160" s="41"/>
      <c r="AJ160" s="41">
        <v>166</v>
      </c>
      <c r="AK160" s="50">
        <v>0</v>
      </c>
      <c r="AL160" s="41">
        <v>0</v>
      </c>
      <c r="AM160" s="50">
        <v>0</v>
      </c>
      <c r="AN160" s="41">
        <f t="shared" si="71"/>
        <v>0</v>
      </c>
      <c r="AO160" s="41">
        <v>166</v>
      </c>
      <c r="AP160" s="41"/>
      <c r="AQ160" s="53">
        <v>184</v>
      </c>
      <c r="AR160" s="54">
        <v>0</v>
      </c>
      <c r="AS160" s="54">
        <v>0</v>
      </c>
      <c r="AT160" s="53">
        <v>0</v>
      </c>
      <c r="AU160" s="41">
        <f t="shared" si="72"/>
        <v>-4</v>
      </c>
      <c r="AV160" s="41">
        <v>180</v>
      </c>
      <c r="AW160" s="41"/>
      <c r="AX160" s="41">
        <v>178</v>
      </c>
      <c r="AY160" s="54">
        <v>0</v>
      </c>
      <c r="AZ160" s="50">
        <v>0</v>
      </c>
      <c r="BA160" s="50">
        <v>0</v>
      </c>
      <c r="BB160" s="41">
        <v>0</v>
      </c>
      <c r="BC160" s="41">
        <f t="shared" si="74"/>
        <v>0</v>
      </c>
      <c r="BD160" s="41">
        <v>178</v>
      </c>
      <c r="BF160" s="41">
        <v>188</v>
      </c>
      <c r="BG160" s="50">
        <v>0</v>
      </c>
      <c r="BH160" s="41">
        <v>0</v>
      </c>
      <c r="BI160" s="50">
        <v>0</v>
      </c>
      <c r="BJ160" s="41">
        <v>0</v>
      </c>
      <c r="BK160" s="41">
        <f t="shared" si="73"/>
        <v>-3</v>
      </c>
      <c r="BL160" s="41">
        <v>185</v>
      </c>
      <c r="BM160" s="55"/>
      <c r="BN160" s="41">
        <v>188</v>
      </c>
      <c r="BO160" s="50">
        <v>0</v>
      </c>
      <c r="BP160" s="50">
        <v>0</v>
      </c>
      <c r="BQ160" s="41">
        <v>0</v>
      </c>
      <c r="BR160" s="41">
        <v>0</v>
      </c>
      <c r="BS160" s="41">
        <f t="shared" si="64"/>
        <v>-1</v>
      </c>
      <c r="BT160" s="41">
        <v>187</v>
      </c>
      <c r="BV160" s="41">
        <v>195</v>
      </c>
      <c r="BW160" s="50">
        <v>0</v>
      </c>
      <c r="BX160" s="41">
        <f t="shared" si="67"/>
        <v>-3</v>
      </c>
      <c r="BY160" s="41">
        <v>192</v>
      </c>
      <c r="CA160" s="41">
        <v>188</v>
      </c>
      <c r="CB160" s="50">
        <v>0</v>
      </c>
      <c r="CC160" s="41">
        <f t="shared" si="68"/>
        <v>0</v>
      </c>
      <c r="CD160" s="41">
        <v>188</v>
      </c>
      <c r="CF160" s="41">
        <v>209</v>
      </c>
      <c r="CG160" s="50">
        <v>0</v>
      </c>
      <c r="CH160" s="41">
        <v>0</v>
      </c>
      <c r="CI160" s="41">
        <f t="shared" si="65"/>
        <v>209</v>
      </c>
      <c r="CJ160" s="41">
        <v>247</v>
      </c>
      <c r="CK160" s="50">
        <v>0</v>
      </c>
      <c r="CL160" s="41">
        <f t="shared" si="76"/>
        <v>247</v>
      </c>
      <c r="CM160" s="41">
        <v>209</v>
      </c>
      <c r="CN160" s="50">
        <v>0</v>
      </c>
      <c r="CO160" s="41">
        <v>0</v>
      </c>
      <c r="CP160" s="41">
        <f t="shared" si="66"/>
        <v>209</v>
      </c>
      <c r="CQ160" s="41">
        <v>189</v>
      </c>
      <c r="CR160" s="50">
        <v>0</v>
      </c>
      <c r="CS160" s="41">
        <f t="shared" si="63"/>
        <v>189</v>
      </c>
      <c r="CU160" s="44" t="s">
        <v>524</v>
      </c>
    </row>
    <row r="161" spans="1:99">
      <c r="A161" s="39" t="s">
        <v>63</v>
      </c>
      <c r="B161" s="39" t="s">
        <v>162</v>
      </c>
      <c r="C161" s="39" t="s">
        <v>163</v>
      </c>
      <c r="D161" s="56"/>
      <c r="E161" s="68" t="s">
        <v>170</v>
      </c>
      <c r="H161" s="51">
        <v>-100</v>
      </c>
      <c r="I161" s="49">
        <v>0</v>
      </c>
      <c r="J161" s="49">
        <v>0</v>
      </c>
      <c r="K161" s="51">
        <f t="shared" si="69"/>
        <v>-100</v>
      </c>
      <c r="L161" s="51">
        <f t="shared" si="61"/>
        <v>100</v>
      </c>
      <c r="M161" s="51">
        <v>0</v>
      </c>
      <c r="N161" s="52"/>
      <c r="O161" s="41">
        <v>0</v>
      </c>
      <c r="P161" s="50">
        <v>0</v>
      </c>
      <c r="Q161" s="50">
        <v>0</v>
      </c>
      <c r="R161" s="50">
        <v>0</v>
      </c>
      <c r="S161" s="41">
        <v>0</v>
      </c>
      <c r="T161" s="41">
        <v>0</v>
      </c>
      <c r="U161" s="41"/>
      <c r="V161" s="41">
        <v>0</v>
      </c>
      <c r="W161" s="50">
        <v>0</v>
      </c>
      <c r="X161" s="50">
        <v>0</v>
      </c>
      <c r="Y161" s="41">
        <f t="shared" si="70"/>
        <v>0</v>
      </c>
      <c r="Z161" s="41">
        <v>0</v>
      </c>
      <c r="AA161" s="41"/>
      <c r="AB161" s="41">
        <v>0</v>
      </c>
      <c r="AC161" s="41">
        <v>0</v>
      </c>
      <c r="AD161" s="50">
        <v>0</v>
      </c>
      <c r="AE161" s="41">
        <v>0</v>
      </c>
      <c r="AF161" s="41">
        <v>0</v>
      </c>
      <c r="AG161" s="41">
        <f t="shared" si="75"/>
        <v>0</v>
      </c>
      <c r="AH161" s="41">
        <v>0</v>
      </c>
      <c r="AI161" s="41"/>
      <c r="AJ161" s="41">
        <v>0</v>
      </c>
      <c r="AK161" s="50">
        <v>0</v>
      </c>
      <c r="AL161" s="41">
        <v>0</v>
      </c>
      <c r="AM161" s="50">
        <v>0</v>
      </c>
      <c r="AN161" s="41">
        <f t="shared" si="71"/>
        <v>0</v>
      </c>
      <c r="AO161" s="41">
        <v>0</v>
      </c>
      <c r="AP161" s="41"/>
      <c r="AQ161" s="53">
        <v>0</v>
      </c>
      <c r="AR161" s="54">
        <v>0</v>
      </c>
      <c r="AS161" s="54">
        <v>0</v>
      </c>
      <c r="AT161" s="53">
        <v>0</v>
      </c>
      <c r="AU161" s="41">
        <f t="shared" si="72"/>
        <v>0</v>
      </c>
      <c r="AV161" s="41">
        <v>0</v>
      </c>
      <c r="AW161" s="41"/>
      <c r="AX161" s="41">
        <v>0</v>
      </c>
      <c r="AY161" s="54">
        <v>0</v>
      </c>
      <c r="AZ161" s="50">
        <v>0</v>
      </c>
      <c r="BA161" s="50">
        <v>0</v>
      </c>
      <c r="BB161" s="41">
        <v>0</v>
      </c>
      <c r="BC161" s="41">
        <f t="shared" si="74"/>
        <v>0</v>
      </c>
      <c r="BD161" s="41">
        <v>0</v>
      </c>
      <c r="BF161" s="41">
        <v>0</v>
      </c>
      <c r="BG161" s="50">
        <v>0</v>
      </c>
      <c r="BH161" s="41">
        <v>0</v>
      </c>
      <c r="BI161" s="50">
        <v>0</v>
      </c>
      <c r="BJ161" s="41">
        <v>0</v>
      </c>
      <c r="BK161" s="41">
        <f t="shared" si="73"/>
        <v>0</v>
      </c>
      <c r="BL161" s="41">
        <v>0</v>
      </c>
      <c r="BM161" s="55"/>
      <c r="BN161" s="41">
        <v>0</v>
      </c>
      <c r="BO161" s="50">
        <v>0</v>
      </c>
      <c r="BP161" s="50">
        <v>0</v>
      </c>
      <c r="BQ161" s="41">
        <v>0</v>
      </c>
      <c r="BR161" s="41">
        <v>0</v>
      </c>
      <c r="BS161" s="41">
        <f t="shared" si="64"/>
        <v>0</v>
      </c>
      <c r="BT161" s="41">
        <v>0</v>
      </c>
      <c r="BV161" s="41">
        <v>0</v>
      </c>
      <c r="BW161" s="50">
        <v>0</v>
      </c>
      <c r="BX161" s="41">
        <f t="shared" si="67"/>
        <v>0</v>
      </c>
      <c r="BY161" s="41">
        <v>0</v>
      </c>
      <c r="CA161" s="41">
        <v>0</v>
      </c>
      <c r="CB161" s="50">
        <v>0</v>
      </c>
      <c r="CC161" s="41">
        <f t="shared" si="68"/>
        <v>0</v>
      </c>
      <c r="CD161" s="41">
        <v>0</v>
      </c>
      <c r="CF161" s="41">
        <v>0</v>
      </c>
      <c r="CG161" s="50">
        <v>0</v>
      </c>
      <c r="CH161" s="41">
        <v>0</v>
      </c>
      <c r="CI161" s="41">
        <f t="shared" si="65"/>
        <v>0</v>
      </c>
      <c r="CJ161" s="41">
        <v>0</v>
      </c>
      <c r="CK161" s="50">
        <v>0</v>
      </c>
      <c r="CL161" s="41">
        <f t="shared" si="76"/>
        <v>0</v>
      </c>
      <c r="CM161" s="41">
        <v>0</v>
      </c>
      <c r="CN161" s="50">
        <v>0</v>
      </c>
      <c r="CO161" s="41">
        <v>0</v>
      </c>
      <c r="CP161" s="41">
        <f t="shared" si="66"/>
        <v>0</v>
      </c>
      <c r="CQ161" s="41">
        <v>0</v>
      </c>
      <c r="CR161" s="50">
        <v>0</v>
      </c>
      <c r="CS161" s="41">
        <f t="shared" si="63"/>
        <v>0</v>
      </c>
    </row>
    <row r="162" spans="1:99">
      <c r="A162" s="39" t="s">
        <v>63</v>
      </c>
      <c r="B162" s="39" t="s">
        <v>162</v>
      </c>
      <c r="C162" s="39" t="s">
        <v>163</v>
      </c>
      <c r="D162" s="56">
        <v>99000301051</v>
      </c>
      <c r="E162" s="68" t="s">
        <v>171</v>
      </c>
      <c r="H162" s="51">
        <v>0</v>
      </c>
      <c r="I162" s="49">
        <v>0</v>
      </c>
      <c r="J162" s="49">
        <v>0</v>
      </c>
      <c r="K162" s="51">
        <f t="shared" si="69"/>
        <v>0</v>
      </c>
      <c r="L162" s="51">
        <f t="shared" si="61"/>
        <v>0</v>
      </c>
      <c r="M162" s="51">
        <v>0</v>
      </c>
      <c r="N162" s="52"/>
      <c r="O162" s="41">
        <v>0</v>
      </c>
      <c r="P162" s="50">
        <v>0</v>
      </c>
      <c r="Q162" s="50">
        <v>0</v>
      </c>
      <c r="R162" s="50">
        <v>0</v>
      </c>
      <c r="S162" s="41">
        <v>0</v>
      </c>
      <c r="T162" s="41">
        <v>0</v>
      </c>
      <c r="U162" s="41"/>
      <c r="V162" s="41">
        <v>0</v>
      </c>
      <c r="W162" s="50">
        <v>0</v>
      </c>
      <c r="X162" s="50">
        <v>0</v>
      </c>
      <c r="Y162" s="41">
        <f t="shared" si="70"/>
        <v>0</v>
      </c>
      <c r="Z162" s="41">
        <v>0</v>
      </c>
      <c r="AA162" s="41"/>
      <c r="AB162" s="41">
        <v>0</v>
      </c>
      <c r="AC162" s="41">
        <v>0</v>
      </c>
      <c r="AD162" s="50">
        <v>0</v>
      </c>
      <c r="AE162" s="41">
        <v>0</v>
      </c>
      <c r="AF162" s="41">
        <v>0</v>
      </c>
      <c r="AG162" s="41">
        <f t="shared" si="75"/>
        <v>0</v>
      </c>
      <c r="AH162" s="41">
        <v>0</v>
      </c>
      <c r="AI162" s="41"/>
      <c r="AJ162" s="41">
        <v>0</v>
      </c>
      <c r="AK162" s="50">
        <v>0</v>
      </c>
      <c r="AL162" s="41">
        <v>0</v>
      </c>
      <c r="AM162" s="50">
        <v>0</v>
      </c>
      <c r="AN162" s="41">
        <f t="shared" si="71"/>
        <v>0</v>
      </c>
      <c r="AO162" s="41">
        <v>0</v>
      </c>
      <c r="AP162" s="41"/>
      <c r="AQ162" s="53">
        <v>0</v>
      </c>
      <c r="AR162" s="54">
        <v>0</v>
      </c>
      <c r="AS162" s="54">
        <v>0</v>
      </c>
      <c r="AT162" s="53">
        <v>0</v>
      </c>
      <c r="AU162" s="41">
        <f t="shared" si="72"/>
        <v>0</v>
      </c>
      <c r="AV162" s="41">
        <v>0</v>
      </c>
      <c r="AW162" s="41"/>
      <c r="AX162" s="41">
        <v>0</v>
      </c>
      <c r="AY162" s="54">
        <v>0</v>
      </c>
      <c r="AZ162" s="50">
        <v>0</v>
      </c>
      <c r="BA162" s="50">
        <v>0</v>
      </c>
      <c r="BB162" s="41">
        <v>0</v>
      </c>
      <c r="BC162" s="41">
        <f t="shared" si="74"/>
        <v>0</v>
      </c>
      <c r="BD162" s="41">
        <v>0</v>
      </c>
      <c r="BF162" s="41">
        <v>0</v>
      </c>
      <c r="BG162" s="50">
        <v>0</v>
      </c>
      <c r="BH162" s="41">
        <v>0</v>
      </c>
      <c r="BI162" s="50">
        <v>0</v>
      </c>
      <c r="BJ162" s="41">
        <v>0</v>
      </c>
      <c r="BK162" s="41">
        <f t="shared" si="73"/>
        <v>0</v>
      </c>
      <c r="BL162" s="41">
        <v>0</v>
      </c>
      <c r="BM162" s="55"/>
      <c r="BN162" s="41">
        <v>0</v>
      </c>
      <c r="BO162" s="50">
        <v>0</v>
      </c>
      <c r="BP162" s="50">
        <v>0</v>
      </c>
      <c r="BQ162" s="41">
        <v>0</v>
      </c>
      <c r="BR162" s="41">
        <v>0</v>
      </c>
      <c r="BS162" s="41">
        <f t="shared" si="64"/>
        <v>0</v>
      </c>
      <c r="BT162" s="41">
        <v>0</v>
      </c>
      <c r="BV162" s="41">
        <v>-125</v>
      </c>
      <c r="BW162" s="50">
        <v>0</v>
      </c>
      <c r="BX162" s="41">
        <f t="shared" si="67"/>
        <v>125</v>
      </c>
      <c r="BY162" s="41">
        <v>0</v>
      </c>
      <c r="CA162" s="41">
        <v>0</v>
      </c>
      <c r="CB162" s="50">
        <v>0</v>
      </c>
      <c r="CC162" s="41">
        <f t="shared" si="68"/>
        <v>0</v>
      </c>
      <c r="CD162" s="41">
        <v>0</v>
      </c>
      <c r="CF162" s="41">
        <v>0</v>
      </c>
      <c r="CG162" s="50">
        <v>0</v>
      </c>
      <c r="CH162" s="41">
        <v>0</v>
      </c>
      <c r="CI162" s="41">
        <f t="shared" si="65"/>
        <v>0</v>
      </c>
      <c r="CJ162" s="41">
        <v>-40</v>
      </c>
      <c r="CK162" s="50">
        <v>0</v>
      </c>
      <c r="CL162" s="41">
        <f t="shared" si="76"/>
        <v>-40</v>
      </c>
      <c r="CM162" s="41">
        <v>-40</v>
      </c>
      <c r="CN162" s="50">
        <v>0</v>
      </c>
      <c r="CO162" s="41">
        <v>0</v>
      </c>
      <c r="CP162" s="41">
        <f t="shared" si="66"/>
        <v>-40</v>
      </c>
      <c r="CQ162" s="41">
        <v>-65</v>
      </c>
      <c r="CR162" s="50">
        <v>0</v>
      </c>
      <c r="CS162" s="41">
        <f t="shared" si="63"/>
        <v>-65</v>
      </c>
      <c r="CU162" s="39" t="s">
        <v>525</v>
      </c>
    </row>
    <row r="163" spans="1:99">
      <c r="A163" s="39" t="s">
        <v>63</v>
      </c>
      <c r="B163" s="39" t="s">
        <v>162</v>
      </c>
      <c r="C163" s="39" t="s">
        <v>163</v>
      </c>
      <c r="D163" s="56"/>
      <c r="E163" s="68" t="s">
        <v>172</v>
      </c>
      <c r="H163" s="51">
        <v>0</v>
      </c>
      <c r="I163" s="49">
        <v>0</v>
      </c>
      <c r="J163" s="49">
        <v>0</v>
      </c>
      <c r="K163" s="51">
        <f t="shared" si="69"/>
        <v>0</v>
      </c>
      <c r="L163" s="51">
        <f t="shared" si="61"/>
        <v>0</v>
      </c>
      <c r="M163" s="51">
        <v>0</v>
      </c>
      <c r="N163" s="52"/>
      <c r="O163" s="41">
        <v>0</v>
      </c>
      <c r="P163" s="50">
        <v>0</v>
      </c>
      <c r="Q163" s="50">
        <v>0</v>
      </c>
      <c r="R163" s="50">
        <v>0</v>
      </c>
      <c r="S163" s="41">
        <v>0</v>
      </c>
      <c r="T163" s="41">
        <v>0</v>
      </c>
      <c r="U163" s="41"/>
      <c r="V163" s="41">
        <v>0</v>
      </c>
      <c r="W163" s="50">
        <v>0</v>
      </c>
      <c r="X163" s="50">
        <v>0</v>
      </c>
      <c r="Y163" s="41">
        <f t="shared" si="70"/>
        <v>0</v>
      </c>
      <c r="Z163" s="41">
        <v>0</v>
      </c>
      <c r="AA163" s="41"/>
      <c r="AB163" s="41">
        <v>0</v>
      </c>
      <c r="AC163" s="41">
        <v>0</v>
      </c>
      <c r="AD163" s="50">
        <v>0</v>
      </c>
      <c r="AE163" s="41">
        <v>0</v>
      </c>
      <c r="AF163" s="41">
        <v>0</v>
      </c>
      <c r="AG163" s="41">
        <f t="shared" si="75"/>
        <v>0</v>
      </c>
      <c r="AH163" s="41">
        <v>0</v>
      </c>
      <c r="AI163" s="41"/>
      <c r="AJ163" s="41">
        <v>0</v>
      </c>
      <c r="AK163" s="50">
        <v>0</v>
      </c>
      <c r="AL163" s="41">
        <v>0</v>
      </c>
      <c r="AM163" s="50">
        <v>0</v>
      </c>
      <c r="AN163" s="41">
        <f t="shared" si="71"/>
        <v>0</v>
      </c>
      <c r="AO163" s="41">
        <v>0</v>
      </c>
      <c r="AP163" s="41"/>
      <c r="AQ163" s="53">
        <v>0</v>
      </c>
      <c r="AR163" s="54">
        <v>0</v>
      </c>
      <c r="AS163" s="54">
        <v>0</v>
      </c>
      <c r="AT163" s="53">
        <v>0</v>
      </c>
      <c r="AU163" s="41">
        <f t="shared" si="72"/>
        <v>0</v>
      </c>
      <c r="AV163" s="41">
        <v>0</v>
      </c>
      <c r="AW163" s="41"/>
      <c r="AX163" s="41">
        <v>0</v>
      </c>
      <c r="AY163" s="54">
        <v>0</v>
      </c>
      <c r="AZ163" s="50">
        <v>0</v>
      </c>
      <c r="BA163" s="50">
        <v>-135</v>
      </c>
      <c r="BB163" s="41">
        <v>-2</v>
      </c>
      <c r="BC163" s="41">
        <f t="shared" si="74"/>
        <v>137</v>
      </c>
      <c r="BD163" s="41">
        <v>0</v>
      </c>
      <c r="BF163" s="41">
        <v>0</v>
      </c>
      <c r="BG163" s="50">
        <v>0</v>
      </c>
      <c r="BH163" s="41">
        <v>0</v>
      </c>
      <c r="BI163" s="50">
        <v>0</v>
      </c>
      <c r="BJ163" s="41">
        <v>0</v>
      </c>
      <c r="BK163" s="41">
        <f t="shared" si="73"/>
        <v>0</v>
      </c>
      <c r="BL163" s="41">
        <v>0</v>
      </c>
      <c r="BM163" s="55"/>
      <c r="BN163" s="41">
        <v>0</v>
      </c>
      <c r="BO163" s="50">
        <v>0</v>
      </c>
      <c r="BP163" s="50">
        <v>0</v>
      </c>
      <c r="BQ163" s="41">
        <v>0</v>
      </c>
      <c r="BR163" s="41">
        <v>0</v>
      </c>
      <c r="BS163" s="41">
        <f t="shared" si="64"/>
        <v>0</v>
      </c>
      <c r="BT163" s="41">
        <v>0</v>
      </c>
      <c r="BV163" s="41">
        <v>-381</v>
      </c>
      <c r="BW163" s="50">
        <v>0</v>
      </c>
      <c r="BX163" s="41">
        <f t="shared" si="67"/>
        <v>381</v>
      </c>
      <c r="BY163" s="41">
        <v>0</v>
      </c>
      <c r="CA163" s="41">
        <v>0</v>
      </c>
      <c r="CB163" s="50">
        <v>0</v>
      </c>
      <c r="CC163" s="41">
        <f t="shared" si="68"/>
        <v>0</v>
      </c>
      <c r="CD163" s="41">
        <v>0</v>
      </c>
      <c r="CF163" s="41">
        <v>0</v>
      </c>
      <c r="CG163" s="50">
        <v>0</v>
      </c>
      <c r="CH163" s="41">
        <v>0</v>
      </c>
      <c r="CI163" s="41">
        <f t="shared" si="65"/>
        <v>0</v>
      </c>
      <c r="CJ163" s="41">
        <v>0</v>
      </c>
      <c r="CK163" s="50">
        <v>0</v>
      </c>
      <c r="CL163" s="41">
        <f t="shared" si="76"/>
        <v>0</v>
      </c>
      <c r="CM163" s="41">
        <v>0</v>
      </c>
      <c r="CN163" s="50">
        <v>0</v>
      </c>
      <c r="CO163" s="41">
        <v>0</v>
      </c>
      <c r="CP163" s="41">
        <f t="shared" si="66"/>
        <v>0</v>
      </c>
      <c r="CQ163" s="41">
        <v>0</v>
      </c>
      <c r="CR163" s="50">
        <v>0</v>
      </c>
      <c r="CS163" s="41">
        <f t="shared" si="63"/>
        <v>0</v>
      </c>
    </row>
    <row r="164" spans="1:99">
      <c r="A164" s="39" t="s">
        <v>63</v>
      </c>
      <c r="B164" s="39" t="s">
        <v>173</v>
      </c>
      <c r="C164" s="39" t="s">
        <v>6</v>
      </c>
      <c r="D164" s="56">
        <v>17120501051</v>
      </c>
      <c r="E164" s="68" t="s">
        <v>174</v>
      </c>
      <c r="H164" s="51">
        <v>1110</v>
      </c>
      <c r="I164" s="49">
        <v>2</v>
      </c>
      <c r="J164" s="49">
        <v>0</v>
      </c>
      <c r="K164" s="51">
        <f t="shared" si="69"/>
        <v>1112</v>
      </c>
      <c r="L164" s="51">
        <f t="shared" si="61"/>
        <v>4</v>
      </c>
      <c r="M164" s="51">
        <v>1116</v>
      </c>
      <c r="N164" s="52"/>
      <c r="O164" s="41">
        <v>1092</v>
      </c>
      <c r="P164" s="50">
        <v>212</v>
      </c>
      <c r="Q164" s="50">
        <v>0</v>
      </c>
      <c r="R164" s="50">
        <v>76</v>
      </c>
      <c r="S164" s="41">
        <v>-28</v>
      </c>
      <c r="T164" s="41">
        <v>1352</v>
      </c>
      <c r="U164" s="41"/>
      <c r="V164" s="41">
        <v>1192</v>
      </c>
      <c r="W164" s="50">
        <v>46</v>
      </c>
      <c r="X164" s="50">
        <v>0</v>
      </c>
      <c r="Y164" s="41">
        <f t="shared" si="70"/>
        <v>7</v>
      </c>
      <c r="Z164" s="41">
        <v>1245</v>
      </c>
      <c r="AA164" s="41"/>
      <c r="AB164" s="41">
        <v>1046</v>
      </c>
      <c r="AC164" s="41">
        <v>139</v>
      </c>
      <c r="AD164" s="50">
        <v>140</v>
      </c>
      <c r="AE164" s="41">
        <v>0</v>
      </c>
      <c r="AF164" s="41">
        <v>0</v>
      </c>
      <c r="AG164" s="41">
        <f t="shared" si="75"/>
        <v>-5</v>
      </c>
      <c r="AH164" s="41">
        <v>1320</v>
      </c>
      <c r="AI164" s="41"/>
      <c r="AJ164" s="41">
        <v>1096</v>
      </c>
      <c r="AK164" s="50">
        <v>0</v>
      </c>
      <c r="AL164" s="41">
        <v>336</v>
      </c>
      <c r="AM164" s="50">
        <v>0</v>
      </c>
      <c r="AN164" s="41">
        <f t="shared" si="71"/>
        <v>0</v>
      </c>
      <c r="AO164" s="41">
        <v>1432</v>
      </c>
      <c r="AP164" s="41"/>
      <c r="AQ164" s="53">
        <v>1103</v>
      </c>
      <c r="AR164" s="54">
        <v>0</v>
      </c>
      <c r="AS164" s="54">
        <v>371</v>
      </c>
      <c r="AT164" s="53">
        <v>0</v>
      </c>
      <c r="AU164" s="41">
        <f t="shared" si="72"/>
        <v>59</v>
      </c>
      <c r="AV164" s="41">
        <v>1533</v>
      </c>
      <c r="AW164" s="41"/>
      <c r="AX164" s="41">
        <v>2187</v>
      </c>
      <c r="AY164" s="54">
        <v>0</v>
      </c>
      <c r="AZ164" s="50">
        <v>0</v>
      </c>
      <c r="BA164" s="50">
        <v>296</v>
      </c>
      <c r="BB164" s="41">
        <v>60</v>
      </c>
      <c r="BC164" s="41">
        <f t="shared" si="74"/>
        <v>0</v>
      </c>
      <c r="BD164" s="41">
        <v>2543</v>
      </c>
      <c r="BF164" s="41">
        <v>3333</v>
      </c>
      <c r="BG164" s="50">
        <v>0</v>
      </c>
      <c r="BH164" s="41">
        <v>280</v>
      </c>
      <c r="BI164" s="50">
        <v>75</v>
      </c>
      <c r="BJ164" s="41">
        <v>161</v>
      </c>
      <c r="BK164" s="41">
        <f t="shared" si="73"/>
        <v>0</v>
      </c>
      <c r="BL164" s="41">
        <v>3849</v>
      </c>
      <c r="BM164" s="55"/>
      <c r="BN164" s="41">
        <v>3483</v>
      </c>
      <c r="BO164" s="50">
        <v>0</v>
      </c>
      <c r="BP164" s="50">
        <v>0</v>
      </c>
      <c r="BQ164" s="41">
        <v>0</v>
      </c>
      <c r="BR164" s="41">
        <v>-110</v>
      </c>
      <c r="BS164" s="41">
        <f t="shared" si="64"/>
        <v>0</v>
      </c>
      <c r="BT164" s="41">
        <v>3373</v>
      </c>
      <c r="BV164" s="41">
        <v>3243</v>
      </c>
      <c r="BW164" s="50">
        <v>0</v>
      </c>
      <c r="BX164" s="41">
        <f t="shared" si="67"/>
        <v>-7</v>
      </c>
      <c r="BY164" s="41">
        <v>3236</v>
      </c>
      <c r="CA164" s="41">
        <v>2087</v>
      </c>
      <c r="CB164" s="50">
        <v>190</v>
      </c>
      <c r="CC164" s="41">
        <f t="shared" si="68"/>
        <v>0</v>
      </c>
      <c r="CD164" s="41">
        <v>2277</v>
      </c>
      <c r="CF164" s="41">
        <v>1351</v>
      </c>
      <c r="CG164" s="50">
        <v>134</v>
      </c>
      <c r="CH164" s="41">
        <v>0</v>
      </c>
      <c r="CI164" s="41">
        <f t="shared" si="65"/>
        <v>1485</v>
      </c>
      <c r="CJ164" s="41">
        <v>1618</v>
      </c>
      <c r="CK164" s="50">
        <v>0</v>
      </c>
      <c r="CL164" s="41">
        <f t="shared" si="76"/>
        <v>1618</v>
      </c>
      <c r="CM164" s="41">
        <v>1118</v>
      </c>
      <c r="CN164" s="50">
        <v>0</v>
      </c>
      <c r="CO164" s="41">
        <v>0</v>
      </c>
      <c r="CP164" s="41">
        <f t="shared" si="66"/>
        <v>1118</v>
      </c>
      <c r="CQ164" s="41">
        <v>1704</v>
      </c>
      <c r="CR164" s="50">
        <v>0</v>
      </c>
      <c r="CS164" s="41">
        <f t="shared" si="63"/>
        <v>1704</v>
      </c>
      <c r="CU164" s="39" t="s">
        <v>526</v>
      </c>
    </row>
    <row r="165" spans="1:99">
      <c r="A165" s="39" t="s">
        <v>63</v>
      </c>
      <c r="B165" s="39" t="s">
        <v>173</v>
      </c>
      <c r="C165" s="39" t="s">
        <v>6</v>
      </c>
      <c r="D165" s="57">
        <v>17123501051</v>
      </c>
      <c r="E165" s="68" t="s">
        <v>175</v>
      </c>
      <c r="H165" s="51">
        <v>51</v>
      </c>
      <c r="I165" s="49">
        <v>0</v>
      </c>
      <c r="J165" s="49">
        <v>0</v>
      </c>
      <c r="K165" s="51">
        <f t="shared" si="69"/>
        <v>51</v>
      </c>
      <c r="L165" s="51">
        <f t="shared" si="61"/>
        <v>0</v>
      </c>
      <c r="M165" s="51">
        <v>51</v>
      </c>
      <c r="N165" s="52"/>
      <c r="O165" s="41">
        <v>68</v>
      </c>
      <c r="P165" s="50">
        <v>7</v>
      </c>
      <c r="Q165" s="50">
        <v>0</v>
      </c>
      <c r="R165" s="50">
        <v>0</v>
      </c>
      <c r="S165" s="41">
        <v>0</v>
      </c>
      <c r="T165" s="41">
        <v>75</v>
      </c>
      <c r="U165" s="41"/>
      <c r="V165" s="41">
        <v>45</v>
      </c>
      <c r="W165" s="50">
        <v>0</v>
      </c>
      <c r="X165" s="50">
        <v>0</v>
      </c>
      <c r="Y165" s="41">
        <f t="shared" si="70"/>
        <v>0</v>
      </c>
      <c r="Z165" s="41">
        <v>45</v>
      </c>
      <c r="AA165" s="41"/>
      <c r="AB165" s="41">
        <v>44</v>
      </c>
      <c r="AC165" s="41">
        <v>0</v>
      </c>
      <c r="AD165" s="50">
        <v>0</v>
      </c>
      <c r="AE165" s="41">
        <v>0</v>
      </c>
      <c r="AF165" s="41">
        <v>0</v>
      </c>
      <c r="AG165" s="41">
        <f t="shared" si="75"/>
        <v>5</v>
      </c>
      <c r="AH165" s="41">
        <v>49</v>
      </c>
      <c r="AI165" s="41"/>
      <c r="AJ165" s="41">
        <v>30</v>
      </c>
      <c r="AK165" s="50">
        <v>0</v>
      </c>
      <c r="AL165" s="41">
        <v>94</v>
      </c>
      <c r="AM165" s="50">
        <v>0</v>
      </c>
      <c r="AN165" s="41">
        <f t="shared" si="71"/>
        <v>1</v>
      </c>
      <c r="AO165" s="41">
        <v>125</v>
      </c>
      <c r="AP165" s="41"/>
      <c r="AQ165" s="53">
        <v>43</v>
      </c>
      <c r="AR165" s="54">
        <v>0</v>
      </c>
      <c r="AS165" s="54">
        <v>0</v>
      </c>
      <c r="AT165" s="53">
        <v>0</v>
      </c>
      <c r="AU165" s="41">
        <f t="shared" si="72"/>
        <v>0</v>
      </c>
      <c r="AV165" s="41">
        <v>43</v>
      </c>
      <c r="AW165" s="41"/>
      <c r="AX165" s="41">
        <v>64</v>
      </c>
      <c r="AY165" s="54">
        <v>0</v>
      </c>
      <c r="AZ165" s="50">
        <v>0</v>
      </c>
      <c r="BA165" s="50">
        <v>0</v>
      </c>
      <c r="BB165" s="41">
        <v>0</v>
      </c>
      <c r="BC165" s="41">
        <f t="shared" si="74"/>
        <v>0</v>
      </c>
      <c r="BD165" s="41">
        <v>64</v>
      </c>
      <c r="BF165" s="41">
        <v>57</v>
      </c>
      <c r="BG165" s="50">
        <v>0</v>
      </c>
      <c r="BH165" s="41">
        <v>0</v>
      </c>
      <c r="BI165" s="50">
        <v>0</v>
      </c>
      <c r="BJ165" s="41">
        <v>0</v>
      </c>
      <c r="BK165" s="41">
        <f t="shared" si="73"/>
        <v>0</v>
      </c>
      <c r="BL165" s="41">
        <v>57</v>
      </c>
      <c r="BM165" s="55"/>
      <c r="BN165" s="41">
        <v>126</v>
      </c>
      <c r="BO165" s="50">
        <v>0</v>
      </c>
      <c r="BP165" s="50">
        <v>0</v>
      </c>
      <c r="BQ165" s="41">
        <v>0</v>
      </c>
      <c r="BR165" s="41">
        <v>0</v>
      </c>
      <c r="BS165" s="41">
        <f t="shared" si="64"/>
        <v>0</v>
      </c>
      <c r="BT165" s="41">
        <v>126</v>
      </c>
      <c r="BV165" s="41">
        <v>62</v>
      </c>
      <c r="BW165" s="50">
        <v>0</v>
      </c>
      <c r="BX165" s="41">
        <f t="shared" si="67"/>
        <v>0</v>
      </c>
      <c r="BY165" s="41">
        <v>62</v>
      </c>
      <c r="CA165" s="41">
        <v>26</v>
      </c>
      <c r="CB165" s="50">
        <v>0</v>
      </c>
      <c r="CC165" s="41">
        <f t="shared" si="68"/>
        <v>0</v>
      </c>
      <c r="CD165" s="41">
        <v>26</v>
      </c>
      <c r="CF165" s="41">
        <v>45</v>
      </c>
      <c r="CG165" s="50">
        <v>0</v>
      </c>
      <c r="CH165" s="41">
        <v>0</v>
      </c>
      <c r="CI165" s="41">
        <f t="shared" si="65"/>
        <v>45</v>
      </c>
      <c r="CJ165" s="41">
        <v>29</v>
      </c>
      <c r="CK165" s="50">
        <v>0</v>
      </c>
      <c r="CL165" s="41">
        <f t="shared" si="76"/>
        <v>29</v>
      </c>
      <c r="CM165" s="41">
        <v>52</v>
      </c>
      <c r="CN165" s="50">
        <v>0</v>
      </c>
      <c r="CO165" s="41">
        <v>0</v>
      </c>
      <c r="CP165" s="41">
        <f t="shared" si="66"/>
        <v>52</v>
      </c>
      <c r="CQ165" s="41">
        <v>36</v>
      </c>
      <c r="CR165" s="50">
        <v>0</v>
      </c>
      <c r="CS165" s="41">
        <f t="shared" si="63"/>
        <v>36</v>
      </c>
      <c r="CU165" s="44" t="s">
        <v>527</v>
      </c>
    </row>
    <row r="166" spans="1:99">
      <c r="A166" s="39" t="s">
        <v>63</v>
      </c>
      <c r="B166" s="39" t="s">
        <v>173</v>
      </c>
      <c r="C166" s="39" t="s">
        <v>6</v>
      </c>
      <c r="D166" s="56">
        <v>21205001051</v>
      </c>
      <c r="E166" s="68" t="s">
        <v>176</v>
      </c>
      <c r="H166" s="51">
        <v>1722</v>
      </c>
      <c r="I166" s="49">
        <v>21</v>
      </c>
      <c r="J166" s="49">
        <v>0</v>
      </c>
      <c r="K166" s="51">
        <f t="shared" si="69"/>
        <v>1743</v>
      </c>
      <c r="L166" s="51">
        <f t="shared" si="61"/>
        <v>36</v>
      </c>
      <c r="M166" s="51">
        <v>1779</v>
      </c>
      <c r="N166" s="52"/>
      <c r="O166" s="41">
        <v>1422</v>
      </c>
      <c r="P166" s="50">
        <v>212</v>
      </c>
      <c r="Q166" s="50">
        <v>0</v>
      </c>
      <c r="R166" s="50">
        <v>0</v>
      </c>
      <c r="S166" s="41">
        <v>4</v>
      </c>
      <c r="T166" s="41">
        <v>1638</v>
      </c>
      <c r="U166" s="41"/>
      <c r="V166" s="41">
        <v>1264</v>
      </c>
      <c r="W166" s="50">
        <v>162</v>
      </c>
      <c r="X166" s="50">
        <v>0</v>
      </c>
      <c r="Y166" s="41">
        <f t="shared" si="70"/>
        <v>-6</v>
      </c>
      <c r="Z166" s="41">
        <v>1420</v>
      </c>
      <c r="AA166" s="41"/>
      <c r="AB166" s="41">
        <v>1962</v>
      </c>
      <c r="AC166" s="41">
        <v>0</v>
      </c>
      <c r="AD166" s="50">
        <v>847</v>
      </c>
      <c r="AE166" s="41">
        <v>0</v>
      </c>
      <c r="AF166" s="41">
        <v>0</v>
      </c>
      <c r="AG166" s="41">
        <f t="shared" si="75"/>
        <v>12</v>
      </c>
      <c r="AH166" s="41">
        <v>2821</v>
      </c>
      <c r="AI166" s="41"/>
      <c r="AJ166" s="41">
        <v>1738</v>
      </c>
      <c r="AK166" s="50">
        <v>0</v>
      </c>
      <c r="AL166" s="41">
        <v>0</v>
      </c>
      <c r="AM166" s="50">
        <v>187</v>
      </c>
      <c r="AN166" s="41">
        <f t="shared" si="71"/>
        <v>13</v>
      </c>
      <c r="AO166" s="41">
        <v>1938</v>
      </c>
      <c r="AP166" s="41"/>
      <c r="AQ166" s="53">
        <v>1974</v>
      </c>
      <c r="AR166" s="54">
        <v>0</v>
      </c>
      <c r="AS166" s="54">
        <v>1262</v>
      </c>
      <c r="AT166" s="53">
        <v>0</v>
      </c>
      <c r="AU166" s="41">
        <f t="shared" si="72"/>
        <v>7</v>
      </c>
      <c r="AV166" s="41">
        <v>3243</v>
      </c>
      <c r="AW166" s="41"/>
      <c r="AX166" s="41">
        <v>3928</v>
      </c>
      <c r="AY166" s="54">
        <v>0</v>
      </c>
      <c r="AZ166" s="50">
        <v>0</v>
      </c>
      <c r="BA166" s="50">
        <v>921</v>
      </c>
      <c r="BB166" s="41">
        <v>387</v>
      </c>
      <c r="BC166" s="41">
        <f t="shared" si="74"/>
        <v>35</v>
      </c>
      <c r="BD166" s="41">
        <v>5271</v>
      </c>
      <c r="BF166" s="41">
        <v>4641</v>
      </c>
      <c r="BG166" s="50">
        <v>0</v>
      </c>
      <c r="BH166" s="41">
        <v>180</v>
      </c>
      <c r="BI166" s="50">
        <v>1031</v>
      </c>
      <c r="BJ166" s="41">
        <v>152</v>
      </c>
      <c r="BK166" s="41">
        <f t="shared" si="73"/>
        <v>0</v>
      </c>
      <c r="BL166" s="41">
        <v>6004</v>
      </c>
      <c r="BM166" s="55"/>
      <c r="BN166" s="41">
        <v>3457</v>
      </c>
      <c r="BO166" s="50">
        <v>924</v>
      </c>
      <c r="BP166" s="50">
        <v>242</v>
      </c>
      <c r="BQ166" s="41">
        <v>0</v>
      </c>
      <c r="BR166" s="41">
        <v>-340</v>
      </c>
      <c r="BS166" s="41">
        <f t="shared" si="64"/>
        <v>0</v>
      </c>
      <c r="BT166" s="41">
        <v>4283</v>
      </c>
      <c r="BV166" s="41">
        <v>3525</v>
      </c>
      <c r="BW166" s="50">
        <v>981</v>
      </c>
      <c r="BX166" s="41">
        <f t="shared" si="67"/>
        <v>-8</v>
      </c>
      <c r="BY166" s="41">
        <v>4498</v>
      </c>
      <c r="CA166" s="41">
        <v>2907</v>
      </c>
      <c r="CB166" s="50">
        <v>-155</v>
      </c>
      <c r="CC166" s="41">
        <f t="shared" si="68"/>
        <v>0</v>
      </c>
      <c r="CD166" s="41">
        <v>2752</v>
      </c>
      <c r="CF166" s="41">
        <v>1678</v>
      </c>
      <c r="CG166" s="50">
        <v>-151</v>
      </c>
      <c r="CH166" s="41">
        <v>0</v>
      </c>
      <c r="CI166" s="41">
        <f t="shared" si="65"/>
        <v>1527</v>
      </c>
      <c r="CJ166" s="41">
        <v>905</v>
      </c>
      <c r="CK166" s="50">
        <v>0</v>
      </c>
      <c r="CL166" s="41">
        <f t="shared" si="76"/>
        <v>905</v>
      </c>
      <c r="CM166" s="41">
        <v>539</v>
      </c>
      <c r="CN166" s="50">
        <v>37</v>
      </c>
      <c r="CO166" s="41">
        <v>0</v>
      </c>
      <c r="CP166" s="41">
        <f t="shared" si="66"/>
        <v>576</v>
      </c>
      <c r="CQ166" s="41">
        <v>642</v>
      </c>
      <c r="CR166" s="50">
        <v>0</v>
      </c>
      <c r="CS166" s="41">
        <f t="shared" si="63"/>
        <v>642</v>
      </c>
      <c r="CU166" s="39" t="s">
        <v>528</v>
      </c>
    </row>
    <row r="167" spans="1:99">
      <c r="A167" s="39" t="s">
        <v>63</v>
      </c>
      <c r="B167" s="39" t="s">
        <v>173</v>
      </c>
      <c r="C167" s="39" t="s">
        <v>6</v>
      </c>
      <c r="D167" s="56">
        <v>21208501051</v>
      </c>
      <c r="E167" s="68" t="s">
        <v>177</v>
      </c>
      <c r="H167" s="51">
        <v>401</v>
      </c>
      <c r="I167" s="49">
        <v>0</v>
      </c>
      <c r="J167" s="49">
        <v>0</v>
      </c>
      <c r="K167" s="51">
        <f t="shared" si="69"/>
        <v>401</v>
      </c>
      <c r="L167" s="51">
        <f t="shared" si="61"/>
        <v>0</v>
      </c>
      <c r="M167" s="51">
        <v>401</v>
      </c>
      <c r="N167" s="52"/>
      <c r="O167" s="41">
        <v>241</v>
      </c>
      <c r="P167" s="50">
        <v>0</v>
      </c>
      <c r="Q167" s="50">
        <v>0</v>
      </c>
      <c r="R167" s="50">
        <v>0</v>
      </c>
      <c r="S167" s="41">
        <v>0</v>
      </c>
      <c r="T167" s="41">
        <v>241</v>
      </c>
      <c r="U167" s="41"/>
      <c r="V167" s="41">
        <v>312</v>
      </c>
      <c r="W167" s="50">
        <v>0</v>
      </c>
      <c r="X167" s="50">
        <v>0</v>
      </c>
      <c r="Y167" s="41">
        <f t="shared" si="70"/>
        <v>0</v>
      </c>
      <c r="Z167" s="41">
        <v>312</v>
      </c>
      <c r="AA167" s="41"/>
      <c r="AB167" s="41">
        <v>447</v>
      </c>
      <c r="AC167" s="41">
        <v>0</v>
      </c>
      <c r="AD167" s="50">
        <v>0</v>
      </c>
      <c r="AE167" s="41">
        <v>0</v>
      </c>
      <c r="AF167" s="41">
        <v>0</v>
      </c>
      <c r="AG167" s="41">
        <f t="shared" si="75"/>
        <v>0</v>
      </c>
      <c r="AH167" s="41">
        <v>447</v>
      </c>
      <c r="AI167" s="41"/>
      <c r="AJ167" s="41">
        <v>518</v>
      </c>
      <c r="AK167" s="50">
        <v>0</v>
      </c>
      <c r="AL167" s="41">
        <v>584</v>
      </c>
      <c r="AM167" s="50">
        <v>0</v>
      </c>
      <c r="AN167" s="41">
        <f t="shared" si="71"/>
        <v>0</v>
      </c>
      <c r="AO167" s="41">
        <v>1102</v>
      </c>
      <c r="AP167" s="41"/>
      <c r="AQ167" s="53">
        <v>471</v>
      </c>
      <c r="AR167" s="54">
        <v>0</v>
      </c>
      <c r="AS167" s="54">
        <v>0</v>
      </c>
      <c r="AT167" s="53">
        <v>0</v>
      </c>
      <c r="AU167" s="41">
        <f t="shared" si="72"/>
        <v>0</v>
      </c>
      <c r="AV167" s="41">
        <v>471</v>
      </c>
      <c r="AW167" s="41"/>
      <c r="AX167" s="41">
        <v>537</v>
      </c>
      <c r="AY167" s="54">
        <v>0</v>
      </c>
      <c r="AZ167" s="50">
        <v>0</v>
      </c>
      <c r="BA167" s="50">
        <v>0</v>
      </c>
      <c r="BB167" s="41">
        <v>0</v>
      </c>
      <c r="BC167" s="41">
        <f t="shared" si="74"/>
        <v>25</v>
      </c>
      <c r="BD167" s="41">
        <v>562</v>
      </c>
      <c r="BF167" s="41">
        <v>882</v>
      </c>
      <c r="BG167" s="50">
        <v>0</v>
      </c>
      <c r="BH167" s="41">
        <v>50</v>
      </c>
      <c r="BI167" s="50">
        <v>0</v>
      </c>
      <c r="BJ167" s="41">
        <v>0</v>
      </c>
      <c r="BK167" s="41">
        <f t="shared" si="73"/>
        <v>0</v>
      </c>
      <c r="BL167" s="41">
        <v>932</v>
      </c>
      <c r="BM167" s="55"/>
      <c r="BN167" s="41">
        <v>549</v>
      </c>
      <c r="BO167" s="50">
        <v>0</v>
      </c>
      <c r="BP167" s="50">
        <v>0</v>
      </c>
      <c r="BQ167" s="41">
        <v>0</v>
      </c>
      <c r="BR167" s="41">
        <v>0</v>
      </c>
      <c r="BS167" s="41">
        <f t="shared" si="64"/>
        <v>0</v>
      </c>
      <c r="BT167" s="41">
        <v>549</v>
      </c>
      <c r="BV167" s="41">
        <v>874</v>
      </c>
      <c r="BW167" s="50">
        <v>0</v>
      </c>
      <c r="BX167" s="41">
        <f t="shared" si="67"/>
        <v>-2</v>
      </c>
      <c r="BY167" s="41">
        <v>872</v>
      </c>
      <c r="CA167" s="41">
        <v>774</v>
      </c>
      <c r="CB167" s="50">
        <v>0</v>
      </c>
      <c r="CC167" s="41">
        <f t="shared" si="68"/>
        <v>0</v>
      </c>
      <c r="CD167" s="41">
        <v>774</v>
      </c>
      <c r="CF167" s="41">
        <v>575</v>
      </c>
      <c r="CG167" s="50">
        <v>0</v>
      </c>
      <c r="CH167" s="41">
        <v>23</v>
      </c>
      <c r="CI167" s="41">
        <f t="shared" si="65"/>
        <v>598</v>
      </c>
      <c r="CJ167" s="41">
        <v>315</v>
      </c>
      <c r="CK167" s="50">
        <v>0</v>
      </c>
      <c r="CL167" s="41">
        <f t="shared" si="76"/>
        <v>315</v>
      </c>
      <c r="CM167" s="41">
        <v>134</v>
      </c>
      <c r="CN167" s="50">
        <v>0</v>
      </c>
      <c r="CO167" s="41">
        <v>0</v>
      </c>
      <c r="CP167" s="41">
        <f t="shared" si="66"/>
        <v>134</v>
      </c>
      <c r="CQ167" s="41">
        <v>248</v>
      </c>
      <c r="CR167" s="50">
        <v>0</v>
      </c>
      <c r="CS167" s="41">
        <f t="shared" si="63"/>
        <v>248</v>
      </c>
      <c r="CU167" s="39" t="s">
        <v>529</v>
      </c>
    </row>
    <row r="168" spans="1:99">
      <c r="A168" s="39" t="s">
        <v>63</v>
      </c>
      <c r="B168" s="39" t="s">
        <v>173</v>
      </c>
      <c r="C168" s="39" t="s">
        <v>6</v>
      </c>
      <c r="D168" s="56">
        <v>21208601051</v>
      </c>
      <c r="E168" s="68" t="s">
        <v>178</v>
      </c>
      <c r="H168" s="51">
        <v>165</v>
      </c>
      <c r="I168" s="49">
        <v>0</v>
      </c>
      <c r="J168" s="49">
        <v>0</v>
      </c>
      <c r="K168" s="51">
        <f t="shared" si="69"/>
        <v>165</v>
      </c>
      <c r="L168" s="51">
        <f t="shared" si="61"/>
        <v>0</v>
      </c>
      <c r="M168" s="51">
        <v>165</v>
      </c>
      <c r="N168" s="52"/>
      <c r="O168" s="41">
        <v>101</v>
      </c>
      <c r="P168" s="50">
        <v>0</v>
      </c>
      <c r="Q168" s="50">
        <v>0</v>
      </c>
      <c r="R168" s="50">
        <v>0</v>
      </c>
      <c r="S168" s="41">
        <v>0</v>
      </c>
      <c r="T168" s="41">
        <v>101</v>
      </c>
      <c r="U168" s="41"/>
      <c r="V168" s="41">
        <v>88</v>
      </c>
      <c r="W168" s="50">
        <v>0</v>
      </c>
      <c r="X168" s="50">
        <v>0</v>
      </c>
      <c r="Y168" s="41">
        <f t="shared" si="70"/>
        <v>0</v>
      </c>
      <c r="Z168" s="41">
        <v>88</v>
      </c>
      <c r="AA168" s="41"/>
      <c r="AB168" s="41">
        <v>92</v>
      </c>
      <c r="AC168" s="41">
        <v>9</v>
      </c>
      <c r="AD168" s="50">
        <v>0</v>
      </c>
      <c r="AE168" s="41">
        <v>0</v>
      </c>
      <c r="AF168" s="41">
        <v>0</v>
      </c>
      <c r="AG168" s="41">
        <f t="shared" si="75"/>
        <v>0</v>
      </c>
      <c r="AH168" s="41">
        <v>101</v>
      </c>
      <c r="AI168" s="41"/>
      <c r="AJ168" s="41">
        <v>151</v>
      </c>
      <c r="AK168" s="50">
        <v>0</v>
      </c>
      <c r="AL168" s="41">
        <v>0</v>
      </c>
      <c r="AM168" s="50">
        <v>0</v>
      </c>
      <c r="AN168" s="41">
        <f t="shared" si="71"/>
        <v>0</v>
      </c>
      <c r="AO168" s="41">
        <v>151</v>
      </c>
      <c r="AP168" s="41"/>
      <c r="AQ168" s="53">
        <v>166</v>
      </c>
      <c r="AR168" s="54">
        <v>0</v>
      </c>
      <c r="AS168" s="54">
        <v>0</v>
      </c>
      <c r="AT168" s="53">
        <v>0</v>
      </c>
      <c r="AU168" s="41">
        <f t="shared" si="72"/>
        <v>0</v>
      </c>
      <c r="AV168" s="41">
        <v>166</v>
      </c>
      <c r="AW168" s="41"/>
      <c r="AX168" s="41">
        <v>148</v>
      </c>
      <c r="AY168" s="54">
        <v>0</v>
      </c>
      <c r="AZ168" s="50">
        <v>0</v>
      </c>
      <c r="BA168" s="50">
        <v>0</v>
      </c>
      <c r="BB168" s="41">
        <v>0</v>
      </c>
      <c r="BC168" s="41">
        <f t="shared" si="74"/>
        <v>0</v>
      </c>
      <c r="BD168" s="41">
        <v>148</v>
      </c>
      <c r="BF168" s="41">
        <v>283</v>
      </c>
      <c r="BG168" s="50">
        <v>0</v>
      </c>
      <c r="BH168" s="41">
        <v>0</v>
      </c>
      <c r="BI168" s="50">
        <v>0</v>
      </c>
      <c r="BJ168" s="41">
        <v>0</v>
      </c>
      <c r="BK168" s="41">
        <f t="shared" si="73"/>
        <v>0</v>
      </c>
      <c r="BL168" s="41">
        <v>283</v>
      </c>
      <c r="BM168" s="55"/>
      <c r="BN168" s="41">
        <v>432</v>
      </c>
      <c r="BO168" s="50">
        <v>0</v>
      </c>
      <c r="BP168" s="50">
        <v>0</v>
      </c>
      <c r="BQ168" s="41">
        <v>0</v>
      </c>
      <c r="BR168" s="41">
        <v>0</v>
      </c>
      <c r="BS168" s="41">
        <f t="shared" si="64"/>
        <v>0</v>
      </c>
      <c r="BT168" s="41">
        <v>432</v>
      </c>
      <c r="BV168" s="41">
        <v>318</v>
      </c>
      <c r="BW168" s="50">
        <v>0</v>
      </c>
      <c r="BX168" s="41">
        <f t="shared" si="67"/>
        <v>-1</v>
      </c>
      <c r="BY168" s="41">
        <v>317</v>
      </c>
      <c r="CA168" s="41">
        <v>280</v>
      </c>
      <c r="CB168" s="50">
        <v>0</v>
      </c>
      <c r="CC168" s="41">
        <f t="shared" si="68"/>
        <v>0</v>
      </c>
      <c r="CD168" s="41">
        <v>280</v>
      </c>
      <c r="CF168" s="41">
        <v>273</v>
      </c>
      <c r="CG168" s="50">
        <v>0</v>
      </c>
      <c r="CH168" s="41">
        <v>0</v>
      </c>
      <c r="CI168" s="41">
        <f t="shared" si="65"/>
        <v>273</v>
      </c>
      <c r="CJ168" s="41">
        <v>157</v>
      </c>
      <c r="CK168" s="50">
        <v>0</v>
      </c>
      <c r="CL168" s="41">
        <f t="shared" si="76"/>
        <v>157</v>
      </c>
      <c r="CM168" s="41">
        <v>155</v>
      </c>
      <c r="CN168" s="50">
        <v>0</v>
      </c>
      <c r="CO168" s="41">
        <v>0</v>
      </c>
      <c r="CP168" s="41">
        <f t="shared" si="66"/>
        <v>155</v>
      </c>
      <c r="CQ168" s="41">
        <v>148</v>
      </c>
      <c r="CR168" s="50">
        <v>0</v>
      </c>
      <c r="CS168" s="41">
        <f t="shared" si="63"/>
        <v>148</v>
      </c>
      <c r="CU168" s="39" t="s">
        <v>530</v>
      </c>
    </row>
    <row r="169" spans="1:99">
      <c r="A169" s="39" t="s">
        <v>63</v>
      </c>
      <c r="B169" s="39" t="s">
        <v>173</v>
      </c>
      <c r="C169" s="39" t="s">
        <v>6</v>
      </c>
      <c r="D169" s="56">
        <v>57330001051</v>
      </c>
      <c r="E169" s="68" t="s">
        <v>179</v>
      </c>
      <c r="H169" s="51">
        <v>1177</v>
      </c>
      <c r="I169" s="49">
        <v>47</v>
      </c>
      <c r="J169" s="49">
        <v>0</v>
      </c>
      <c r="K169" s="51">
        <f t="shared" si="69"/>
        <v>1224</v>
      </c>
      <c r="L169" s="51">
        <f t="shared" si="61"/>
        <v>15</v>
      </c>
      <c r="M169" s="51">
        <v>1239</v>
      </c>
      <c r="N169" s="52"/>
      <c r="O169" s="41">
        <v>864</v>
      </c>
      <c r="P169" s="50">
        <v>184</v>
      </c>
      <c r="Q169" s="50">
        <v>0</v>
      </c>
      <c r="R169" s="50">
        <v>153</v>
      </c>
      <c r="S169" s="41">
        <v>6</v>
      </c>
      <c r="T169" s="41">
        <v>1207</v>
      </c>
      <c r="U169" s="41"/>
      <c r="V169" s="41">
        <v>1044</v>
      </c>
      <c r="W169" s="50">
        <v>293</v>
      </c>
      <c r="X169" s="50">
        <v>0</v>
      </c>
      <c r="Y169" s="41">
        <f t="shared" si="70"/>
        <v>13</v>
      </c>
      <c r="Z169" s="41">
        <v>1350</v>
      </c>
      <c r="AA169" s="41"/>
      <c r="AB169" s="41">
        <v>845</v>
      </c>
      <c r="AC169" s="41">
        <v>0</v>
      </c>
      <c r="AD169" s="50">
        <v>141</v>
      </c>
      <c r="AE169" s="41">
        <v>0</v>
      </c>
      <c r="AF169" s="41">
        <v>0</v>
      </c>
      <c r="AG169" s="41">
        <f t="shared" si="75"/>
        <v>8</v>
      </c>
      <c r="AH169" s="41">
        <v>994</v>
      </c>
      <c r="AI169" s="41"/>
      <c r="AJ169" s="41">
        <v>1200</v>
      </c>
      <c r="AK169" s="50">
        <v>0</v>
      </c>
      <c r="AL169" s="41">
        <v>150</v>
      </c>
      <c r="AM169" s="50">
        <v>28</v>
      </c>
      <c r="AN169" s="41">
        <f t="shared" si="71"/>
        <v>6</v>
      </c>
      <c r="AO169" s="41">
        <v>1384</v>
      </c>
      <c r="AP169" s="41"/>
      <c r="AQ169" s="53">
        <v>1080</v>
      </c>
      <c r="AR169" s="54">
        <v>0</v>
      </c>
      <c r="AS169" s="54">
        <v>43</v>
      </c>
      <c r="AT169" s="53">
        <v>0</v>
      </c>
      <c r="AU169" s="41">
        <f t="shared" si="72"/>
        <v>-5</v>
      </c>
      <c r="AV169" s="41">
        <v>1118</v>
      </c>
      <c r="AW169" s="41"/>
      <c r="AX169" s="41">
        <v>1150</v>
      </c>
      <c r="AY169" s="54">
        <v>0</v>
      </c>
      <c r="AZ169" s="50">
        <v>0</v>
      </c>
      <c r="BA169" s="50">
        <v>362</v>
      </c>
      <c r="BB169" s="41">
        <v>38</v>
      </c>
      <c r="BC169" s="41">
        <f t="shared" si="74"/>
        <v>-1</v>
      </c>
      <c r="BD169" s="41">
        <v>1549</v>
      </c>
      <c r="BF169" s="41">
        <v>1096</v>
      </c>
      <c r="BG169" s="50">
        <v>0</v>
      </c>
      <c r="BH169" s="41">
        <v>180</v>
      </c>
      <c r="BI169" s="50">
        <v>271</v>
      </c>
      <c r="BJ169" s="41">
        <v>11</v>
      </c>
      <c r="BK169" s="41">
        <f t="shared" si="73"/>
        <v>0</v>
      </c>
      <c r="BL169" s="41">
        <v>1558</v>
      </c>
      <c r="BM169" s="55"/>
      <c r="BN169" s="41">
        <v>1348</v>
      </c>
      <c r="BO169" s="50">
        <v>475</v>
      </c>
      <c r="BP169" s="50">
        <v>407</v>
      </c>
      <c r="BQ169" s="41">
        <v>0</v>
      </c>
      <c r="BR169" s="41">
        <v>-50</v>
      </c>
      <c r="BS169" s="41">
        <f t="shared" si="64"/>
        <v>0</v>
      </c>
      <c r="BT169" s="41">
        <v>2180</v>
      </c>
      <c r="BV169" s="41">
        <v>985</v>
      </c>
      <c r="BW169" s="50">
        <v>195</v>
      </c>
      <c r="BX169" s="41">
        <f t="shared" si="67"/>
        <v>-2</v>
      </c>
      <c r="BY169" s="41">
        <v>1178</v>
      </c>
      <c r="CA169" s="41">
        <v>1195</v>
      </c>
      <c r="CB169" s="50">
        <v>-35</v>
      </c>
      <c r="CC169" s="41">
        <f t="shared" si="68"/>
        <v>0</v>
      </c>
      <c r="CD169" s="41">
        <v>1160</v>
      </c>
      <c r="CF169" s="41">
        <v>314</v>
      </c>
      <c r="CG169" s="50">
        <v>0</v>
      </c>
      <c r="CH169" s="41">
        <v>0</v>
      </c>
      <c r="CI169" s="41">
        <f t="shared" si="65"/>
        <v>314</v>
      </c>
      <c r="CJ169" s="41">
        <v>1013</v>
      </c>
      <c r="CK169" s="50">
        <v>0</v>
      </c>
      <c r="CL169" s="41">
        <f t="shared" si="76"/>
        <v>1013</v>
      </c>
      <c r="CM169" s="41">
        <v>771</v>
      </c>
      <c r="CN169" s="50">
        <v>133</v>
      </c>
      <c r="CO169" s="41">
        <v>0</v>
      </c>
      <c r="CP169" s="41">
        <f t="shared" si="66"/>
        <v>904</v>
      </c>
      <c r="CQ169" s="41">
        <v>1364</v>
      </c>
      <c r="CR169" s="50">
        <v>0</v>
      </c>
      <c r="CS169" s="41">
        <f t="shared" si="63"/>
        <v>1364</v>
      </c>
      <c r="CU169" s="39" t="s">
        <v>531</v>
      </c>
    </row>
    <row r="170" spans="1:99">
      <c r="A170" s="39" t="s">
        <v>63</v>
      </c>
      <c r="B170" s="39" t="s">
        <v>173</v>
      </c>
      <c r="C170" s="39" t="s">
        <v>6</v>
      </c>
      <c r="D170" s="56">
        <v>57373001051</v>
      </c>
      <c r="E170" s="68" t="s">
        <v>180</v>
      </c>
      <c r="H170" s="51">
        <v>74</v>
      </c>
      <c r="I170" s="49">
        <v>0</v>
      </c>
      <c r="J170" s="49">
        <v>0</v>
      </c>
      <c r="K170" s="51">
        <f t="shared" si="69"/>
        <v>74</v>
      </c>
      <c r="L170" s="51">
        <f t="shared" si="61"/>
        <v>0</v>
      </c>
      <c r="M170" s="51">
        <v>74</v>
      </c>
      <c r="N170" s="52"/>
      <c r="O170" s="41">
        <v>82</v>
      </c>
      <c r="P170" s="50">
        <v>4</v>
      </c>
      <c r="Q170" s="50">
        <v>0</v>
      </c>
      <c r="R170" s="50">
        <v>0</v>
      </c>
      <c r="S170" s="41">
        <v>0</v>
      </c>
      <c r="T170" s="41">
        <v>86</v>
      </c>
      <c r="U170" s="41"/>
      <c r="V170" s="41">
        <v>62</v>
      </c>
      <c r="W170" s="50">
        <v>0</v>
      </c>
      <c r="X170" s="50">
        <v>0</v>
      </c>
      <c r="Y170" s="41">
        <f t="shared" si="70"/>
        <v>0</v>
      </c>
      <c r="Z170" s="41">
        <v>62</v>
      </c>
      <c r="AA170" s="41"/>
      <c r="AB170" s="41">
        <v>124</v>
      </c>
      <c r="AC170" s="41">
        <v>0</v>
      </c>
      <c r="AD170" s="50">
        <v>0</v>
      </c>
      <c r="AE170" s="41">
        <v>0</v>
      </c>
      <c r="AF170" s="41">
        <v>0</v>
      </c>
      <c r="AG170" s="41">
        <f t="shared" si="75"/>
        <v>0</v>
      </c>
      <c r="AH170" s="41">
        <v>124</v>
      </c>
      <c r="AI170" s="41"/>
      <c r="AJ170" s="41">
        <v>91</v>
      </c>
      <c r="AK170" s="50">
        <v>0</v>
      </c>
      <c r="AL170" s="41">
        <v>0</v>
      </c>
      <c r="AM170" s="50">
        <v>0</v>
      </c>
      <c r="AN170" s="41">
        <f t="shared" si="71"/>
        <v>0</v>
      </c>
      <c r="AO170" s="41">
        <v>91</v>
      </c>
      <c r="AP170" s="41"/>
      <c r="AQ170" s="53">
        <v>45</v>
      </c>
      <c r="AR170" s="54">
        <v>0</v>
      </c>
      <c r="AS170" s="54">
        <v>0</v>
      </c>
      <c r="AT170" s="53">
        <v>0</v>
      </c>
      <c r="AU170" s="41">
        <f t="shared" si="72"/>
        <v>0</v>
      </c>
      <c r="AV170" s="41">
        <v>45</v>
      </c>
      <c r="AW170" s="41"/>
      <c r="AX170" s="41">
        <v>25</v>
      </c>
      <c r="AY170" s="54">
        <v>0</v>
      </c>
      <c r="AZ170" s="50">
        <v>0</v>
      </c>
      <c r="BA170" s="50">
        <v>0</v>
      </c>
      <c r="BB170" s="41">
        <v>0</v>
      </c>
      <c r="BC170" s="41">
        <f t="shared" si="74"/>
        <v>0</v>
      </c>
      <c r="BD170" s="41">
        <v>25</v>
      </c>
      <c r="BF170" s="41">
        <v>37</v>
      </c>
      <c r="BG170" s="50">
        <v>0</v>
      </c>
      <c r="BH170" s="41">
        <v>0</v>
      </c>
      <c r="BI170" s="50">
        <v>0</v>
      </c>
      <c r="BJ170" s="41">
        <v>0</v>
      </c>
      <c r="BK170" s="41">
        <f t="shared" si="73"/>
        <v>0</v>
      </c>
      <c r="BL170" s="41">
        <v>37</v>
      </c>
      <c r="BM170" s="55"/>
      <c r="BN170" s="41">
        <v>112</v>
      </c>
      <c r="BO170" s="50">
        <v>0</v>
      </c>
      <c r="BP170" s="50">
        <v>0</v>
      </c>
      <c r="BQ170" s="41">
        <v>0</v>
      </c>
      <c r="BR170" s="41">
        <v>0</v>
      </c>
      <c r="BS170" s="41">
        <f t="shared" si="64"/>
        <v>0</v>
      </c>
      <c r="BT170" s="41">
        <v>112</v>
      </c>
      <c r="BV170" s="41">
        <v>8</v>
      </c>
      <c r="BW170" s="50">
        <v>0</v>
      </c>
      <c r="BX170" s="41">
        <f t="shared" si="67"/>
        <v>0</v>
      </c>
      <c r="BY170" s="41">
        <v>8</v>
      </c>
      <c r="CA170" s="41">
        <v>34</v>
      </c>
      <c r="CB170" s="50">
        <v>0</v>
      </c>
      <c r="CC170" s="41">
        <f t="shared" si="68"/>
        <v>0</v>
      </c>
      <c r="CD170" s="41">
        <v>34</v>
      </c>
      <c r="CF170" s="41">
        <v>11</v>
      </c>
      <c r="CG170" s="50">
        <v>0</v>
      </c>
      <c r="CH170" s="41">
        <v>0</v>
      </c>
      <c r="CI170" s="41">
        <f t="shared" si="65"/>
        <v>11</v>
      </c>
      <c r="CJ170" s="41">
        <v>46</v>
      </c>
      <c r="CK170" s="50">
        <v>0</v>
      </c>
      <c r="CL170" s="41">
        <f t="shared" si="76"/>
        <v>46</v>
      </c>
      <c r="CM170" s="41">
        <v>49</v>
      </c>
      <c r="CN170" s="50">
        <v>0</v>
      </c>
      <c r="CO170" s="41">
        <v>0</v>
      </c>
      <c r="CP170" s="41">
        <f t="shared" si="66"/>
        <v>49</v>
      </c>
      <c r="CQ170" s="41">
        <v>75</v>
      </c>
      <c r="CR170" s="50">
        <v>0</v>
      </c>
      <c r="CS170" s="41">
        <f t="shared" si="63"/>
        <v>75</v>
      </c>
      <c r="CU170" s="39" t="s">
        <v>532</v>
      </c>
    </row>
    <row r="171" spans="1:99">
      <c r="A171" s="39" t="s">
        <v>63</v>
      </c>
      <c r="B171" s="39" t="s">
        <v>173</v>
      </c>
      <c r="C171" s="39" t="s">
        <v>6</v>
      </c>
      <c r="D171" s="56">
        <v>57383001051</v>
      </c>
      <c r="E171" s="68" t="s">
        <v>181</v>
      </c>
      <c r="H171" s="51">
        <v>250</v>
      </c>
      <c r="I171" s="49">
        <v>0</v>
      </c>
      <c r="J171" s="49">
        <v>0</v>
      </c>
      <c r="K171" s="51">
        <f t="shared" si="69"/>
        <v>250</v>
      </c>
      <c r="L171" s="51">
        <f t="shared" si="61"/>
        <v>0</v>
      </c>
      <c r="M171" s="51">
        <v>250</v>
      </c>
      <c r="N171" s="52"/>
      <c r="O171" s="41">
        <v>195</v>
      </c>
      <c r="P171" s="50">
        <v>9</v>
      </c>
      <c r="Q171" s="50">
        <v>0</v>
      </c>
      <c r="R171" s="50">
        <v>0</v>
      </c>
      <c r="S171" s="41">
        <v>0</v>
      </c>
      <c r="T171" s="41">
        <v>204</v>
      </c>
      <c r="U171" s="41"/>
      <c r="V171" s="41">
        <v>223</v>
      </c>
      <c r="W171" s="50">
        <v>0</v>
      </c>
      <c r="X171" s="50">
        <v>0</v>
      </c>
      <c r="Y171" s="41">
        <f t="shared" si="70"/>
        <v>0</v>
      </c>
      <c r="Z171" s="41">
        <v>223</v>
      </c>
      <c r="AA171" s="41"/>
      <c r="AB171" s="41">
        <v>238</v>
      </c>
      <c r="AC171" s="41">
        <v>0</v>
      </c>
      <c r="AD171" s="50">
        <v>0</v>
      </c>
      <c r="AE171" s="41">
        <v>0</v>
      </c>
      <c r="AF171" s="41">
        <v>0</v>
      </c>
      <c r="AG171" s="41">
        <f t="shared" si="75"/>
        <v>0</v>
      </c>
      <c r="AH171" s="41">
        <v>238</v>
      </c>
      <c r="AI171" s="41"/>
      <c r="AJ171" s="41">
        <v>299</v>
      </c>
      <c r="AK171" s="50">
        <v>0</v>
      </c>
      <c r="AL171" s="41">
        <v>41</v>
      </c>
      <c r="AM171" s="50">
        <v>0</v>
      </c>
      <c r="AN171" s="41">
        <f t="shared" si="71"/>
        <v>0</v>
      </c>
      <c r="AO171" s="41">
        <v>340</v>
      </c>
      <c r="AP171" s="41"/>
      <c r="AQ171" s="53">
        <v>126</v>
      </c>
      <c r="AR171" s="54">
        <v>0</v>
      </c>
      <c r="AS171" s="54">
        <v>0</v>
      </c>
      <c r="AT171" s="53">
        <v>0</v>
      </c>
      <c r="AU171" s="41">
        <f t="shared" si="72"/>
        <v>0</v>
      </c>
      <c r="AV171" s="41">
        <v>126</v>
      </c>
      <c r="AW171" s="41"/>
      <c r="AX171" s="41">
        <v>288</v>
      </c>
      <c r="AY171" s="54">
        <v>0</v>
      </c>
      <c r="AZ171" s="50">
        <v>0</v>
      </c>
      <c r="BA171" s="50">
        <v>0</v>
      </c>
      <c r="BB171" s="41">
        <v>0</v>
      </c>
      <c r="BC171" s="41">
        <f t="shared" si="74"/>
        <v>0</v>
      </c>
      <c r="BD171" s="41">
        <v>288</v>
      </c>
      <c r="BF171" s="41">
        <v>271</v>
      </c>
      <c r="BG171" s="50">
        <v>0</v>
      </c>
      <c r="BH171" s="41">
        <v>50</v>
      </c>
      <c r="BI171" s="50">
        <v>0</v>
      </c>
      <c r="BJ171" s="41">
        <v>0</v>
      </c>
      <c r="BK171" s="41">
        <f t="shared" si="73"/>
        <v>0</v>
      </c>
      <c r="BL171" s="41">
        <v>321</v>
      </c>
      <c r="BM171" s="55"/>
      <c r="BN171" s="41">
        <v>364</v>
      </c>
      <c r="BO171" s="50">
        <v>0</v>
      </c>
      <c r="BP171" s="50">
        <v>0</v>
      </c>
      <c r="BQ171" s="41">
        <v>0</v>
      </c>
      <c r="BR171" s="41">
        <v>0</v>
      </c>
      <c r="BS171" s="41">
        <f t="shared" si="64"/>
        <v>0</v>
      </c>
      <c r="BT171" s="41">
        <v>364</v>
      </c>
      <c r="BV171" s="41">
        <v>195</v>
      </c>
      <c r="BW171" s="50">
        <v>0</v>
      </c>
      <c r="BX171" s="41">
        <f t="shared" si="67"/>
        <v>0</v>
      </c>
      <c r="BY171" s="41">
        <v>195</v>
      </c>
      <c r="CA171" s="41">
        <v>116</v>
      </c>
      <c r="CB171" s="50">
        <v>0</v>
      </c>
      <c r="CC171" s="41">
        <f t="shared" si="68"/>
        <v>0</v>
      </c>
      <c r="CD171" s="41">
        <v>116</v>
      </c>
      <c r="CF171" s="41">
        <v>42</v>
      </c>
      <c r="CG171" s="50">
        <v>0</v>
      </c>
      <c r="CH171" s="41">
        <v>0</v>
      </c>
      <c r="CI171" s="41">
        <f t="shared" si="65"/>
        <v>42</v>
      </c>
      <c r="CJ171" s="41">
        <v>106</v>
      </c>
      <c r="CK171" s="50">
        <v>0</v>
      </c>
      <c r="CL171" s="41">
        <f t="shared" si="76"/>
        <v>106</v>
      </c>
      <c r="CM171" s="41">
        <v>93</v>
      </c>
      <c r="CN171" s="50">
        <v>0</v>
      </c>
      <c r="CO171" s="41">
        <v>0</v>
      </c>
      <c r="CP171" s="41">
        <f t="shared" si="66"/>
        <v>93</v>
      </c>
      <c r="CQ171" s="41">
        <v>145</v>
      </c>
      <c r="CR171" s="50">
        <v>0</v>
      </c>
      <c r="CS171" s="41">
        <f t="shared" si="63"/>
        <v>145</v>
      </c>
      <c r="CU171" s="39" t="s">
        <v>533</v>
      </c>
    </row>
    <row r="172" spans="1:99">
      <c r="A172" s="39" t="s">
        <v>63</v>
      </c>
      <c r="B172" s="39" t="s">
        <v>173</v>
      </c>
      <c r="C172" s="39" t="s">
        <v>6</v>
      </c>
      <c r="D172" s="56">
        <v>97039101051</v>
      </c>
      <c r="E172" s="68" t="s">
        <v>182</v>
      </c>
      <c r="H172" s="51">
        <v>0</v>
      </c>
      <c r="I172" s="49">
        <v>0</v>
      </c>
      <c r="J172" s="49">
        <v>0</v>
      </c>
      <c r="K172" s="51">
        <f t="shared" si="69"/>
        <v>0</v>
      </c>
      <c r="L172" s="51">
        <f t="shared" si="61"/>
        <v>0</v>
      </c>
      <c r="M172" s="51">
        <v>0</v>
      </c>
      <c r="N172" s="52"/>
      <c r="O172" s="41">
        <v>0</v>
      </c>
      <c r="P172" s="50">
        <v>0</v>
      </c>
      <c r="Q172" s="50">
        <v>0</v>
      </c>
      <c r="R172" s="50">
        <v>0</v>
      </c>
      <c r="S172" s="41">
        <v>0</v>
      </c>
      <c r="T172" s="41">
        <v>0</v>
      </c>
      <c r="U172" s="41"/>
      <c r="V172" s="41">
        <v>0</v>
      </c>
      <c r="W172" s="50">
        <v>0</v>
      </c>
      <c r="X172" s="50">
        <v>0</v>
      </c>
      <c r="Y172" s="41">
        <f t="shared" si="70"/>
        <v>0</v>
      </c>
      <c r="Z172" s="41">
        <v>0</v>
      </c>
      <c r="AA172" s="41"/>
      <c r="AB172" s="41">
        <v>82</v>
      </c>
      <c r="AC172" s="41">
        <v>0</v>
      </c>
      <c r="AD172" s="50">
        <v>0</v>
      </c>
      <c r="AE172" s="41">
        <v>0</v>
      </c>
      <c r="AF172" s="41">
        <v>0</v>
      </c>
      <c r="AG172" s="41">
        <f t="shared" si="75"/>
        <v>0</v>
      </c>
      <c r="AH172" s="41">
        <v>82</v>
      </c>
      <c r="AI172" s="41"/>
      <c r="AJ172" s="41">
        <v>0</v>
      </c>
      <c r="AK172" s="50">
        <v>0</v>
      </c>
      <c r="AL172" s="41">
        <v>0</v>
      </c>
      <c r="AM172" s="50">
        <v>0</v>
      </c>
      <c r="AN172" s="41">
        <f t="shared" si="71"/>
        <v>0</v>
      </c>
      <c r="AO172" s="41">
        <v>0</v>
      </c>
      <c r="AP172" s="41"/>
      <c r="AQ172" s="53">
        <v>131</v>
      </c>
      <c r="AR172" s="54">
        <v>0</v>
      </c>
      <c r="AS172" s="54">
        <v>0</v>
      </c>
      <c r="AT172" s="53">
        <v>0</v>
      </c>
      <c r="AU172" s="41">
        <f t="shared" si="72"/>
        <v>0</v>
      </c>
      <c r="AV172" s="41">
        <v>131</v>
      </c>
      <c r="AW172" s="41"/>
      <c r="AX172" s="41">
        <v>104</v>
      </c>
      <c r="AY172" s="54">
        <v>0</v>
      </c>
      <c r="AZ172" s="50">
        <v>0</v>
      </c>
      <c r="BA172" s="50">
        <v>0</v>
      </c>
      <c r="BB172" s="41">
        <v>0</v>
      </c>
      <c r="BC172" s="41">
        <f t="shared" si="74"/>
        <v>0</v>
      </c>
      <c r="BD172" s="41">
        <v>104</v>
      </c>
      <c r="BF172" s="41">
        <v>144</v>
      </c>
      <c r="BG172" s="50">
        <v>0</v>
      </c>
      <c r="BH172" s="41">
        <v>0</v>
      </c>
      <c r="BI172" s="50">
        <v>0</v>
      </c>
      <c r="BJ172" s="41">
        <v>0</v>
      </c>
      <c r="BK172" s="41">
        <f t="shared" si="73"/>
        <v>0</v>
      </c>
      <c r="BL172" s="41">
        <v>144</v>
      </c>
      <c r="BM172" s="55"/>
      <c r="BN172" s="41">
        <v>152</v>
      </c>
      <c r="BO172" s="50">
        <v>0</v>
      </c>
      <c r="BP172" s="50">
        <v>0</v>
      </c>
      <c r="BQ172" s="41">
        <v>0</v>
      </c>
      <c r="BR172" s="41">
        <v>0</v>
      </c>
      <c r="BS172" s="41">
        <f t="shared" si="64"/>
        <v>0</v>
      </c>
      <c r="BT172" s="41">
        <v>152</v>
      </c>
      <c r="BV172" s="41">
        <v>125</v>
      </c>
      <c r="BW172" s="50">
        <v>0</v>
      </c>
      <c r="BX172" s="41">
        <f t="shared" si="67"/>
        <v>0</v>
      </c>
      <c r="BY172" s="41">
        <v>125</v>
      </c>
      <c r="CA172" s="41">
        <v>75</v>
      </c>
      <c r="CB172" s="50">
        <v>0</v>
      </c>
      <c r="CC172" s="41">
        <f t="shared" si="68"/>
        <v>0</v>
      </c>
      <c r="CD172" s="41">
        <v>75</v>
      </c>
      <c r="CF172" s="41">
        <v>145</v>
      </c>
      <c r="CG172" s="50">
        <v>0</v>
      </c>
      <c r="CH172" s="41">
        <v>0</v>
      </c>
      <c r="CI172" s="41">
        <f t="shared" si="65"/>
        <v>145</v>
      </c>
      <c r="CJ172" s="41">
        <v>123</v>
      </c>
      <c r="CK172" s="50">
        <v>0</v>
      </c>
      <c r="CL172" s="41">
        <f t="shared" si="76"/>
        <v>123</v>
      </c>
      <c r="CM172" s="41">
        <v>39</v>
      </c>
      <c r="CN172" s="50">
        <v>0</v>
      </c>
      <c r="CO172" s="41">
        <v>0</v>
      </c>
      <c r="CP172" s="41">
        <f t="shared" si="66"/>
        <v>39</v>
      </c>
      <c r="CQ172" s="41">
        <v>0</v>
      </c>
      <c r="CR172" s="50">
        <v>0</v>
      </c>
      <c r="CS172" s="41">
        <f t="shared" si="63"/>
        <v>0</v>
      </c>
      <c r="CU172" s="39" t="s">
        <v>534</v>
      </c>
    </row>
    <row r="173" spans="1:99">
      <c r="A173" s="39" t="s">
        <v>63</v>
      </c>
      <c r="B173" s="39" t="s">
        <v>173</v>
      </c>
      <c r="C173" s="39" t="s">
        <v>6</v>
      </c>
      <c r="D173" s="56">
        <v>97050001051</v>
      </c>
      <c r="E173" s="68" t="s">
        <v>183</v>
      </c>
      <c r="H173" s="51">
        <v>763</v>
      </c>
      <c r="I173" s="49">
        <v>35</v>
      </c>
      <c r="J173" s="49">
        <v>0</v>
      </c>
      <c r="K173" s="51">
        <f t="shared" si="69"/>
        <v>798</v>
      </c>
      <c r="L173" s="51">
        <f t="shared" si="61"/>
        <v>-32</v>
      </c>
      <c r="M173" s="51">
        <v>766</v>
      </c>
      <c r="N173" s="52"/>
      <c r="O173" s="41">
        <v>834</v>
      </c>
      <c r="P173" s="50">
        <v>33</v>
      </c>
      <c r="Q173" s="50">
        <v>0</v>
      </c>
      <c r="R173" s="50">
        <v>10</v>
      </c>
      <c r="S173" s="41">
        <v>38</v>
      </c>
      <c r="T173" s="41">
        <v>915</v>
      </c>
      <c r="U173" s="41"/>
      <c r="V173" s="41">
        <v>701</v>
      </c>
      <c r="W173" s="50">
        <v>0</v>
      </c>
      <c r="X173" s="50">
        <v>0</v>
      </c>
      <c r="Y173" s="41">
        <f t="shared" si="70"/>
        <v>172</v>
      </c>
      <c r="Z173" s="41">
        <v>873</v>
      </c>
      <c r="AA173" s="41"/>
      <c r="AB173" s="41">
        <v>663</v>
      </c>
      <c r="AC173" s="41">
        <v>0</v>
      </c>
      <c r="AD173" s="50">
        <v>0</v>
      </c>
      <c r="AE173" s="41">
        <v>0</v>
      </c>
      <c r="AF173" s="41">
        <v>0</v>
      </c>
      <c r="AG173" s="41">
        <f t="shared" si="75"/>
        <v>14</v>
      </c>
      <c r="AH173" s="41">
        <v>677</v>
      </c>
      <c r="AI173" s="41"/>
      <c r="AJ173" s="41">
        <v>979</v>
      </c>
      <c r="AK173" s="50">
        <v>0</v>
      </c>
      <c r="AL173" s="41">
        <v>45</v>
      </c>
      <c r="AM173" s="50">
        <v>21</v>
      </c>
      <c r="AN173" s="41">
        <f t="shared" si="71"/>
        <v>-7</v>
      </c>
      <c r="AO173" s="41">
        <v>1038</v>
      </c>
      <c r="AP173" s="41"/>
      <c r="AQ173" s="53">
        <v>1017</v>
      </c>
      <c r="AR173" s="54">
        <v>0</v>
      </c>
      <c r="AS173" s="54">
        <v>0</v>
      </c>
      <c r="AT173" s="53">
        <v>0</v>
      </c>
      <c r="AU173" s="41">
        <f>AV173-SUM(AQ173:AT173)</f>
        <v>-2</v>
      </c>
      <c r="AV173" s="41">
        <v>1015</v>
      </c>
      <c r="AW173" s="41"/>
      <c r="AX173" s="41">
        <v>1600</v>
      </c>
      <c r="AY173" s="54">
        <v>0</v>
      </c>
      <c r="AZ173" s="50">
        <v>0</v>
      </c>
      <c r="BA173" s="50">
        <v>28</v>
      </c>
      <c r="BB173" s="41">
        <v>863</v>
      </c>
      <c r="BC173" s="41">
        <f t="shared" si="74"/>
        <v>0</v>
      </c>
      <c r="BD173" s="41">
        <v>2491</v>
      </c>
      <c r="BF173" s="41">
        <v>1691</v>
      </c>
      <c r="BG173" s="50">
        <v>0</v>
      </c>
      <c r="BH173" s="41">
        <v>1450</v>
      </c>
      <c r="BI173" s="50">
        <v>0</v>
      </c>
      <c r="BJ173" s="41">
        <v>662</v>
      </c>
      <c r="BK173" s="41">
        <f t="shared" si="73"/>
        <v>0</v>
      </c>
      <c r="BL173" s="41">
        <v>3803</v>
      </c>
      <c r="BM173" s="55"/>
      <c r="BN173" s="41">
        <v>2850</v>
      </c>
      <c r="BO173" s="50">
        <v>0</v>
      </c>
      <c r="BP173" s="50">
        <v>0</v>
      </c>
      <c r="BQ173" s="41">
        <v>0</v>
      </c>
      <c r="BR173" s="41">
        <v>0</v>
      </c>
      <c r="BS173" s="41">
        <f t="shared" si="64"/>
        <v>0</v>
      </c>
      <c r="BT173" s="41">
        <v>2850</v>
      </c>
      <c r="BV173" s="41">
        <v>2724</v>
      </c>
      <c r="BW173" s="50">
        <v>47</v>
      </c>
      <c r="BX173" s="41">
        <f t="shared" si="67"/>
        <v>-6</v>
      </c>
      <c r="BY173" s="41">
        <v>2765</v>
      </c>
      <c r="CA173" s="41">
        <v>3301</v>
      </c>
      <c r="CB173" s="50">
        <v>0</v>
      </c>
      <c r="CC173" s="41">
        <f t="shared" si="68"/>
        <v>0</v>
      </c>
      <c r="CD173" s="41">
        <v>3301</v>
      </c>
      <c r="CF173" s="41">
        <v>3065</v>
      </c>
      <c r="CG173" s="50">
        <v>0</v>
      </c>
      <c r="CH173" s="41">
        <v>0</v>
      </c>
      <c r="CI173" s="41">
        <f t="shared" si="65"/>
        <v>3065</v>
      </c>
      <c r="CJ173" s="41">
        <v>3431</v>
      </c>
      <c r="CK173" s="50">
        <v>0</v>
      </c>
      <c r="CL173" s="41">
        <f t="shared" si="76"/>
        <v>3431</v>
      </c>
      <c r="CM173" s="41">
        <v>1992</v>
      </c>
      <c r="CN173" s="50">
        <v>51</v>
      </c>
      <c r="CO173" s="41">
        <v>0</v>
      </c>
      <c r="CP173" s="41">
        <f t="shared" si="66"/>
        <v>2043</v>
      </c>
      <c r="CQ173" s="41">
        <v>2109</v>
      </c>
      <c r="CR173" s="50">
        <v>0</v>
      </c>
      <c r="CS173" s="41">
        <f t="shared" si="63"/>
        <v>2109</v>
      </c>
      <c r="CU173" s="39" t="s">
        <v>535</v>
      </c>
    </row>
    <row r="174" spans="1:99">
      <c r="A174" s="39" t="s">
        <v>63</v>
      </c>
      <c r="B174" s="39" t="s">
        <v>173</v>
      </c>
      <c r="C174" s="39" t="s">
        <v>6</v>
      </c>
      <c r="D174" s="57">
        <v>97051001051</v>
      </c>
      <c r="E174" s="68" t="s">
        <v>184</v>
      </c>
      <c r="H174" s="51">
        <v>633</v>
      </c>
      <c r="I174" s="49">
        <v>0</v>
      </c>
      <c r="J174" s="49">
        <v>0</v>
      </c>
      <c r="K174" s="51">
        <f t="shared" si="69"/>
        <v>633</v>
      </c>
      <c r="L174" s="51">
        <f t="shared" si="61"/>
        <v>0</v>
      </c>
      <c r="M174" s="51">
        <v>633</v>
      </c>
      <c r="N174" s="52"/>
      <c r="O174" s="41">
        <v>561</v>
      </c>
      <c r="P174" s="50">
        <v>0</v>
      </c>
      <c r="Q174" s="50">
        <v>0</v>
      </c>
      <c r="R174" s="50">
        <v>0</v>
      </c>
      <c r="S174" s="41">
        <v>0</v>
      </c>
      <c r="T174" s="41">
        <v>561</v>
      </c>
      <c r="U174" s="41"/>
      <c r="V174" s="41">
        <v>370</v>
      </c>
      <c r="W174" s="50">
        <v>0</v>
      </c>
      <c r="X174" s="50">
        <v>0</v>
      </c>
      <c r="Y174" s="41">
        <f t="shared" si="70"/>
        <v>0</v>
      </c>
      <c r="Z174" s="41">
        <v>370</v>
      </c>
      <c r="AA174" s="41"/>
      <c r="AB174" s="41">
        <v>246</v>
      </c>
      <c r="AC174" s="41">
        <v>0</v>
      </c>
      <c r="AD174" s="50">
        <v>0</v>
      </c>
      <c r="AE174" s="41">
        <v>0</v>
      </c>
      <c r="AF174" s="41">
        <v>0</v>
      </c>
      <c r="AG174" s="41">
        <f t="shared" si="75"/>
        <v>0</v>
      </c>
      <c r="AH174" s="41">
        <v>246</v>
      </c>
      <c r="AI174" s="41"/>
      <c r="AJ174" s="41">
        <v>252</v>
      </c>
      <c r="AK174" s="50">
        <v>0</v>
      </c>
      <c r="AL174" s="41">
        <v>0</v>
      </c>
      <c r="AM174" s="50">
        <v>0</v>
      </c>
      <c r="AN174" s="41">
        <f t="shared" si="71"/>
        <v>0</v>
      </c>
      <c r="AO174" s="41">
        <v>252</v>
      </c>
      <c r="AP174" s="41"/>
      <c r="AQ174" s="53">
        <v>252</v>
      </c>
      <c r="AR174" s="54">
        <v>0</v>
      </c>
      <c r="AS174" s="54">
        <v>0</v>
      </c>
      <c r="AT174" s="53">
        <v>0</v>
      </c>
      <c r="AU174" s="41">
        <f t="shared" si="72"/>
        <v>0</v>
      </c>
      <c r="AV174" s="41">
        <v>252</v>
      </c>
      <c r="AW174" s="41"/>
      <c r="AX174" s="41">
        <v>296</v>
      </c>
      <c r="AY174" s="54">
        <v>0</v>
      </c>
      <c r="AZ174" s="50">
        <v>0</v>
      </c>
      <c r="BA174" s="50">
        <v>0</v>
      </c>
      <c r="BB174" s="41">
        <v>0</v>
      </c>
      <c r="BC174" s="41">
        <f t="shared" si="74"/>
        <v>8</v>
      </c>
      <c r="BD174" s="41">
        <v>304</v>
      </c>
      <c r="BF174" s="41">
        <v>458</v>
      </c>
      <c r="BG174" s="50">
        <v>0</v>
      </c>
      <c r="BH174" s="41">
        <v>0</v>
      </c>
      <c r="BI174" s="50">
        <v>0</v>
      </c>
      <c r="BJ174" s="41">
        <v>0</v>
      </c>
      <c r="BK174" s="41">
        <f t="shared" si="73"/>
        <v>8</v>
      </c>
      <c r="BL174" s="41">
        <v>466</v>
      </c>
      <c r="BM174" s="55"/>
      <c r="BN174" s="41">
        <v>497</v>
      </c>
      <c r="BO174" s="50">
        <v>0</v>
      </c>
      <c r="BP174" s="50">
        <v>0</v>
      </c>
      <c r="BQ174" s="41">
        <v>0</v>
      </c>
      <c r="BR174" s="41">
        <v>0</v>
      </c>
      <c r="BS174" s="41">
        <f t="shared" si="64"/>
        <v>8</v>
      </c>
      <c r="BT174" s="41">
        <v>505</v>
      </c>
      <c r="BV174" s="41">
        <v>360</v>
      </c>
      <c r="BW174" s="50">
        <v>0</v>
      </c>
      <c r="BX174" s="41">
        <f t="shared" si="67"/>
        <v>-1</v>
      </c>
      <c r="BY174" s="41">
        <v>359</v>
      </c>
      <c r="CA174" s="41">
        <v>324</v>
      </c>
      <c r="CB174" s="50">
        <v>0</v>
      </c>
      <c r="CC174" s="41">
        <f t="shared" si="68"/>
        <v>0</v>
      </c>
      <c r="CD174" s="41">
        <v>324</v>
      </c>
      <c r="CF174" s="41">
        <v>384</v>
      </c>
      <c r="CG174" s="50">
        <v>0</v>
      </c>
      <c r="CH174" s="41">
        <v>0</v>
      </c>
      <c r="CI174" s="41">
        <f t="shared" si="65"/>
        <v>384</v>
      </c>
      <c r="CJ174" s="41">
        <v>0</v>
      </c>
      <c r="CK174" s="50">
        <v>0</v>
      </c>
      <c r="CL174" s="41">
        <f t="shared" si="76"/>
        <v>0</v>
      </c>
      <c r="CM174" s="41">
        <v>0</v>
      </c>
      <c r="CN174" s="50">
        <v>0</v>
      </c>
      <c r="CO174" s="41">
        <v>0</v>
      </c>
      <c r="CP174" s="41">
        <f t="shared" si="66"/>
        <v>0</v>
      </c>
      <c r="CQ174" s="41">
        <v>0</v>
      </c>
      <c r="CR174" s="50">
        <v>0</v>
      </c>
      <c r="CS174" s="41">
        <f t="shared" si="63"/>
        <v>0</v>
      </c>
      <c r="CU174" s="44" t="s">
        <v>536</v>
      </c>
    </row>
    <row r="175" spans="1:99">
      <c r="A175" s="39" t="s">
        <v>63</v>
      </c>
      <c r="B175" s="39" t="s">
        <v>173</v>
      </c>
      <c r="C175" s="39" t="s">
        <v>6</v>
      </c>
      <c r="D175" s="57">
        <v>97051201051</v>
      </c>
      <c r="E175" s="68" t="s">
        <v>185</v>
      </c>
      <c r="H175" s="51">
        <v>0</v>
      </c>
      <c r="I175" s="49">
        <v>0</v>
      </c>
      <c r="J175" s="49">
        <v>0</v>
      </c>
      <c r="K175" s="51">
        <f t="shared" si="69"/>
        <v>0</v>
      </c>
      <c r="L175" s="51">
        <f t="shared" si="61"/>
        <v>0</v>
      </c>
      <c r="M175" s="51">
        <v>0</v>
      </c>
      <c r="N175" s="52"/>
      <c r="O175" s="41">
        <v>0</v>
      </c>
      <c r="P175" s="50">
        <v>0</v>
      </c>
      <c r="Q175" s="50">
        <v>0</v>
      </c>
      <c r="R175" s="50">
        <v>0</v>
      </c>
      <c r="S175" s="41">
        <v>0</v>
      </c>
      <c r="T175" s="41">
        <v>0</v>
      </c>
      <c r="U175" s="41"/>
      <c r="V175" s="41">
        <v>0</v>
      </c>
      <c r="W175" s="50">
        <v>0</v>
      </c>
      <c r="X175" s="50">
        <v>0</v>
      </c>
      <c r="Y175" s="41">
        <f t="shared" si="70"/>
        <v>0</v>
      </c>
      <c r="Z175" s="41">
        <v>0</v>
      </c>
      <c r="AA175" s="41"/>
      <c r="AB175" s="41">
        <v>0</v>
      </c>
      <c r="AC175" s="41">
        <v>0</v>
      </c>
      <c r="AD175" s="50">
        <v>0</v>
      </c>
      <c r="AE175" s="41">
        <v>0</v>
      </c>
      <c r="AF175" s="41">
        <v>0</v>
      </c>
      <c r="AG175" s="41">
        <f t="shared" si="75"/>
        <v>0</v>
      </c>
      <c r="AH175" s="41">
        <v>0</v>
      </c>
      <c r="AI175" s="41"/>
      <c r="AJ175" s="41">
        <v>1489</v>
      </c>
      <c r="AK175" s="50">
        <v>0</v>
      </c>
      <c r="AL175" s="41">
        <v>0</v>
      </c>
      <c r="AM175" s="50">
        <v>0</v>
      </c>
      <c r="AN175" s="41">
        <f t="shared" si="71"/>
        <v>13</v>
      </c>
      <c r="AO175" s="41">
        <v>1502</v>
      </c>
      <c r="AP175" s="41"/>
      <c r="AQ175" s="53">
        <v>2489</v>
      </c>
      <c r="AR175" s="54">
        <v>0</v>
      </c>
      <c r="AS175" s="54">
        <v>0</v>
      </c>
      <c r="AT175" s="53">
        <v>3137</v>
      </c>
      <c r="AU175" s="41">
        <f t="shared" si="72"/>
        <v>0</v>
      </c>
      <c r="AV175" s="41">
        <v>5626</v>
      </c>
      <c r="AW175" s="41"/>
      <c r="AX175" s="41">
        <v>7236</v>
      </c>
      <c r="AY175" s="54">
        <v>0</v>
      </c>
      <c r="AZ175" s="50">
        <v>0</v>
      </c>
      <c r="BA175" s="50">
        <v>0</v>
      </c>
      <c r="BB175" s="41">
        <v>1279</v>
      </c>
      <c r="BC175" s="41">
        <f t="shared" si="74"/>
        <v>-1</v>
      </c>
      <c r="BD175" s="41">
        <v>8514</v>
      </c>
      <c r="BF175" s="41">
        <v>8766</v>
      </c>
      <c r="BG175" s="50">
        <v>0</v>
      </c>
      <c r="BH175" s="41">
        <v>0</v>
      </c>
      <c r="BI175" s="50">
        <v>0</v>
      </c>
      <c r="BJ175" s="41">
        <v>263</v>
      </c>
      <c r="BK175" s="41">
        <f t="shared" si="73"/>
        <v>0</v>
      </c>
      <c r="BL175" s="41">
        <v>9029</v>
      </c>
      <c r="BM175" s="55"/>
      <c r="BN175" s="41">
        <v>7455</v>
      </c>
      <c r="BO175" s="50">
        <v>0</v>
      </c>
      <c r="BP175" s="50">
        <v>0</v>
      </c>
      <c r="BQ175" s="41">
        <v>0</v>
      </c>
      <c r="BR175" s="41">
        <v>0</v>
      </c>
      <c r="BS175" s="41">
        <f t="shared" si="64"/>
        <v>0</v>
      </c>
      <c r="BT175" s="41">
        <v>7455</v>
      </c>
      <c r="BV175" s="41">
        <v>2122</v>
      </c>
      <c r="BW175" s="50">
        <v>0</v>
      </c>
      <c r="BX175" s="41">
        <f t="shared" si="67"/>
        <v>-4</v>
      </c>
      <c r="BY175" s="41">
        <v>2118</v>
      </c>
      <c r="CA175" s="41">
        <v>0</v>
      </c>
      <c r="CB175" s="50">
        <v>0</v>
      </c>
      <c r="CC175" s="41">
        <f t="shared" si="68"/>
        <v>0</v>
      </c>
      <c r="CD175" s="41">
        <v>0</v>
      </c>
      <c r="CF175" s="41">
        <v>-53</v>
      </c>
      <c r="CG175" s="50">
        <v>0</v>
      </c>
      <c r="CH175" s="41">
        <v>0</v>
      </c>
      <c r="CI175" s="41">
        <f t="shared" si="65"/>
        <v>-53</v>
      </c>
      <c r="CJ175" s="41">
        <v>0</v>
      </c>
      <c r="CK175" s="50">
        <v>0</v>
      </c>
      <c r="CL175" s="41">
        <f t="shared" si="76"/>
        <v>0</v>
      </c>
      <c r="CM175" s="41">
        <v>0</v>
      </c>
      <c r="CN175" s="50">
        <v>0</v>
      </c>
      <c r="CO175" s="41">
        <v>0</v>
      </c>
      <c r="CP175" s="41">
        <f t="shared" si="66"/>
        <v>0</v>
      </c>
      <c r="CQ175" s="41">
        <v>0</v>
      </c>
      <c r="CR175" s="50">
        <v>0</v>
      </c>
      <c r="CS175" s="41">
        <f t="shared" si="63"/>
        <v>0</v>
      </c>
      <c r="CU175" s="44" t="s">
        <v>537</v>
      </c>
    </row>
    <row r="176" spans="1:99" ht="15">
      <c r="A176" s="39" t="s">
        <v>63</v>
      </c>
      <c r="B176" s="39" t="s">
        <v>173</v>
      </c>
      <c r="C176" s="39" t="s">
        <v>6</v>
      </c>
      <c r="D176" s="56">
        <v>97051601051</v>
      </c>
      <c r="E176" s="75" t="s">
        <v>538</v>
      </c>
      <c r="H176" s="51"/>
      <c r="I176" s="49"/>
      <c r="J176" s="49"/>
      <c r="K176" s="51"/>
      <c r="L176" s="51"/>
      <c r="M176" s="51"/>
      <c r="N176" s="52"/>
      <c r="O176" s="41"/>
      <c r="P176" s="50"/>
      <c r="Q176" s="50"/>
      <c r="R176" s="50"/>
      <c r="S176" s="41"/>
      <c r="T176" s="41"/>
      <c r="U176" s="41"/>
      <c r="V176" s="41"/>
      <c r="W176" s="50"/>
      <c r="X176" s="50"/>
      <c r="Y176" s="41"/>
      <c r="Z176" s="41"/>
      <c r="AA176" s="41"/>
      <c r="AB176" s="41"/>
      <c r="AC176" s="41"/>
      <c r="AD176" s="50"/>
      <c r="AE176" s="41"/>
      <c r="AF176" s="41"/>
      <c r="AG176" s="41"/>
      <c r="AH176" s="41"/>
      <c r="AI176" s="41"/>
      <c r="AJ176" s="41"/>
      <c r="AK176" s="50"/>
      <c r="AL176" s="41"/>
      <c r="AM176" s="50"/>
      <c r="AN176" s="41"/>
      <c r="AO176" s="41"/>
      <c r="AP176" s="41"/>
      <c r="AQ176" s="53"/>
      <c r="AR176" s="54"/>
      <c r="AS176" s="54"/>
      <c r="AT176" s="53"/>
      <c r="AU176" s="41"/>
      <c r="AV176" s="41"/>
      <c r="AW176" s="41"/>
      <c r="AX176" s="41"/>
      <c r="AY176" s="54"/>
      <c r="BF176" s="41"/>
      <c r="BG176" s="50"/>
      <c r="BH176" s="41"/>
      <c r="BI176" s="50"/>
      <c r="BJ176" s="41"/>
      <c r="BK176" s="41"/>
      <c r="BL176" s="41"/>
      <c r="BM176" s="55"/>
      <c r="BN176" s="41"/>
      <c r="BO176" s="50"/>
      <c r="BP176" s="50"/>
      <c r="BQ176" s="41"/>
      <c r="BR176" s="41"/>
      <c r="BS176" s="41"/>
      <c r="BT176" s="41"/>
      <c r="BV176" s="41"/>
      <c r="BW176" s="50"/>
      <c r="BX176" s="41"/>
      <c r="BY176" s="41"/>
      <c r="CA176" s="41"/>
      <c r="CB176" s="50"/>
      <c r="CC176" s="41"/>
      <c r="CD176" s="41"/>
      <c r="CF176" s="41"/>
      <c r="CG176" s="50"/>
      <c r="CH176" s="41"/>
      <c r="CI176" s="41"/>
      <c r="CJ176" s="41">
        <v>451</v>
      </c>
      <c r="CK176" s="50"/>
      <c r="CL176" s="41">
        <f t="shared" si="76"/>
        <v>451</v>
      </c>
      <c r="CM176" s="41">
        <v>315</v>
      </c>
      <c r="CN176" s="50">
        <v>0</v>
      </c>
      <c r="CO176" s="41">
        <v>0</v>
      </c>
      <c r="CP176" s="41">
        <f t="shared" si="66"/>
        <v>315</v>
      </c>
      <c r="CQ176" s="41">
        <v>266</v>
      </c>
      <c r="CR176" s="50">
        <v>0</v>
      </c>
      <c r="CS176" s="41">
        <f t="shared" si="63"/>
        <v>266</v>
      </c>
      <c r="CT176" s="38"/>
      <c r="CU176" s="39" t="s">
        <v>539</v>
      </c>
    </row>
    <row r="177" spans="1:99">
      <c r="A177" s="39" t="s">
        <v>63</v>
      </c>
      <c r="B177" s="39" t="s">
        <v>173</v>
      </c>
      <c r="C177" s="39" t="s">
        <v>6</v>
      </c>
      <c r="D177" s="56"/>
      <c r="E177" s="68" t="s">
        <v>186</v>
      </c>
      <c r="H177" s="51">
        <v>-60</v>
      </c>
      <c r="I177" s="49">
        <v>0</v>
      </c>
      <c r="J177" s="49">
        <v>0</v>
      </c>
      <c r="K177" s="51">
        <f t="shared" si="69"/>
        <v>-60</v>
      </c>
      <c r="L177" s="51">
        <f t="shared" si="61"/>
        <v>54</v>
      </c>
      <c r="M177" s="51">
        <v>-6</v>
      </c>
      <c r="N177" s="52"/>
      <c r="O177" s="41">
        <v>54</v>
      </c>
      <c r="P177" s="50">
        <v>0</v>
      </c>
      <c r="Q177" s="50">
        <v>0</v>
      </c>
      <c r="R177" s="50">
        <v>0</v>
      </c>
      <c r="S177" s="41">
        <v>123</v>
      </c>
      <c r="T177" s="41">
        <v>177</v>
      </c>
      <c r="U177" s="41"/>
      <c r="V177" s="41">
        <v>52</v>
      </c>
      <c r="W177" s="50">
        <v>0</v>
      </c>
      <c r="X177" s="50">
        <v>0</v>
      </c>
      <c r="Y177" s="41">
        <f t="shared" si="70"/>
        <v>-66</v>
      </c>
      <c r="Z177" s="41">
        <v>-14</v>
      </c>
      <c r="AA177" s="41"/>
      <c r="AB177" s="41">
        <v>0</v>
      </c>
      <c r="AC177" s="41">
        <v>0</v>
      </c>
      <c r="AD177" s="50">
        <v>0</v>
      </c>
      <c r="AE177" s="41">
        <v>0</v>
      </c>
      <c r="AF177" s="41">
        <v>0</v>
      </c>
      <c r="AG177" s="41">
        <f t="shared" si="75"/>
        <v>0</v>
      </c>
      <c r="AH177" s="41">
        <v>0</v>
      </c>
      <c r="AI177" s="41"/>
      <c r="AJ177" s="41">
        <v>0</v>
      </c>
      <c r="AK177" s="50">
        <v>0</v>
      </c>
      <c r="AL177" s="41">
        <v>0</v>
      </c>
      <c r="AM177" s="50">
        <v>0</v>
      </c>
      <c r="AN177" s="41">
        <f t="shared" si="71"/>
        <v>0</v>
      </c>
      <c r="AO177" s="41">
        <v>0</v>
      </c>
      <c r="AP177" s="41"/>
      <c r="AQ177" s="53">
        <v>0</v>
      </c>
      <c r="AR177" s="54">
        <v>0</v>
      </c>
      <c r="AS177" s="54">
        <v>0</v>
      </c>
      <c r="AT177" s="53">
        <v>0</v>
      </c>
      <c r="AU177" s="41">
        <f t="shared" si="72"/>
        <v>0</v>
      </c>
      <c r="AV177" s="41">
        <v>0</v>
      </c>
      <c r="AW177" s="41"/>
      <c r="AX177" s="41">
        <v>0</v>
      </c>
      <c r="AY177" s="54">
        <v>0</v>
      </c>
      <c r="AZ177" s="50">
        <v>0</v>
      </c>
      <c r="BA177" s="50">
        <v>0</v>
      </c>
      <c r="BB177" s="41">
        <v>0</v>
      </c>
      <c r="BC177" s="41">
        <f t="shared" si="74"/>
        <v>0</v>
      </c>
      <c r="BD177" s="41">
        <v>0</v>
      </c>
      <c r="BF177" s="41">
        <v>0</v>
      </c>
      <c r="BG177" s="50">
        <v>0</v>
      </c>
      <c r="BH177" s="41">
        <v>0</v>
      </c>
      <c r="BI177" s="50">
        <v>0</v>
      </c>
      <c r="BJ177" s="41">
        <v>0</v>
      </c>
      <c r="BK177" s="41">
        <f t="shared" si="73"/>
        <v>0</v>
      </c>
      <c r="BL177" s="41">
        <v>0</v>
      </c>
      <c r="BM177" s="55"/>
      <c r="BN177" s="41">
        <v>0</v>
      </c>
      <c r="BO177" s="50">
        <v>0</v>
      </c>
      <c r="BP177" s="50">
        <v>0</v>
      </c>
      <c r="BQ177" s="41">
        <v>0</v>
      </c>
      <c r="BR177" s="41">
        <v>0</v>
      </c>
      <c r="BS177" s="41">
        <f t="shared" si="64"/>
        <v>0</v>
      </c>
      <c r="BT177" s="41">
        <v>0</v>
      </c>
      <c r="BV177" s="41">
        <v>0</v>
      </c>
      <c r="BW177" s="50">
        <v>0</v>
      </c>
      <c r="BX177" s="41">
        <f t="shared" si="67"/>
        <v>0</v>
      </c>
      <c r="BY177" s="41">
        <v>0</v>
      </c>
      <c r="CA177" s="41">
        <v>0</v>
      </c>
      <c r="CB177" s="50">
        <v>0</v>
      </c>
      <c r="CC177" s="41">
        <f t="shared" si="68"/>
        <v>0</v>
      </c>
      <c r="CD177" s="41">
        <v>0</v>
      </c>
      <c r="CF177" s="41">
        <v>0</v>
      </c>
      <c r="CG177" s="50">
        <v>0</v>
      </c>
      <c r="CH177" s="41">
        <v>0</v>
      </c>
      <c r="CI177" s="41">
        <f t="shared" si="65"/>
        <v>0</v>
      </c>
      <c r="CJ177" s="41">
        <v>0</v>
      </c>
      <c r="CK177" s="50">
        <v>0</v>
      </c>
      <c r="CL177" s="41">
        <f t="shared" si="76"/>
        <v>0</v>
      </c>
      <c r="CM177" s="41">
        <v>0</v>
      </c>
      <c r="CN177" s="50">
        <v>0</v>
      </c>
      <c r="CO177" s="41">
        <v>0</v>
      </c>
      <c r="CP177" s="41">
        <f t="shared" si="66"/>
        <v>0</v>
      </c>
      <c r="CQ177" s="41">
        <v>0</v>
      </c>
      <c r="CR177" s="50">
        <v>0</v>
      </c>
      <c r="CS177" s="41">
        <f t="shared" si="63"/>
        <v>0</v>
      </c>
    </row>
    <row r="178" spans="1:99">
      <c r="A178" s="39" t="s">
        <v>63</v>
      </c>
      <c r="B178" s="39" t="s">
        <v>173</v>
      </c>
      <c r="C178" s="39" t="s">
        <v>6</v>
      </c>
      <c r="D178" s="56">
        <v>97080401051</v>
      </c>
      <c r="E178" s="68" t="s">
        <v>187</v>
      </c>
      <c r="H178" s="51">
        <v>163</v>
      </c>
      <c r="I178" s="49">
        <v>0</v>
      </c>
      <c r="J178" s="49">
        <v>0</v>
      </c>
      <c r="K178" s="51">
        <f t="shared" si="69"/>
        <v>163</v>
      </c>
      <c r="L178" s="51">
        <f t="shared" si="61"/>
        <v>0</v>
      </c>
      <c r="M178" s="51">
        <v>163</v>
      </c>
      <c r="N178" s="52"/>
      <c r="O178" s="41">
        <v>167</v>
      </c>
      <c r="P178" s="50">
        <v>0</v>
      </c>
      <c r="Q178" s="50">
        <v>0</v>
      </c>
      <c r="R178" s="50">
        <v>0</v>
      </c>
      <c r="S178" s="41">
        <v>-18</v>
      </c>
      <c r="T178" s="41">
        <v>149</v>
      </c>
      <c r="U178" s="41"/>
      <c r="V178" s="41">
        <v>161</v>
      </c>
      <c r="W178" s="50">
        <v>0</v>
      </c>
      <c r="X178" s="50">
        <v>0</v>
      </c>
      <c r="Y178" s="41">
        <f t="shared" si="70"/>
        <v>0</v>
      </c>
      <c r="Z178" s="41">
        <v>161</v>
      </c>
      <c r="AA178" s="41"/>
      <c r="AB178" s="41">
        <v>161</v>
      </c>
      <c r="AC178" s="41">
        <v>0</v>
      </c>
      <c r="AD178" s="50">
        <v>0</v>
      </c>
      <c r="AE178" s="41">
        <v>0</v>
      </c>
      <c r="AF178" s="41">
        <v>0</v>
      </c>
      <c r="AG178" s="41">
        <f t="shared" si="75"/>
        <v>0</v>
      </c>
      <c r="AH178" s="41">
        <v>161</v>
      </c>
      <c r="AI178" s="41"/>
      <c r="AJ178" s="41">
        <v>175</v>
      </c>
      <c r="AK178" s="50">
        <v>0</v>
      </c>
      <c r="AL178" s="41">
        <v>0</v>
      </c>
      <c r="AM178" s="50">
        <v>0</v>
      </c>
      <c r="AN178" s="41">
        <f t="shared" si="71"/>
        <v>0</v>
      </c>
      <c r="AO178" s="41">
        <v>175</v>
      </c>
      <c r="AP178" s="41"/>
      <c r="AQ178" s="53">
        <v>205</v>
      </c>
      <c r="AR178" s="54">
        <v>0</v>
      </c>
      <c r="AS178" s="54">
        <v>0</v>
      </c>
      <c r="AT178" s="53">
        <v>0</v>
      </c>
      <c r="AU178" s="41">
        <f t="shared" si="72"/>
        <v>0</v>
      </c>
      <c r="AV178" s="41">
        <v>205</v>
      </c>
      <c r="AW178" s="41"/>
      <c r="AX178" s="41">
        <v>201</v>
      </c>
      <c r="AY178" s="54">
        <v>0</v>
      </c>
      <c r="AZ178" s="50">
        <v>0</v>
      </c>
      <c r="BA178" s="50">
        <v>0</v>
      </c>
      <c r="BB178" s="41">
        <v>0</v>
      </c>
      <c r="BC178" s="41">
        <f t="shared" si="74"/>
        <v>0</v>
      </c>
      <c r="BD178" s="41">
        <v>201</v>
      </c>
      <c r="BF178" s="41">
        <v>231</v>
      </c>
      <c r="BG178" s="50">
        <v>0</v>
      </c>
      <c r="BH178" s="41">
        <v>0</v>
      </c>
      <c r="BI178" s="50">
        <v>0</v>
      </c>
      <c r="BJ178" s="41">
        <v>100</v>
      </c>
      <c r="BK178" s="41">
        <f t="shared" si="73"/>
        <v>0</v>
      </c>
      <c r="BL178" s="41">
        <v>331</v>
      </c>
      <c r="BM178" s="55"/>
      <c r="BN178" s="41">
        <v>197</v>
      </c>
      <c r="BO178" s="50">
        <v>0</v>
      </c>
      <c r="BP178" s="50">
        <v>0</v>
      </c>
      <c r="BQ178" s="41">
        <v>0</v>
      </c>
      <c r="BR178" s="41">
        <v>0</v>
      </c>
      <c r="BS178" s="41">
        <f t="shared" si="64"/>
        <v>0</v>
      </c>
      <c r="BT178" s="41">
        <v>197</v>
      </c>
      <c r="BV178" s="41">
        <v>259</v>
      </c>
      <c r="BW178" s="50">
        <v>0</v>
      </c>
      <c r="BX178" s="41">
        <f t="shared" si="67"/>
        <v>-1</v>
      </c>
      <c r="BY178" s="41">
        <v>258</v>
      </c>
      <c r="CA178" s="41">
        <v>248</v>
      </c>
      <c r="CB178" s="50">
        <v>0</v>
      </c>
      <c r="CC178" s="41">
        <f t="shared" si="68"/>
        <v>0</v>
      </c>
      <c r="CD178" s="41">
        <v>248</v>
      </c>
      <c r="CF178" s="41">
        <v>234</v>
      </c>
      <c r="CG178" s="50">
        <v>0</v>
      </c>
      <c r="CH178" s="41">
        <v>0</v>
      </c>
      <c r="CI178" s="41">
        <f t="shared" si="65"/>
        <v>234</v>
      </c>
      <c r="CJ178" s="41">
        <v>200</v>
      </c>
      <c r="CK178" s="50">
        <v>0</v>
      </c>
      <c r="CL178" s="41">
        <f t="shared" si="76"/>
        <v>200</v>
      </c>
      <c r="CM178" s="41">
        <v>175</v>
      </c>
      <c r="CN178" s="50">
        <v>0</v>
      </c>
      <c r="CO178" s="41">
        <v>0</v>
      </c>
      <c r="CP178" s="41">
        <f t="shared" si="66"/>
        <v>175</v>
      </c>
      <c r="CQ178" s="41">
        <v>135</v>
      </c>
      <c r="CR178" s="50">
        <v>0</v>
      </c>
      <c r="CS178" s="41">
        <f t="shared" si="63"/>
        <v>135</v>
      </c>
      <c r="CU178" s="39" t="s">
        <v>540</v>
      </c>
    </row>
    <row r="179" spans="1:99">
      <c r="A179" s="39" t="s">
        <v>63</v>
      </c>
      <c r="B179" s="39" t="s">
        <v>188</v>
      </c>
      <c r="C179" s="39" t="s">
        <v>19</v>
      </c>
      <c r="D179" s="56">
        <v>17073001051</v>
      </c>
      <c r="E179" s="68" t="s">
        <v>189</v>
      </c>
      <c r="H179" s="51">
        <v>328</v>
      </c>
      <c r="I179" s="49">
        <v>0</v>
      </c>
      <c r="J179" s="49">
        <v>0</v>
      </c>
      <c r="K179" s="51">
        <f t="shared" si="69"/>
        <v>328</v>
      </c>
      <c r="L179" s="51">
        <f t="shared" si="61"/>
        <v>0</v>
      </c>
      <c r="M179" s="51">
        <v>328</v>
      </c>
      <c r="N179" s="52"/>
      <c r="O179" s="41">
        <v>332</v>
      </c>
      <c r="P179" s="50">
        <v>0</v>
      </c>
      <c r="Q179" s="50">
        <v>0</v>
      </c>
      <c r="R179" s="50">
        <v>0</v>
      </c>
      <c r="S179" s="41">
        <v>-1</v>
      </c>
      <c r="T179" s="41">
        <v>331</v>
      </c>
      <c r="U179" s="41"/>
      <c r="V179" s="41">
        <v>131</v>
      </c>
      <c r="W179" s="50">
        <v>0</v>
      </c>
      <c r="X179" s="50">
        <v>0</v>
      </c>
      <c r="Y179" s="41">
        <f t="shared" si="70"/>
        <v>12</v>
      </c>
      <c r="Z179" s="41">
        <v>143</v>
      </c>
      <c r="AA179" s="41"/>
      <c r="AB179" s="41">
        <v>127</v>
      </c>
      <c r="AC179" s="41">
        <v>0</v>
      </c>
      <c r="AD179" s="50">
        <v>0</v>
      </c>
      <c r="AE179" s="41">
        <v>0</v>
      </c>
      <c r="AF179" s="41">
        <v>0</v>
      </c>
      <c r="AG179" s="41">
        <f t="shared" si="75"/>
        <v>-129</v>
      </c>
      <c r="AH179" s="41">
        <v>-2</v>
      </c>
      <c r="AI179" s="41"/>
      <c r="AJ179" s="41">
        <v>217</v>
      </c>
      <c r="AK179" s="50">
        <v>0</v>
      </c>
      <c r="AL179" s="41">
        <v>86</v>
      </c>
      <c r="AM179" s="50">
        <v>0</v>
      </c>
      <c r="AN179" s="41">
        <f t="shared" si="71"/>
        <v>-111</v>
      </c>
      <c r="AO179" s="41">
        <v>192</v>
      </c>
      <c r="AP179" s="41"/>
      <c r="AQ179" s="53">
        <v>305</v>
      </c>
      <c r="AR179" s="54">
        <v>0</v>
      </c>
      <c r="AS179" s="54">
        <v>0</v>
      </c>
      <c r="AT179" s="53">
        <v>0</v>
      </c>
      <c r="AU179" s="41">
        <f t="shared" si="72"/>
        <v>-174</v>
      </c>
      <c r="AV179" s="41">
        <v>131</v>
      </c>
      <c r="AW179" s="41"/>
      <c r="AX179" s="41">
        <v>293</v>
      </c>
      <c r="AY179" s="54">
        <v>0</v>
      </c>
      <c r="AZ179" s="50">
        <v>0</v>
      </c>
      <c r="BA179" s="50">
        <v>12</v>
      </c>
      <c r="BB179" s="41">
        <v>0</v>
      </c>
      <c r="BC179" s="41">
        <f t="shared" si="74"/>
        <v>0</v>
      </c>
      <c r="BD179" s="41">
        <v>305</v>
      </c>
      <c r="BF179" s="41">
        <v>380</v>
      </c>
      <c r="BG179" s="50">
        <v>0</v>
      </c>
      <c r="BH179" s="41">
        <v>0</v>
      </c>
      <c r="BI179" s="50">
        <v>0</v>
      </c>
      <c r="BJ179" s="41">
        <v>0</v>
      </c>
      <c r="BK179" s="41">
        <f t="shared" si="73"/>
        <v>0</v>
      </c>
      <c r="BL179" s="41">
        <v>380</v>
      </c>
      <c r="BM179" s="55"/>
      <c r="BN179" s="41">
        <v>147</v>
      </c>
      <c r="BO179" s="50">
        <v>0</v>
      </c>
      <c r="BP179" s="50">
        <v>0</v>
      </c>
      <c r="BQ179" s="41">
        <v>0</v>
      </c>
      <c r="BR179" s="41">
        <v>0</v>
      </c>
      <c r="BS179" s="41">
        <f t="shared" si="64"/>
        <v>0</v>
      </c>
      <c r="BT179" s="41">
        <v>147</v>
      </c>
      <c r="BV179" s="41">
        <v>186</v>
      </c>
      <c r="BW179" s="50">
        <v>0</v>
      </c>
      <c r="BX179" s="41">
        <f t="shared" si="67"/>
        <v>0</v>
      </c>
      <c r="BY179" s="41">
        <v>186</v>
      </c>
      <c r="CA179" s="41">
        <v>101</v>
      </c>
      <c r="CB179" s="50">
        <v>0</v>
      </c>
      <c r="CC179" s="41">
        <f t="shared" si="68"/>
        <v>0</v>
      </c>
      <c r="CD179" s="41">
        <v>101</v>
      </c>
      <c r="CF179" s="41">
        <v>86</v>
      </c>
      <c r="CG179" s="50">
        <v>0</v>
      </c>
      <c r="CH179" s="41">
        <v>0</v>
      </c>
      <c r="CI179" s="41">
        <f t="shared" si="65"/>
        <v>86</v>
      </c>
      <c r="CJ179" s="41">
        <v>73</v>
      </c>
      <c r="CK179" s="50">
        <v>0</v>
      </c>
      <c r="CL179" s="41">
        <f t="shared" si="76"/>
        <v>73</v>
      </c>
      <c r="CM179" s="41">
        <v>16</v>
      </c>
      <c r="CN179" s="50">
        <v>0</v>
      </c>
      <c r="CO179" s="41">
        <v>0</v>
      </c>
      <c r="CP179" s="41">
        <f t="shared" si="66"/>
        <v>16</v>
      </c>
      <c r="CQ179" s="41">
        <v>17</v>
      </c>
      <c r="CR179" s="50">
        <v>0</v>
      </c>
      <c r="CS179" s="41">
        <f t="shared" si="63"/>
        <v>17</v>
      </c>
      <c r="CU179" s="39" t="s">
        <v>541</v>
      </c>
    </row>
    <row r="180" spans="1:99">
      <c r="A180" s="39" t="s">
        <v>63</v>
      </c>
      <c r="B180" s="39" t="s">
        <v>188</v>
      </c>
      <c r="C180" s="39" t="s">
        <v>19</v>
      </c>
      <c r="D180" s="56">
        <v>17073501051</v>
      </c>
      <c r="E180" s="68" t="s">
        <v>190</v>
      </c>
      <c r="H180" s="51">
        <v>900</v>
      </c>
      <c r="I180" s="49">
        <v>0</v>
      </c>
      <c r="J180" s="49">
        <v>0</v>
      </c>
      <c r="K180" s="51">
        <f t="shared" si="69"/>
        <v>900</v>
      </c>
      <c r="L180" s="51">
        <f t="shared" si="61"/>
        <v>0</v>
      </c>
      <c r="M180" s="51">
        <v>900</v>
      </c>
      <c r="N180" s="52"/>
      <c r="O180" s="41">
        <v>862</v>
      </c>
      <c r="P180" s="50">
        <v>0</v>
      </c>
      <c r="Q180" s="50">
        <v>0</v>
      </c>
      <c r="R180" s="50">
        <v>0</v>
      </c>
      <c r="S180" s="41">
        <v>0</v>
      </c>
      <c r="T180" s="41">
        <v>862</v>
      </c>
      <c r="U180" s="41"/>
      <c r="V180" s="41">
        <v>835</v>
      </c>
      <c r="W180" s="50">
        <v>6</v>
      </c>
      <c r="X180" s="50">
        <v>0</v>
      </c>
      <c r="Y180" s="41">
        <f t="shared" si="70"/>
        <v>0</v>
      </c>
      <c r="Z180" s="41">
        <v>841</v>
      </c>
      <c r="AA180" s="41"/>
      <c r="AB180" s="41">
        <v>696</v>
      </c>
      <c r="AC180" s="41">
        <v>9</v>
      </c>
      <c r="AD180" s="50">
        <v>0</v>
      </c>
      <c r="AE180" s="41">
        <v>0</v>
      </c>
      <c r="AF180" s="41">
        <v>0</v>
      </c>
      <c r="AG180" s="41">
        <f t="shared" si="75"/>
        <v>9</v>
      </c>
      <c r="AH180" s="41">
        <v>714</v>
      </c>
      <c r="AI180" s="41"/>
      <c r="AJ180" s="41">
        <v>583</v>
      </c>
      <c r="AK180" s="50">
        <v>0</v>
      </c>
      <c r="AL180" s="41">
        <v>49</v>
      </c>
      <c r="AM180" s="50">
        <v>0</v>
      </c>
      <c r="AN180" s="41">
        <f t="shared" si="71"/>
        <v>0</v>
      </c>
      <c r="AO180" s="41">
        <v>632</v>
      </c>
      <c r="AP180" s="41"/>
      <c r="AQ180" s="53">
        <v>505</v>
      </c>
      <c r="AR180" s="54">
        <v>0</v>
      </c>
      <c r="AS180" s="54">
        <v>0</v>
      </c>
      <c r="AT180" s="53">
        <v>0</v>
      </c>
      <c r="AU180" s="41">
        <f t="shared" si="72"/>
        <v>2</v>
      </c>
      <c r="AV180" s="41">
        <v>507</v>
      </c>
      <c r="AW180" s="41"/>
      <c r="AX180" s="41">
        <v>371</v>
      </c>
      <c r="AY180" s="54">
        <v>0</v>
      </c>
      <c r="AZ180" s="50">
        <v>0</v>
      </c>
      <c r="BA180" s="50">
        <v>0</v>
      </c>
      <c r="BB180" s="41">
        <v>0</v>
      </c>
      <c r="BC180" s="41">
        <f t="shared" si="74"/>
        <v>0</v>
      </c>
      <c r="BD180" s="41">
        <v>371</v>
      </c>
      <c r="BF180" s="41">
        <v>376</v>
      </c>
      <c r="BG180" s="50">
        <v>0</v>
      </c>
      <c r="BH180" s="41">
        <v>0</v>
      </c>
      <c r="BI180" s="50">
        <v>0</v>
      </c>
      <c r="BJ180" s="41">
        <v>0</v>
      </c>
      <c r="BK180" s="41">
        <f t="shared" si="73"/>
        <v>0</v>
      </c>
      <c r="BL180" s="41">
        <v>376</v>
      </c>
      <c r="BM180" s="55"/>
      <c r="BN180" s="41">
        <v>369</v>
      </c>
      <c r="BO180" s="50">
        <v>0</v>
      </c>
      <c r="BP180" s="50">
        <v>0</v>
      </c>
      <c r="BQ180" s="41">
        <v>0</v>
      </c>
      <c r="BR180" s="41">
        <v>0</v>
      </c>
      <c r="BS180" s="41">
        <f t="shared" si="64"/>
        <v>0</v>
      </c>
      <c r="BT180" s="41">
        <v>369</v>
      </c>
      <c r="BV180" s="41">
        <v>366</v>
      </c>
      <c r="BW180" s="50">
        <v>0</v>
      </c>
      <c r="BX180" s="41">
        <f t="shared" si="67"/>
        <v>-1</v>
      </c>
      <c r="BY180" s="41">
        <v>365</v>
      </c>
      <c r="CA180" s="41">
        <v>368</v>
      </c>
      <c r="CB180" s="50">
        <v>0</v>
      </c>
      <c r="CC180" s="41">
        <f t="shared" si="68"/>
        <v>0</v>
      </c>
      <c r="CD180" s="41">
        <v>368</v>
      </c>
      <c r="CF180" s="41">
        <v>349</v>
      </c>
      <c r="CG180" s="50">
        <v>0</v>
      </c>
      <c r="CH180" s="41">
        <v>0</v>
      </c>
      <c r="CI180" s="41">
        <f t="shared" si="65"/>
        <v>349</v>
      </c>
      <c r="CJ180" s="41">
        <v>379</v>
      </c>
      <c r="CK180" s="50">
        <v>0</v>
      </c>
      <c r="CL180" s="41">
        <f t="shared" si="76"/>
        <v>379</v>
      </c>
      <c r="CM180" s="41">
        <v>354</v>
      </c>
      <c r="CN180" s="50">
        <v>0</v>
      </c>
      <c r="CO180" s="41">
        <v>0</v>
      </c>
      <c r="CP180" s="41">
        <f t="shared" si="66"/>
        <v>354</v>
      </c>
      <c r="CQ180" s="41">
        <v>353</v>
      </c>
      <c r="CR180" s="50">
        <v>0</v>
      </c>
      <c r="CS180" s="41">
        <f t="shared" si="63"/>
        <v>353</v>
      </c>
      <c r="CU180" s="39" t="s">
        <v>542</v>
      </c>
    </row>
    <row r="181" spans="1:99">
      <c r="A181" s="39" t="s">
        <v>63</v>
      </c>
      <c r="B181" s="39" t="s">
        <v>188</v>
      </c>
      <c r="C181" s="39" t="s">
        <v>19</v>
      </c>
      <c r="D181" s="56">
        <v>21072001051</v>
      </c>
      <c r="E181" s="68" t="s">
        <v>191</v>
      </c>
      <c r="H181" s="51">
        <v>309</v>
      </c>
      <c r="I181" s="49">
        <v>0</v>
      </c>
      <c r="J181" s="49">
        <v>0</v>
      </c>
      <c r="K181" s="51">
        <f t="shared" si="69"/>
        <v>309</v>
      </c>
      <c r="L181" s="51">
        <f t="shared" ref="L181:L244" si="77">M181-J181-I181-H181</f>
        <v>-8</v>
      </c>
      <c r="M181" s="51">
        <v>301</v>
      </c>
      <c r="N181" s="52"/>
      <c r="O181" s="41">
        <v>275</v>
      </c>
      <c r="P181" s="50">
        <v>0</v>
      </c>
      <c r="Q181" s="50">
        <v>0</v>
      </c>
      <c r="R181" s="50">
        <v>0</v>
      </c>
      <c r="S181" s="41">
        <v>-3</v>
      </c>
      <c r="T181" s="41">
        <v>272</v>
      </c>
      <c r="U181" s="41"/>
      <c r="V181" s="41">
        <v>171</v>
      </c>
      <c r="W181" s="50">
        <v>0</v>
      </c>
      <c r="X181" s="50">
        <v>0</v>
      </c>
      <c r="Y181" s="41">
        <f t="shared" si="70"/>
        <v>127</v>
      </c>
      <c r="Z181" s="41">
        <v>298</v>
      </c>
      <c r="AA181" s="41"/>
      <c r="AB181" s="41">
        <v>615</v>
      </c>
      <c r="AC181" s="41">
        <v>0</v>
      </c>
      <c r="AD181" s="50">
        <v>0</v>
      </c>
      <c r="AE181" s="41">
        <v>0</v>
      </c>
      <c r="AF181" s="41">
        <v>0</v>
      </c>
      <c r="AG181" s="41">
        <f t="shared" si="75"/>
        <v>4</v>
      </c>
      <c r="AH181" s="41">
        <v>619</v>
      </c>
      <c r="AI181" s="41"/>
      <c r="AJ181" s="41">
        <v>528</v>
      </c>
      <c r="AK181" s="50">
        <v>0</v>
      </c>
      <c r="AL181" s="41">
        <v>0</v>
      </c>
      <c r="AM181" s="50">
        <v>0</v>
      </c>
      <c r="AN181" s="41">
        <f t="shared" si="71"/>
        <v>-104</v>
      </c>
      <c r="AO181" s="41">
        <v>424</v>
      </c>
      <c r="AP181" s="41"/>
      <c r="AQ181" s="53">
        <v>579</v>
      </c>
      <c r="AR181" s="54">
        <v>0</v>
      </c>
      <c r="AS181" s="54">
        <v>0</v>
      </c>
      <c r="AT181" s="53">
        <v>0</v>
      </c>
      <c r="AU181" s="41">
        <f t="shared" si="72"/>
        <v>0</v>
      </c>
      <c r="AV181" s="41">
        <v>579</v>
      </c>
      <c r="AW181" s="41"/>
      <c r="AX181" s="41">
        <v>419</v>
      </c>
      <c r="AY181" s="54">
        <v>0</v>
      </c>
      <c r="AZ181" s="50">
        <v>0</v>
      </c>
      <c r="BA181" s="50">
        <v>0</v>
      </c>
      <c r="BB181" s="41">
        <v>0</v>
      </c>
      <c r="BC181" s="41">
        <f t="shared" si="74"/>
        <v>-29</v>
      </c>
      <c r="BD181" s="41">
        <v>390</v>
      </c>
      <c r="BF181" s="41">
        <v>647</v>
      </c>
      <c r="BG181" s="50">
        <v>0</v>
      </c>
      <c r="BH181" s="41">
        <v>35</v>
      </c>
      <c r="BI181" s="50">
        <v>0</v>
      </c>
      <c r="BJ181" s="41">
        <v>0</v>
      </c>
      <c r="BK181" s="41">
        <f t="shared" si="73"/>
        <v>-67</v>
      </c>
      <c r="BL181" s="41">
        <v>615</v>
      </c>
      <c r="BM181" s="55"/>
      <c r="BN181" s="41">
        <v>273</v>
      </c>
      <c r="BO181" s="50">
        <v>0</v>
      </c>
      <c r="BP181" s="50">
        <v>0</v>
      </c>
      <c r="BQ181" s="41">
        <v>0</v>
      </c>
      <c r="BR181" s="41">
        <v>0</v>
      </c>
      <c r="BS181" s="41">
        <f t="shared" si="64"/>
        <v>-113</v>
      </c>
      <c r="BT181" s="41">
        <v>160</v>
      </c>
      <c r="BV181" s="41">
        <v>92</v>
      </c>
      <c r="BW181" s="50">
        <v>0</v>
      </c>
      <c r="BX181" s="41">
        <f t="shared" si="67"/>
        <v>0</v>
      </c>
      <c r="BY181" s="41">
        <v>92</v>
      </c>
      <c r="CA181" s="41">
        <v>177</v>
      </c>
      <c r="CB181" s="50">
        <v>0</v>
      </c>
      <c r="CC181" s="41">
        <f t="shared" si="68"/>
        <v>0</v>
      </c>
      <c r="CD181" s="41">
        <v>177</v>
      </c>
      <c r="CF181" s="41">
        <v>5</v>
      </c>
      <c r="CG181" s="50">
        <v>0</v>
      </c>
      <c r="CH181" s="41">
        <v>0</v>
      </c>
      <c r="CI181" s="41">
        <f t="shared" si="65"/>
        <v>5</v>
      </c>
      <c r="CJ181" s="41">
        <v>27</v>
      </c>
      <c r="CK181" s="50">
        <v>0</v>
      </c>
      <c r="CL181" s="41">
        <f t="shared" si="76"/>
        <v>27</v>
      </c>
      <c r="CM181" s="41">
        <v>79</v>
      </c>
      <c r="CN181" s="50">
        <v>0</v>
      </c>
      <c r="CO181" s="41">
        <v>0</v>
      </c>
      <c r="CP181" s="41">
        <f t="shared" si="66"/>
        <v>79</v>
      </c>
      <c r="CQ181" s="41">
        <v>109</v>
      </c>
      <c r="CR181" s="50">
        <v>0</v>
      </c>
      <c r="CS181" s="41">
        <f t="shared" si="63"/>
        <v>109</v>
      </c>
      <c r="CU181" s="39" t="s">
        <v>543</v>
      </c>
    </row>
    <row r="182" spans="1:99">
      <c r="A182" s="39" t="s">
        <v>63</v>
      </c>
      <c r="B182" s="39" t="s">
        <v>188</v>
      </c>
      <c r="C182" s="39" t="s">
        <v>19</v>
      </c>
      <c r="D182" s="56">
        <v>21072501051</v>
      </c>
      <c r="E182" s="68" t="s">
        <v>192</v>
      </c>
      <c r="H182" s="51">
        <v>1078</v>
      </c>
      <c r="I182" s="49">
        <v>0</v>
      </c>
      <c r="J182" s="49">
        <v>0</v>
      </c>
      <c r="K182" s="51">
        <f t="shared" si="69"/>
        <v>1078</v>
      </c>
      <c r="L182" s="51">
        <f t="shared" si="77"/>
        <v>-2</v>
      </c>
      <c r="M182" s="51">
        <v>1076</v>
      </c>
      <c r="N182" s="52"/>
      <c r="O182" s="41">
        <v>1106</v>
      </c>
      <c r="P182" s="50">
        <v>0</v>
      </c>
      <c r="Q182" s="50">
        <v>0</v>
      </c>
      <c r="R182" s="50">
        <v>0</v>
      </c>
      <c r="S182" s="41">
        <v>-17</v>
      </c>
      <c r="T182" s="41">
        <v>1089</v>
      </c>
      <c r="U182" s="41"/>
      <c r="V182" s="41">
        <v>1033</v>
      </c>
      <c r="W182" s="50">
        <v>11</v>
      </c>
      <c r="X182" s="50">
        <v>0</v>
      </c>
      <c r="Y182" s="41">
        <f t="shared" si="70"/>
        <v>-1</v>
      </c>
      <c r="Z182" s="41">
        <v>1043</v>
      </c>
      <c r="AA182" s="41"/>
      <c r="AB182" s="41">
        <v>927</v>
      </c>
      <c r="AC182" s="41">
        <v>1</v>
      </c>
      <c r="AD182" s="50">
        <v>0</v>
      </c>
      <c r="AE182" s="41">
        <v>0</v>
      </c>
      <c r="AF182" s="41">
        <v>0</v>
      </c>
      <c r="AG182" s="41">
        <f t="shared" si="75"/>
        <v>-17</v>
      </c>
      <c r="AH182" s="41">
        <v>911</v>
      </c>
      <c r="AI182" s="41"/>
      <c r="AJ182" s="41">
        <v>796</v>
      </c>
      <c r="AK182" s="50">
        <v>0</v>
      </c>
      <c r="AL182" s="41">
        <v>0</v>
      </c>
      <c r="AM182" s="50">
        <v>0</v>
      </c>
      <c r="AN182" s="41">
        <f t="shared" si="71"/>
        <v>21</v>
      </c>
      <c r="AO182" s="41">
        <v>817</v>
      </c>
      <c r="AP182" s="41"/>
      <c r="AQ182" s="53">
        <v>671</v>
      </c>
      <c r="AR182" s="54">
        <v>0</v>
      </c>
      <c r="AS182" s="54">
        <v>0</v>
      </c>
      <c r="AT182" s="53">
        <v>0</v>
      </c>
      <c r="AU182" s="41">
        <f t="shared" si="72"/>
        <v>0</v>
      </c>
      <c r="AV182" s="41">
        <v>671</v>
      </c>
      <c r="AW182" s="41"/>
      <c r="AX182" s="41">
        <v>732</v>
      </c>
      <c r="AY182" s="54">
        <v>0</v>
      </c>
      <c r="AZ182" s="50">
        <v>0</v>
      </c>
      <c r="BA182" s="50">
        <v>0</v>
      </c>
      <c r="BB182" s="41">
        <v>0</v>
      </c>
      <c r="BC182" s="41">
        <f t="shared" si="74"/>
        <v>-65</v>
      </c>
      <c r="BD182" s="41">
        <v>667</v>
      </c>
      <c r="BF182" s="41">
        <v>716</v>
      </c>
      <c r="BG182" s="50">
        <v>0</v>
      </c>
      <c r="BH182" s="41">
        <v>4</v>
      </c>
      <c r="BI182" s="50">
        <v>0</v>
      </c>
      <c r="BJ182" s="41">
        <v>0</v>
      </c>
      <c r="BK182" s="41">
        <f t="shared" si="73"/>
        <v>0</v>
      </c>
      <c r="BL182" s="41">
        <v>720</v>
      </c>
      <c r="BM182" s="55"/>
      <c r="BN182" s="41">
        <v>523</v>
      </c>
      <c r="BO182" s="50">
        <v>0</v>
      </c>
      <c r="BP182" s="50">
        <v>0</v>
      </c>
      <c r="BQ182" s="41">
        <v>0</v>
      </c>
      <c r="BR182" s="41">
        <v>0</v>
      </c>
      <c r="BS182" s="41">
        <f t="shared" si="64"/>
        <v>0</v>
      </c>
      <c r="BT182" s="41">
        <v>523</v>
      </c>
      <c r="BV182" s="41">
        <v>518</v>
      </c>
      <c r="BW182" s="50">
        <v>0</v>
      </c>
      <c r="BX182" s="41">
        <f t="shared" si="67"/>
        <v>-1</v>
      </c>
      <c r="BY182" s="41">
        <v>517</v>
      </c>
      <c r="CA182" s="41">
        <v>493</v>
      </c>
      <c r="CB182" s="50">
        <v>0</v>
      </c>
      <c r="CC182" s="41">
        <f t="shared" si="68"/>
        <v>0</v>
      </c>
      <c r="CD182" s="41">
        <v>493</v>
      </c>
      <c r="CF182" s="41">
        <v>490</v>
      </c>
      <c r="CG182" s="50">
        <v>0</v>
      </c>
      <c r="CH182" s="41">
        <v>0</v>
      </c>
      <c r="CI182" s="41">
        <f t="shared" si="65"/>
        <v>490</v>
      </c>
      <c r="CJ182" s="41">
        <v>513</v>
      </c>
      <c r="CK182" s="50">
        <v>0</v>
      </c>
      <c r="CL182" s="41">
        <f t="shared" si="76"/>
        <v>513</v>
      </c>
      <c r="CM182" s="41">
        <v>351</v>
      </c>
      <c r="CN182" s="50">
        <v>0</v>
      </c>
      <c r="CO182" s="41">
        <v>0</v>
      </c>
      <c r="CP182" s="41">
        <f t="shared" si="66"/>
        <v>351</v>
      </c>
      <c r="CQ182" s="41">
        <v>376</v>
      </c>
      <c r="CR182" s="50">
        <v>0</v>
      </c>
      <c r="CS182" s="41">
        <f t="shared" ref="CS182:CS245" si="78">SUM(CQ182:CR182)</f>
        <v>376</v>
      </c>
      <c r="CU182" s="39" t="s">
        <v>544</v>
      </c>
    </row>
    <row r="183" spans="1:99">
      <c r="A183" s="39" t="s">
        <v>63</v>
      </c>
      <c r="B183" s="39" t="s">
        <v>188</v>
      </c>
      <c r="C183" s="39" t="s">
        <v>19</v>
      </c>
      <c r="D183" s="56">
        <v>57074001051</v>
      </c>
      <c r="E183" s="68" t="s">
        <v>193</v>
      </c>
      <c r="H183" s="51">
        <v>539</v>
      </c>
      <c r="I183" s="49">
        <v>0</v>
      </c>
      <c r="J183" s="49">
        <v>0</v>
      </c>
      <c r="K183" s="51">
        <f t="shared" si="69"/>
        <v>539</v>
      </c>
      <c r="L183" s="51">
        <f t="shared" si="77"/>
        <v>0</v>
      </c>
      <c r="M183" s="51">
        <v>539</v>
      </c>
      <c r="N183" s="52"/>
      <c r="O183" s="41">
        <v>676</v>
      </c>
      <c r="P183" s="50">
        <v>0</v>
      </c>
      <c r="Q183" s="50">
        <v>0</v>
      </c>
      <c r="R183" s="50">
        <v>0</v>
      </c>
      <c r="S183" s="41">
        <v>3</v>
      </c>
      <c r="T183" s="41">
        <v>679</v>
      </c>
      <c r="U183" s="41"/>
      <c r="V183" s="41">
        <v>632</v>
      </c>
      <c r="W183" s="50">
        <v>0</v>
      </c>
      <c r="X183" s="50">
        <v>0</v>
      </c>
      <c r="Y183" s="41">
        <f t="shared" si="70"/>
        <v>-14</v>
      </c>
      <c r="Z183" s="41">
        <v>618</v>
      </c>
      <c r="AA183" s="41"/>
      <c r="AB183" s="41">
        <v>802</v>
      </c>
      <c r="AC183" s="41">
        <v>0</v>
      </c>
      <c r="AD183" s="50">
        <v>0</v>
      </c>
      <c r="AE183" s="41">
        <v>0</v>
      </c>
      <c r="AF183" s="41">
        <v>0</v>
      </c>
      <c r="AG183" s="41">
        <f t="shared" si="75"/>
        <v>-5</v>
      </c>
      <c r="AH183" s="41">
        <v>797</v>
      </c>
      <c r="AI183" s="41"/>
      <c r="AJ183" s="41">
        <v>1047</v>
      </c>
      <c r="AK183" s="50">
        <v>0</v>
      </c>
      <c r="AL183" s="41">
        <v>278</v>
      </c>
      <c r="AM183" s="50">
        <v>0</v>
      </c>
      <c r="AN183" s="41">
        <f t="shared" si="71"/>
        <v>-37</v>
      </c>
      <c r="AO183" s="41">
        <v>1288</v>
      </c>
      <c r="AP183" s="41"/>
      <c r="AQ183" s="53">
        <v>1150</v>
      </c>
      <c r="AR183" s="54">
        <v>0</v>
      </c>
      <c r="AS183" s="54">
        <v>0</v>
      </c>
      <c r="AT183" s="53">
        <v>0</v>
      </c>
      <c r="AU183" s="41">
        <f t="shared" si="72"/>
        <v>0</v>
      </c>
      <c r="AV183" s="41">
        <v>1150</v>
      </c>
      <c r="AW183" s="41"/>
      <c r="AX183" s="41">
        <v>313</v>
      </c>
      <c r="AY183" s="54">
        <v>0</v>
      </c>
      <c r="AZ183" s="50">
        <v>0</v>
      </c>
      <c r="BA183" s="50">
        <v>0</v>
      </c>
      <c r="BB183" s="41">
        <v>0</v>
      </c>
      <c r="BC183" s="41">
        <f t="shared" si="74"/>
        <v>0</v>
      </c>
      <c r="BD183" s="41">
        <v>313</v>
      </c>
      <c r="BF183" s="41">
        <v>396</v>
      </c>
      <c r="BG183" s="50">
        <v>0</v>
      </c>
      <c r="BH183" s="41">
        <v>80</v>
      </c>
      <c r="BI183" s="50">
        <v>0</v>
      </c>
      <c r="BJ183" s="41">
        <v>0</v>
      </c>
      <c r="BK183" s="41">
        <f t="shared" si="73"/>
        <v>0</v>
      </c>
      <c r="BL183" s="41">
        <v>476</v>
      </c>
      <c r="BM183" s="55"/>
      <c r="BN183" s="41">
        <v>66</v>
      </c>
      <c r="BO183" s="50">
        <v>0</v>
      </c>
      <c r="BP183" s="50">
        <v>0</v>
      </c>
      <c r="BQ183" s="41">
        <v>0</v>
      </c>
      <c r="BR183" s="41">
        <v>0</v>
      </c>
      <c r="BS183" s="41">
        <f t="shared" si="64"/>
        <v>0</v>
      </c>
      <c r="BT183" s="41">
        <v>66</v>
      </c>
      <c r="BV183" s="41">
        <v>78</v>
      </c>
      <c r="BW183" s="50">
        <v>0</v>
      </c>
      <c r="BX183" s="41">
        <f t="shared" si="67"/>
        <v>0</v>
      </c>
      <c r="BY183" s="41">
        <v>78</v>
      </c>
      <c r="CA183" s="41">
        <v>60</v>
      </c>
      <c r="CB183" s="50">
        <v>0</v>
      </c>
      <c r="CC183" s="41">
        <f t="shared" si="68"/>
        <v>0</v>
      </c>
      <c r="CD183" s="41">
        <v>60</v>
      </c>
      <c r="CF183" s="41">
        <v>57</v>
      </c>
      <c r="CG183" s="50">
        <v>0</v>
      </c>
      <c r="CH183" s="41">
        <v>0</v>
      </c>
      <c r="CI183" s="41">
        <f t="shared" si="65"/>
        <v>57</v>
      </c>
      <c r="CJ183" s="41">
        <v>76</v>
      </c>
      <c r="CK183" s="50">
        <v>0</v>
      </c>
      <c r="CL183" s="41">
        <f t="shared" ref="CL183:CL214" si="79">SUM(CJ183:CK183)</f>
        <v>76</v>
      </c>
      <c r="CM183" s="41">
        <v>0</v>
      </c>
      <c r="CN183" s="50">
        <v>0</v>
      </c>
      <c r="CO183" s="41">
        <v>0</v>
      </c>
      <c r="CP183" s="41">
        <f t="shared" si="66"/>
        <v>0</v>
      </c>
      <c r="CQ183" s="41">
        <v>160</v>
      </c>
      <c r="CR183" s="50">
        <v>0</v>
      </c>
      <c r="CS183" s="41">
        <f t="shared" si="78"/>
        <v>160</v>
      </c>
      <c r="CU183" s="39" t="s">
        <v>545</v>
      </c>
    </row>
    <row r="184" spans="1:99">
      <c r="A184" s="39" t="s">
        <v>63</v>
      </c>
      <c r="B184" s="39" t="s">
        <v>188</v>
      </c>
      <c r="C184" s="39" t="s">
        <v>19</v>
      </c>
      <c r="D184" s="56">
        <v>57074501051</v>
      </c>
      <c r="E184" s="68" t="s">
        <v>194</v>
      </c>
      <c r="H184" s="51">
        <v>835</v>
      </c>
      <c r="I184" s="49">
        <v>0</v>
      </c>
      <c r="J184" s="49">
        <v>0</v>
      </c>
      <c r="K184" s="51">
        <f t="shared" si="69"/>
        <v>835</v>
      </c>
      <c r="L184" s="51">
        <f t="shared" si="77"/>
        <v>1</v>
      </c>
      <c r="M184" s="51">
        <v>836</v>
      </c>
      <c r="N184" s="52"/>
      <c r="O184" s="41">
        <v>833</v>
      </c>
      <c r="P184" s="50">
        <v>30</v>
      </c>
      <c r="Q184" s="50">
        <v>0</v>
      </c>
      <c r="R184" s="50">
        <v>2</v>
      </c>
      <c r="S184" s="41">
        <v>-8</v>
      </c>
      <c r="T184" s="41">
        <v>857</v>
      </c>
      <c r="U184" s="41"/>
      <c r="V184" s="41">
        <v>816</v>
      </c>
      <c r="W184" s="50">
        <v>7</v>
      </c>
      <c r="X184" s="50">
        <v>0</v>
      </c>
      <c r="Y184" s="41">
        <f t="shared" si="70"/>
        <v>0</v>
      </c>
      <c r="Z184" s="41">
        <v>823</v>
      </c>
      <c r="AA184" s="41"/>
      <c r="AB184" s="41">
        <v>854</v>
      </c>
      <c r="AC184" s="41">
        <v>11</v>
      </c>
      <c r="AD184" s="50">
        <v>0</v>
      </c>
      <c r="AE184" s="41">
        <v>0</v>
      </c>
      <c r="AF184" s="41">
        <v>0</v>
      </c>
      <c r="AG184" s="41">
        <f t="shared" si="75"/>
        <v>19</v>
      </c>
      <c r="AH184" s="41">
        <v>884</v>
      </c>
      <c r="AI184" s="41"/>
      <c r="AJ184" s="41">
        <v>759</v>
      </c>
      <c r="AK184" s="50">
        <v>0</v>
      </c>
      <c r="AL184" s="41">
        <v>47</v>
      </c>
      <c r="AM184" s="50">
        <v>0</v>
      </c>
      <c r="AN184" s="41">
        <f t="shared" si="71"/>
        <v>-8</v>
      </c>
      <c r="AO184" s="41">
        <v>798</v>
      </c>
      <c r="AP184" s="41"/>
      <c r="AQ184" s="53">
        <v>750</v>
      </c>
      <c r="AR184" s="54">
        <v>0</v>
      </c>
      <c r="AS184" s="54">
        <v>0</v>
      </c>
      <c r="AT184" s="53">
        <v>0</v>
      </c>
      <c r="AU184" s="41">
        <f t="shared" si="72"/>
        <v>0</v>
      </c>
      <c r="AV184" s="41">
        <v>750</v>
      </c>
      <c r="AW184" s="41"/>
      <c r="AX184" s="41">
        <v>688</v>
      </c>
      <c r="AY184" s="54">
        <v>0</v>
      </c>
      <c r="AZ184" s="50">
        <v>0</v>
      </c>
      <c r="BA184" s="50">
        <v>0</v>
      </c>
      <c r="BB184" s="41">
        <v>0</v>
      </c>
      <c r="BC184" s="41">
        <f t="shared" si="74"/>
        <v>0</v>
      </c>
      <c r="BD184" s="41">
        <v>688</v>
      </c>
      <c r="BF184" s="41">
        <v>594</v>
      </c>
      <c r="BG184" s="50">
        <v>0</v>
      </c>
      <c r="BH184" s="41">
        <v>16</v>
      </c>
      <c r="BI184" s="50">
        <v>0</v>
      </c>
      <c r="BJ184" s="41">
        <v>0</v>
      </c>
      <c r="BK184" s="41">
        <f t="shared" si="73"/>
        <v>0</v>
      </c>
      <c r="BL184" s="41">
        <v>610</v>
      </c>
      <c r="BM184" s="55"/>
      <c r="BN184" s="41">
        <v>503</v>
      </c>
      <c r="BO184" s="50">
        <v>0</v>
      </c>
      <c r="BP184" s="50">
        <v>0</v>
      </c>
      <c r="BQ184" s="41">
        <v>8</v>
      </c>
      <c r="BR184" s="41">
        <v>0</v>
      </c>
      <c r="BS184" s="41">
        <f t="shared" si="64"/>
        <v>0</v>
      </c>
      <c r="BT184" s="41">
        <v>511</v>
      </c>
      <c r="BV184" s="41">
        <v>514</v>
      </c>
      <c r="BW184" s="50">
        <v>0</v>
      </c>
      <c r="BX184" s="41">
        <f t="shared" si="67"/>
        <v>-1</v>
      </c>
      <c r="BY184" s="41">
        <v>513</v>
      </c>
      <c r="CA184" s="41">
        <v>430</v>
      </c>
      <c r="CB184" s="50">
        <v>0</v>
      </c>
      <c r="CC184" s="41">
        <f t="shared" si="68"/>
        <v>0</v>
      </c>
      <c r="CD184" s="41">
        <v>430</v>
      </c>
      <c r="CF184" s="41">
        <v>464</v>
      </c>
      <c r="CG184" s="50">
        <v>0</v>
      </c>
      <c r="CH184" s="41">
        <v>0</v>
      </c>
      <c r="CI184" s="41">
        <f t="shared" si="65"/>
        <v>464</v>
      </c>
      <c r="CJ184" s="41">
        <v>389</v>
      </c>
      <c r="CK184" s="50">
        <v>0</v>
      </c>
      <c r="CL184" s="41">
        <f t="shared" si="79"/>
        <v>389</v>
      </c>
      <c r="CM184" s="41">
        <v>328</v>
      </c>
      <c r="CN184" s="50">
        <v>0</v>
      </c>
      <c r="CO184" s="41">
        <v>0</v>
      </c>
      <c r="CP184" s="41">
        <f t="shared" ref="CP184:CP247" si="80">SUM(CM184:CO184)</f>
        <v>328</v>
      </c>
      <c r="CQ184" s="41">
        <v>331</v>
      </c>
      <c r="CR184" s="50">
        <v>0</v>
      </c>
      <c r="CS184" s="41">
        <f t="shared" si="78"/>
        <v>331</v>
      </c>
      <c r="CU184" s="39" t="s">
        <v>546</v>
      </c>
    </row>
    <row r="185" spans="1:99">
      <c r="A185" s="39" t="s">
        <v>63</v>
      </c>
      <c r="B185" s="39" t="s">
        <v>188</v>
      </c>
      <c r="C185" s="39" t="s">
        <v>19</v>
      </c>
      <c r="D185" s="56"/>
      <c r="E185" s="68" t="s">
        <v>195</v>
      </c>
      <c r="H185" s="51">
        <v>44</v>
      </c>
      <c r="I185" s="49">
        <v>0</v>
      </c>
      <c r="J185" s="49">
        <v>0</v>
      </c>
      <c r="K185" s="51">
        <f t="shared" si="69"/>
        <v>44</v>
      </c>
      <c r="L185" s="51">
        <f t="shared" si="77"/>
        <v>-44</v>
      </c>
      <c r="M185" s="51">
        <v>0</v>
      </c>
      <c r="N185" s="52"/>
      <c r="O185" s="41">
        <v>0</v>
      </c>
      <c r="P185" s="50">
        <v>0</v>
      </c>
      <c r="Q185" s="50">
        <v>0</v>
      </c>
      <c r="R185" s="50">
        <v>0</v>
      </c>
      <c r="S185" s="41">
        <v>0</v>
      </c>
      <c r="T185" s="41">
        <v>0</v>
      </c>
      <c r="U185" s="41"/>
      <c r="V185" s="41">
        <v>0</v>
      </c>
      <c r="W185" s="50">
        <v>0</v>
      </c>
      <c r="X185" s="50">
        <v>0</v>
      </c>
      <c r="Y185" s="41">
        <f t="shared" si="70"/>
        <v>0</v>
      </c>
      <c r="Z185" s="41">
        <v>0</v>
      </c>
      <c r="AA185" s="41"/>
      <c r="AB185" s="41">
        <v>0</v>
      </c>
      <c r="AC185" s="41">
        <v>0</v>
      </c>
      <c r="AD185" s="50">
        <v>0</v>
      </c>
      <c r="AE185" s="41">
        <v>0</v>
      </c>
      <c r="AF185" s="41">
        <v>0</v>
      </c>
      <c r="AG185" s="41">
        <f t="shared" si="75"/>
        <v>0</v>
      </c>
      <c r="AH185" s="41">
        <v>0</v>
      </c>
      <c r="AI185" s="41"/>
      <c r="AJ185" s="41">
        <v>0</v>
      </c>
      <c r="AK185" s="50">
        <v>0</v>
      </c>
      <c r="AL185" s="41">
        <v>0</v>
      </c>
      <c r="AM185" s="50">
        <v>0</v>
      </c>
      <c r="AN185" s="41">
        <f t="shared" si="71"/>
        <v>0</v>
      </c>
      <c r="AO185" s="41">
        <v>0</v>
      </c>
      <c r="AP185" s="41"/>
      <c r="AQ185" s="53">
        <v>0</v>
      </c>
      <c r="AR185" s="54">
        <v>0</v>
      </c>
      <c r="AS185" s="54">
        <v>0</v>
      </c>
      <c r="AT185" s="53">
        <v>0</v>
      </c>
      <c r="AU185" s="41">
        <f t="shared" si="72"/>
        <v>0</v>
      </c>
      <c r="AV185" s="41">
        <v>0</v>
      </c>
      <c r="AW185" s="41"/>
      <c r="AX185" s="41">
        <v>0</v>
      </c>
      <c r="AY185" s="54">
        <v>0</v>
      </c>
      <c r="AZ185" s="50">
        <v>0</v>
      </c>
      <c r="BA185" s="50">
        <v>0</v>
      </c>
      <c r="BB185" s="41">
        <v>0</v>
      </c>
      <c r="BC185" s="41">
        <f t="shared" si="74"/>
        <v>0</v>
      </c>
      <c r="BD185" s="41">
        <v>0</v>
      </c>
      <c r="BF185" s="41">
        <v>0</v>
      </c>
      <c r="BG185" s="50">
        <v>0</v>
      </c>
      <c r="BH185" s="41">
        <v>0</v>
      </c>
      <c r="BI185" s="50">
        <v>0</v>
      </c>
      <c r="BJ185" s="41">
        <v>0</v>
      </c>
      <c r="BK185" s="41">
        <f t="shared" si="73"/>
        <v>0</v>
      </c>
      <c r="BL185" s="41">
        <v>0</v>
      </c>
      <c r="BM185" s="55"/>
      <c r="BN185" s="41">
        <v>0</v>
      </c>
      <c r="BO185" s="50">
        <v>0</v>
      </c>
      <c r="BP185" s="50">
        <v>0</v>
      </c>
      <c r="BQ185" s="41">
        <v>0</v>
      </c>
      <c r="BR185" s="41">
        <v>0</v>
      </c>
      <c r="BS185" s="41">
        <f t="shared" ref="BS185:BS246" si="81">BT185-SUM(BN185:BR185)</f>
        <v>0</v>
      </c>
      <c r="BT185" s="41">
        <v>0</v>
      </c>
      <c r="BV185" s="41">
        <v>0</v>
      </c>
      <c r="BW185" s="50">
        <v>0</v>
      </c>
      <c r="BX185" s="41">
        <f t="shared" si="67"/>
        <v>0</v>
      </c>
      <c r="BY185" s="41">
        <v>0</v>
      </c>
      <c r="CA185" s="41">
        <v>0</v>
      </c>
      <c r="CB185" s="50">
        <v>0</v>
      </c>
      <c r="CC185" s="41">
        <f t="shared" si="68"/>
        <v>0</v>
      </c>
      <c r="CD185" s="41">
        <v>0</v>
      </c>
      <c r="CF185" s="41">
        <v>0</v>
      </c>
      <c r="CG185" s="50">
        <v>0</v>
      </c>
      <c r="CH185" s="41">
        <v>0</v>
      </c>
      <c r="CI185" s="41">
        <f t="shared" ref="CI185:CI247" si="82">SUM(CF185:CH185)</f>
        <v>0</v>
      </c>
      <c r="CJ185" s="41">
        <v>0</v>
      </c>
      <c r="CK185" s="50">
        <v>0</v>
      </c>
      <c r="CL185" s="41">
        <f t="shared" si="79"/>
        <v>0</v>
      </c>
      <c r="CM185" s="41">
        <v>0</v>
      </c>
      <c r="CN185" s="50">
        <v>0</v>
      </c>
      <c r="CO185" s="41">
        <v>0</v>
      </c>
      <c r="CP185" s="41">
        <f t="shared" si="80"/>
        <v>0</v>
      </c>
      <c r="CQ185" s="41">
        <v>0</v>
      </c>
      <c r="CR185" s="50">
        <v>0</v>
      </c>
      <c r="CS185" s="41">
        <f t="shared" si="78"/>
        <v>0</v>
      </c>
    </row>
    <row r="186" spans="1:99">
      <c r="A186" s="39" t="s">
        <v>63</v>
      </c>
      <c r="B186" s="39" t="s">
        <v>188</v>
      </c>
      <c r="C186" s="39" t="s">
        <v>19</v>
      </c>
      <c r="D186" s="56"/>
      <c r="E186" s="68" t="s">
        <v>196</v>
      </c>
      <c r="H186" s="51">
        <v>0</v>
      </c>
      <c r="I186" s="49">
        <v>0</v>
      </c>
      <c r="J186" s="49">
        <v>0</v>
      </c>
      <c r="K186" s="51">
        <f t="shared" si="69"/>
        <v>0</v>
      </c>
      <c r="L186" s="51">
        <f t="shared" si="77"/>
        <v>0</v>
      </c>
      <c r="M186" s="51">
        <v>0</v>
      </c>
      <c r="N186" s="52"/>
      <c r="O186" s="41">
        <v>5</v>
      </c>
      <c r="P186" s="50">
        <v>0</v>
      </c>
      <c r="Q186" s="50">
        <v>0</v>
      </c>
      <c r="R186" s="50">
        <v>0</v>
      </c>
      <c r="S186" s="41">
        <v>0</v>
      </c>
      <c r="T186" s="41">
        <v>5</v>
      </c>
      <c r="U186" s="41"/>
      <c r="V186" s="41">
        <v>0</v>
      </c>
      <c r="W186" s="50">
        <v>0</v>
      </c>
      <c r="X186" s="50">
        <v>0</v>
      </c>
      <c r="Y186" s="41">
        <f t="shared" si="70"/>
        <v>0</v>
      </c>
      <c r="Z186" s="41">
        <v>0</v>
      </c>
      <c r="AA186" s="41"/>
      <c r="AB186" s="41">
        <v>0</v>
      </c>
      <c r="AC186" s="41">
        <v>0</v>
      </c>
      <c r="AD186" s="50">
        <v>0</v>
      </c>
      <c r="AE186" s="41">
        <v>0</v>
      </c>
      <c r="AF186" s="41">
        <v>0</v>
      </c>
      <c r="AG186" s="41">
        <f t="shared" si="75"/>
        <v>0</v>
      </c>
      <c r="AH186" s="41">
        <v>0</v>
      </c>
      <c r="AI186" s="41"/>
      <c r="AJ186" s="41">
        <v>0</v>
      </c>
      <c r="AK186" s="50">
        <v>0</v>
      </c>
      <c r="AL186" s="41">
        <v>0</v>
      </c>
      <c r="AM186" s="50">
        <v>0</v>
      </c>
      <c r="AN186" s="41">
        <f t="shared" si="71"/>
        <v>0</v>
      </c>
      <c r="AO186" s="41">
        <v>0</v>
      </c>
      <c r="AP186" s="41"/>
      <c r="AQ186" s="53">
        <v>9</v>
      </c>
      <c r="AR186" s="54">
        <v>0</v>
      </c>
      <c r="AS186" s="54">
        <v>0</v>
      </c>
      <c r="AT186" s="53">
        <v>0</v>
      </c>
      <c r="AU186" s="41">
        <f t="shared" si="72"/>
        <v>0</v>
      </c>
      <c r="AV186" s="41">
        <v>9</v>
      </c>
      <c r="AW186" s="41"/>
      <c r="AX186" s="41">
        <v>0</v>
      </c>
      <c r="AY186" s="54">
        <v>0</v>
      </c>
      <c r="AZ186" s="50">
        <v>0</v>
      </c>
      <c r="BA186" s="50">
        <v>0</v>
      </c>
      <c r="BB186" s="41">
        <v>0</v>
      </c>
      <c r="BC186" s="41">
        <f t="shared" si="74"/>
        <v>0</v>
      </c>
      <c r="BD186" s="41">
        <v>0</v>
      </c>
      <c r="BF186" s="41">
        <v>-6</v>
      </c>
      <c r="BG186" s="50">
        <v>0</v>
      </c>
      <c r="BH186" s="41">
        <v>0</v>
      </c>
      <c r="BI186" s="50">
        <v>0</v>
      </c>
      <c r="BJ186" s="41">
        <v>0</v>
      </c>
      <c r="BK186" s="41">
        <f t="shared" si="73"/>
        <v>6</v>
      </c>
      <c r="BL186" s="41">
        <v>0</v>
      </c>
      <c r="BM186" s="55"/>
      <c r="BN186" s="41">
        <v>3</v>
      </c>
      <c r="BO186" s="50">
        <v>0</v>
      </c>
      <c r="BP186" s="50">
        <v>0</v>
      </c>
      <c r="BQ186" s="41">
        <v>0</v>
      </c>
      <c r="BR186" s="41">
        <v>0</v>
      </c>
      <c r="BS186" s="41">
        <f t="shared" si="81"/>
        <v>0</v>
      </c>
      <c r="BT186" s="41">
        <v>3</v>
      </c>
      <c r="BV186" s="41">
        <v>0</v>
      </c>
      <c r="BW186" s="50">
        <v>0</v>
      </c>
      <c r="BX186" s="41">
        <f t="shared" ref="BX186:BX247" si="83">BY186-SUM(BV186:BW186)</f>
        <v>0</v>
      </c>
      <c r="BY186" s="41">
        <v>0</v>
      </c>
      <c r="CA186" s="41">
        <v>0</v>
      </c>
      <c r="CB186" s="50">
        <v>0</v>
      </c>
      <c r="CC186" s="41">
        <f t="shared" ref="CC186:CC247" si="84">CD186-SUM(CA186:CB186)</f>
        <v>0</v>
      </c>
      <c r="CD186" s="41">
        <v>0</v>
      </c>
      <c r="CF186" s="41">
        <v>0</v>
      </c>
      <c r="CG186" s="50">
        <v>0</v>
      </c>
      <c r="CH186" s="41">
        <v>0</v>
      </c>
      <c r="CI186" s="41">
        <f t="shared" si="82"/>
        <v>0</v>
      </c>
      <c r="CJ186" s="41">
        <v>0</v>
      </c>
      <c r="CK186" s="50">
        <v>0</v>
      </c>
      <c r="CL186" s="41">
        <f t="shared" si="79"/>
        <v>0</v>
      </c>
      <c r="CM186" s="41">
        <v>0</v>
      </c>
      <c r="CN186" s="50">
        <v>0</v>
      </c>
      <c r="CO186" s="41">
        <v>0</v>
      </c>
      <c r="CP186" s="41">
        <f t="shared" si="80"/>
        <v>0</v>
      </c>
      <c r="CQ186" s="41">
        <v>0</v>
      </c>
      <c r="CR186" s="50">
        <v>0</v>
      </c>
      <c r="CS186" s="41">
        <f t="shared" si="78"/>
        <v>0</v>
      </c>
    </row>
    <row r="187" spans="1:99">
      <c r="A187" s="39" t="s">
        <v>63</v>
      </c>
      <c r="B187" s="39" t="s">
        <v>188</v>
      </c>
      <c r="C187" s="39" t="s">
        <v>19</v>
      </c>
      <c r="D187" s="56">
        <v>97076501051</v>
      </c>
      <c r="E187" s="68" t="s">
        <v>197</v>
      </c>
      <c r="H187" s="51">
        <v>0</v>
      </c>
      <c r="I187" s="49">
        <v>0</v>
      </c>
      <c r="J187" s="49">
        <v>0</v>
      </c>
      <c r="K187" s="51">
        <f t="shared" si="69"/>
        <v>0</v>
      </c>
      <c r="L187" s="51">
        <f t="shared" si="77"/>
        <v>43</v>
      </c>
      <c r="M187" s="51">
        <v>43</v>
      </c>
      <c r="N187" s="52"/>
      <c r="O187" s="41">
        <v>42</v>
      </c>
      <c r="P187" s="50">
        <v>0</v>
      </c>
      <c r="Q187" s="50">
        <v>0</v>
      </c>
      <c r="R187" s="50">
        <v>0</v>
      </c>
      <c r="S187" s="41">
        <v>0</v>
      </c>
      <c r="T187" s="41">
        <v>42</v>
      </c>
      <c r="U187" s="41"/>
      <c r="V187" s="41">
        <v>49</v>
      </c>
      <c r="W187" s="50">
        <v>0</v>
      </c>
      <c r="X187" s="50">
        <v>0</v>
      </c>
      <c r="Y187" s="41">
        <f t="shared" si="70"/>
        <v>0</v>
      </c>
      <c r="Z187" s="41">
        <v>49</v>
      </c>
      <c r="AA187" s="41"/>
      <c r="AB187" s="41">
        <v>50</v>
      </c>
      <c r="AC187" s="41">
        <v>0</v>
      </c>
      <c r="AD187" s="50">
        <v>0</v>
      </c>
      <c r="AE187" s="41">
        <v>0</v>
      </c>
      <c r="AF187" s="41">
        <v>0</v>
      </c>
      <c r="AG187" s="41">
        <f t="shared" si="75"/>
        <v>0</v>
      </c>
      <c r="AH187" s="41">
        <v>50</v>
      </c>
      <c r="AI187" s="41"/>
      <c r="AJ187" s="41">
        <v>46</v>
      </c>
      <c r="AK187" s="50">
        <v>0</v>
      </c>
      <c r="AL187" s="41">
        <v>0</v>
      </c>
      <c r="AM187" s="50">
        <v>0</v>
      </c>
      <c r="AN187" s="41">
        <f t="shared" si="71"/>
        <v>0</v>
      </c>
      <c r="AO187" s="41">
        <v>46</v>
      </c>
      <c r="AP187" s="41"/>
      <c r="AQ187" s="53">
        <v>49</v>
      </c>
      <c r="AR187" s="54">
        <v>0</v>
      </c>
      <c r="AS187" s="54">
        <v>0</v>
      </c>
      <c r="AT187" s="53">
        <v>0</v>
      </c>
      <c r="AU187" s="41">
        <f t="shared" si="72"/>
        <v>0</v>
      </c>
      <c r="AV187" s="41">
        <v>49</v>
      </c>
      <c r="AW187" s="41"/>
      <c r="AX187" s="41">
        <v>49</v>
      </c>
      <c r="AY187" s="54">
        <v>0</v>
      </c>
      <c r="AZ187" s="50">
        <v>0</v>
      </c>
      <c r="BA187" s="50">
        <v>0</v>
      </c>
      <c r="BB187" s="41">
        <v>0</v>
      </c>
      <c r="BC187" s="41">
        <f t="shared" si="74"/>
        <v>0</v>
      </c>
      <c r="BD187" s="41">
        <v>49</v>
      </c>
      <c r="BF187" s="41">
        <v>49</v>
      </c>
      <c r="BG187" s="50">
        <v>0</v>
      </c>
      <c r="BH187" s="41">
        <v>0</v>
      </c>
      <c r="BI187" s="50">
        <v>0</v>
      </c>
      <c r="BJ187" s="41">
        <v>0</v>
      </c>
      <c r="BK187" s="41">
        <f t="shared" si="73"/>
        <v>0</v>
      </c>
      <c r="BL187" s="41">
        <v>49</v>
      </c>
      <c r="BM187" s="55"/>
      <c r="BN187" s="41">
        <v>49</v>
      </c>
      <c r="BO187" s="50">
        <v>0</v>
      </c>
      <c r="BP187" s="50">
        <v>0</v>
      </c>
      <c r="BQ187" s="41">
        <v>0</v>
      </c>
      <c r="BR187" s="41">
        <v>0</v>
      </c>
      <c r="BS187" s="41">
        <f t="shared" si="81"/>
        <v>0</v>
      </c>
      <c r="BT187" s="41">
        <v>49</v>
      </c>
      <c r="BV187" s="41">
        <v>50</v>
      </c>
      <c r="BW187" s="50">
        <v>0</v>
      </c>
      <c r="BX187" s="41">
        <f t="shared" si="83"/>
        <v>0</v>
      </c>
      <c r="BY187" s="41">
        <v>50</v>
      </c>
      <c r="CA187" s="41">
        <v>51</v>
      </c>
      <c r="CB187" s="50">
        <v>0</v>
      </c>
      <c r="CC187" s="41">
        <f t="shared" si="84"/>
        <v>0</v>
      </c>
      <c r="CD187" s="41">
        <v>51</v>
      </c>
      <c r="CF187" s="41">
        <v>48</v>
      </c>
      <c r="CG187" s="50">
        <v>0</v>
      </c>
      <c r="CH187" s="41">
        <v>0</v>
      </c>
      <c r="CI187" s="41">
        <f t="shared" si="82"/>
        <v>48</v>
      </c>
      <c r="CJ187" s="41">
        <v>56</v>
      </c>
      <c r="CK187" s="50">
        <v>0</v>
      </c>
      <c r="CL187" s="41">
        <f t="shared" si="79"/>
        <v>56</v>
      </c>
      <c r="CM187" s="41">
        <v>61</v>
      </c>
      <c r="CN187" s="50">
        <v>0</v>
      </c>
      <c r="CO187" s="41">
        <v>0</v>
      </c>
      <c r="CP187" s="41">
        <f t="shared" si="80"/>
        <v>61</v>
      </c>
      <c r="CQ187" s="41">
        <v>59</v>
      </c>
      <c r="CR187" s="50">
        <v>0</v>
      </c>
      <c r="CS187" s="41">
        <f t="shared" si="78"/>
        <v>59</v>
      </c>
      <c r="CU187" s="39" t="s">
        <v>547</v>
      </c>
    </row>
    <row r="188" spans="1:99">
      <c r="A188" s="39" t="s">
        <v>63</v>
      </c>
      <c r="B188" s="39" t="s">
        <v>188</v>
      </c>
      <c r="C188" s="39" t="s">
        <v>19</v>
      </c>
      <c r="D188" s="56">
        <v>97083401051</v>
      </c>
      <c r="E188" s="68" t="s">
        <v>198</v>
      </c>
      <c r="H188" s="51">
        <v>7</v>
      </c>
      <c r="I188" s="49">
        <v>0</v>
      </c>
      <c r="J188" s="49">
        <v>0</v>
      </c>
      <c r="K188" s="51">
        <f t="shared" si="69"/>
        <v>7</v>
      </c>
      <c r="L188" s="51">
        <f t="shared" si="77"/>
        <v>8</v>
      </c>
      <c r="M188" s="51">
        <v>15</v>
      </c>
      <c r="N188" s="52"/>
      <c r="O188" s="41">
        <v>43</v>
      </c>
      <c r="P188" s="50">
        <v>0</v>
      </c>
      <c r="Q188" s="50">
        <v>0</v>
      </c>
      <c r="R188" s="50">
        <v>0</v>
      </c>
      <c r="S188" s="41">
        <v>1</v>
      </c>
      <c r="T188" s="41">
        <v>44</v>
      </c>
      <c r="U188" s="41"/>
      <c r="V188" s="41">
        <v>138</v>
      </c>
      <c r="W188" s="50">
        <v>0</v>
      </c>
      <c r="X188" s="50">
        <v>0</v>
      </c>
      <c r="Y188" s="41">
        <f t="shared" si="70"/>
        <v>-130</v>
      </c>
      <c r="Z188" s="41">
        <v>8</v>
      </c>
      <c r="AA188" s="41"/>
      <c r="AB188" s="41">
        <v>-16</v>
      </c>
      <c r="AC188" s="41">
        <v>0</v>
      </c>
      <c r="AD188" s="50">
        <v>0</v>
      </c>
      <c r="AE188" s="41">
        <v>0</v>
      </c>
      <c r="AF188" s="41">
        <v>0</v>
      </c>
      <c r="AG188" s="41">
        <f t="shared" si="75"/>
        <v>142</v>
      </c>
      <c r="AH188" s="41">
        <v>126</v>
      </c>
      <c r="AI188" s="41"/>
      <c r="AJ188" s="41">
        <v>3</v>
      </c>
      <c r="AK188" s="50">
        <v>0</v>
      </c>
      <c r="AL188" s="41">
        <v>0</v>
      </c>
      <c r="AM188" s="50">
        <v>0</v>
      </c>
      <c r="AN188" s="41">
        <f t="shared" si="71"/>
        <v>227</v>
      </c>
      <c r="AO188" s="41">
        <v>230</v>
      </c>
      <c r="AP188" s="41"/>
      <c r="AQ188" s="53">
        <v>3</v>
      </c>
      <c r="AR188" s="54">
        <v>0</v>
      </c>
      <c r="AS188" s="54">
        <v>0</v>
      </c>
      <c r="AT188" s="53">
        <v>0</v>
      </c>
      <c r="AU188" s="41">
        <f t="shared" si="72"/>
        <v>155</v>
      </c>
      <c r="AV188" s="41">
        <v>158</v>
      </c>
      <c r="AW188" s="41"/>
      <c r="AX188" s="41">
        <v>1</v>
      </c>
      <c r="AY188" s="54">
        <v>0</v>
      </c>
      <c r="AZ188" s="50">
        <v>0</v>
      </c>
      <c r="BA188" s="50">
        <v>0</v>
      </c>
      <c r="BB188" s="41">
        <v>0</v>
      </c>
      <c r="BC188" s="41">
        <f t="shared" si="74"/>
        <v>130</v>
      </c>
      <c r="BD188" s="41">
        <v>131</v>
      </c>
      <c r="BF188" s="41">
        <v>1</v>
      </c>
      <c r="BG188" s="50">
        <v>0</v>
      </c>
      <c r="BH188" s="41">
        <v>0</v>
      </c>
      <c r="BI188" s="50">
        <v>0</v>
      </c>
      <c r="BJ188" s="41">
        <v>0</v>
      </c>
      <c r="BK188" s="41">
        <f t="shared" si="73"/>
        <v>66</v>
      </c>
      <c r="BL188" s="41">
        <v>67</v>
      </c>
      <c r="BM188" s="55"/>
      <c r="BN188" s="41">
        <v>3</v>
      </c>
      <c r="BO188" s="50">
        <v>0</v>
      </c>
      <c r="BP188" s="50">
        <v>0</v>
      </c>
      <c r="BQ188" s="41">
        <v>0</v>
      </c>
      <c r="BR188" s="41">
        <v>0</v>
      </c>
      <c r="BS188" s="41">
        <f t="shared" si="81"/>
        <v>113</v>
      </c>
      <c r="BT188" s="41">
        <v>116</v>
      </c>
      <c r="BV188" s="41">
        <v>1</v>
      </c>
      <c r="BW188" s="50">
        <v>0</v>
      </c>
      <c r="BX188" s="41">
        <f t="shared" si="83"/>
        <v>0</v>
      </c>
      <c r="BY188" s="41">
        <v>1</v>
      </c>
      <c r="CA188" s="41">
        <v>2</v>
      </c>
      <c r="CB188" s="50">
        <v>0</v>
      </c>
      <c r="CC188" s="41">
        <f t="shared" si="84"/>
        <v>0</v>
      </c>
      <c r="CD188" s="41">
        <v>2</v>
      </c>
      <c r="CF188" s="41">
        <v>-7</v>
      </c>
      <c r="CG188" s="50">
        <v>0</v>
      </c>
      <c r="CH188" s="41">
        <v>0</v>
      </c>
      <c r="CI188" s="41">
        <f t="shared" si="82"/>
        <v>-7</v>
      </c>
      <c r="CJ188" s="41">
        <v>2</v>
      </c>
      <c r="CK188" s="50">
        <v>0</v>
      </c>
      <c r="CL188" s="41">
        <f t="shared" si="79"/>
        <v>2</v>
      </c>
      <c r="CM188" s="41">
        <v>2</v>
      </c>
      <c r="CN188" s="50">
        <v>0</v>
      </c>
      <c r="CO188" s="41">
        <v>0</v>
      </c>
      <c r="CP188" s="41">
        <f t="shared" si="80"/>
        <v>2</v>
      </c>
      <c r="CQ188" s="41">
        <v>0</v>
      </c>
      <c r="CR188" s="50">
        <v>0</v>
      </c>
      <c r="CS188" s="41">
        <f t="shared" si="78"/>
        <v>0</v>
      </c>
      <c r="CU188" s="39" t="s">
        <v>548</v>
      </c>
    </row>
    <row r="189" spans="1:99">
      <c r="A189" s="39" t="s">
        <v>63</v>
      </c>
      <c r="B189" s="39" t="s">
        <v>188</v>
      </c>
      <c r="C189" s="39" t="s">
        <v>19</v>
      </c>
      <c r="D189" s="56">
        <v>97409003051</v>
      </c>
      <c r="E189" s="68" t="s">
        <v>199</v>
      </c>
      <c r="H189" s="51">
        <v>10</v>
      </c>
      <c r="I189" s="49">
        <v>0</v>
      </c>
      <c r="J189" s="49">
        <v>0</v>
      </c>
      <c r="K189" s="51">
        <f t="shared" si="69"/>
        <v>10</v>
      </c>
      <c r="L189" s="51">
        <f t="shared" si="77"/>
        <v>0</v>
      </c>
      <c r="M189" s="51">
        <v>10</v>
      </c>
      <c r="N189" s="52"/>
      <c r="O189" s="41">
        <v>0</v>
      </c>
      <c r="P189" s="50">
        <v>0</v>
      </c>
      <c r="Q189" s="50">
        <v>0</v>
      </c>
      <c r="R189" s="50">
        <v>0</v>
      </c>
      <c r="S189" s="41">
        <v>0</v>
      </c>
      <c r="T189" s="41">
        <v>0</v>
      </c>
      <c r="U189" s="41"/>
      <c r="V189" s="41">
        <v>0</v>
      </c>
      <c r="W189" s="50">
        <v>0</v>
      </c>
      <c r="X189" s="50">
        <v>0</v>
      </c>
      <c r="Y189" s="41">
        <f t="shared" si="70"/>
        <v>0</v>
      </c>
      <c r="Z189" s="41">
        <v>0</v>
      </c>
      <c r="AA189" s="41"/>
      <c r="AB189" s="41">
        <v>0</v>
      </c>
      <c r="AC189" s="41">
        <v>0</v>
      </c>
      <c r="AD189" s="50">
        <v>0</v>
      </c>
      <c r="AE189" s="41">
        <v>0</v>
      </c>
      <c r="AF189" s="41">
        <v>0</v>
      </c>
      <c r="AG189" s="41">
        <f t="shared" si="75"/>
        <v>0</v>
      </c>
      <c r="AH189" s="41">
        <v>0</v>
      </c>
      <c r="AI189" s="41"/>
      <c r="AJ189" s="41">
        <v>0</v>
      </c>
      <c r="AK189" s="50">
        <v>0</v>
      </c>
      <c r="AL189" s="41">
        <v>0</v>
      </c>
      <c r="AM189" s="50">
        <v>0</v>
      </c>
      <c r="AN189" s="41">
        <f t="shared" si="71"/>
        <v>0</v>
      </c>
      <c r="AO189" s="41">
        <v>0</v>
      </c>
      <c r="AP189" s="41"/>
      <c r="AQ189" s="53">
        <v>0</v>
      </c>
      <c r="AR189" s="54">
        <v>0</v>
      </c>
      <c r="AS189" s="54">
        <v>0</v>
      </c>
      <c r="AT189" s="53">
        <v>0</v>
      </c>
      <c r="AU189" s="41">
        <f t="shared" si="72"/>
        <v>0</v>
      </c>
      <c r="AV189" s="41">
        <v>0</v>
      </c>
      <c r="AW189" s="41"/>
      <c r="AX189" s="41">
        <v>0</v>
      </c>
      <c r="AY189" s="54">
        <v>0</v>
      </c>
      <c r="AZ189" s="50">
        <v>0</v>
      </c>
      <c r="BA189" s="50">
        <v>0</v>
      </c>
      <c r="BB189" s="41">
        <v>0</v>
      </c>
      <c r="BC189" s="41">
        <f t="shared" si="74"/>
        <v>0</v>
      </c>
      <c r="BD189" s="41">
        <v>0</v>
      </c>
      <c r="BF189" s="41">
        <v>5</v>
      </c>
      <c r="BG189" s="50">
        <v>0</v>
      </c>
      <c r="BH189" s="41">
        <v>555</v>
      </c>
      <c r="BI189" s="50">
        <v>0</v>
      </c>
      <c r="BJ189" s="41">
        <v>0</v>
      </c>
      <c r="BK189" s="41">
        <f t="shared" si="73"/>
        <v>0</v>
      </c>
      <c r="BL189" s="41">
        <v>560</v>
      </c>
      <c r="BM189" s="55"/>
      <c r="BN189" s="41">
        <v>323</v>
      </c>
      <c r="BO189" s="50">
        <v>0</v>
      </c>
      <c r="BP189" s="50">
        <v>0</v>
      </c>
      <c r="BQ189" s="41">
        <v>0</v>
      </c>
      <c r="BR189" s="41">
        <v>0</v>
      </c>
      <c r="BS189" s="41">
        <f t="shared" si="81"/>
        <v>0</v>
      </c>
      <c r="BT189" s="41">
        <v>323</v>
      </c>
      <c r="BV189" s="41">
        <v>17</v>
      </c>
      <c r="BW189" s="50">
        <v>0</v>
      </c>
      <c r="BX189" s="41">
        <f t="shared" si="83"/>
        <v>0</v>
      </c>
      <c r="BY189" s="41">
        <v>17</v>
      </c>
      <c r="CA189" s="41">
        <v>1</v>
      </c>
      <c r="CB189" s="50">
        <v>0</v>
      </c>
      <c r="CC189" s="41">
        <f t="shared" si="84"/>
        <v>0</v>
      </c>
      <c r="CD189" s="41">
        <v>1</v>
      </c>
      <c r="CF189" s="41">
        <v>-19</v>
      </c>
      <c r="CG189" s="50">
        <v>0</v>
      </c>
      <c r="CH189" s="41">
        <v>0</v>
      </c>
      <c r="CI189" s="41">
        <f t="shared" si="82"/>
        <v>-19</v>
      </c>
      <c r="CJ189" s="41">
        <v>-100</v>
      </c>
      <c r="CK189" s="50">
        <v>0</v>
      </c>
      <c r="CL189" s="41">
        <f t="shared" si="79"/>
        <v>-100</v>
      </c>
      <c r="CM189" s="41">
        <v>-64</v>
      </c>
      <c r="CN189" s="50">
        <v>0</v>
      </c>
      <c r="CO189" s="41">
        <v>0</v>
      </c>
      <c r="CP189" s="41">
        <f t="shared" si="80"/>
        <v>-64</v>
      </c>
      <c r="CQ189" s="41">
        <v>-105</v>
      </c>
      <c r="CR189" s="50">
        <v>0</v>
      </c>
      <c r="CS189" s="41">
        <f t="shared" si="78"/>
        <v>-105</v>
      </c>
      <c r="CU189" s="39" t="s">
        <v>549</v>
      </c>
    </row>
    <row r="190" spans="1:99">
      <c r="A190" s="39" t="s">
        <v>63</v>
      </c>
      <c r="B190" s="39" t="s">
        <v>200</v>
      </c>
      <c r="C190" s="39" t="s">
        <v>201</v>
      </c>
      <c r="D190" s="56">
        <v>17455704051</v>
      </c>
      <c r="E190" s="68" t="s">
        <v>202</v>
      </c>
      <c r="H190" s="51">
        <v>429</v>
      </c>
      <c r="I190" s="49">
        <v>0</v>
      </c>
      <c r="J190" s="49">
        <v>0</v>
      </c>
      <c r="K190" s="51">
        <f t="shared" si="69"/>
        <v>429</v>
      </c>
      <c r="L190" s="51">
        <f t="shared" si="77"/>
        <v>360</v>
      </c>
      <c r="M190" s="51">
        <v>789</v>
      </c>
      <c r="N190" s="52"/>
      <c r="O190" s="41">
        <v>928</v>
      </c>
      <c r="P190" s="50">
        <v>0</v>
      </c>
      <c r="Q190" s="50">
        <v>0</v>
      </c>
      <c r="R190" s="50">
        <v>24</v>
      </c>
      <c r="S190" s="41">
        <v>-24</v>
      </c>
      <c r="T190" s="41">
        <v>928</v>
      </c>
      <c r="U190" s="41"/>
      <c r="V190" s="41">
        <v>961</v>
      </c>
      <c r="W190" s="50">
        <v>24</v>
      </c>
      <c r="X190" s="50">
        <v>0</v>
      </c>
      <c r="Y190" s="41">
        <f t="shared" si="70"/>
        <v>-5</v>
      </c>
      <c r="Z190" s="41">
        <v>980</v>
      </c>
      <c r="AA190" s="41"/>
      <c r="AB190" s="41">
        <v>1205</v>
      </c>
      <c r="AC190" s="41">
        <v>0</v>
      </c>
      <c r="AD190" s="50">
        <v>32</v>
      </c>
      <c r="AE190" s="41">
        <v>0</v>
      </c>
      <c r="AF190" s="41">
        <v>0</v>
      </c>
      <c r="AG190" s="41">
        <f t="shared" si="75"/>
        <v>-1</v>
      </c>
      <c r="AH190" s="41">
        <v>1236</v>
      </c>
      <c r="AI190" s="41"/>
      <c r="AJ190" s="41">
        <v>1078</v>
      </c>
      <c r="AK190" s="50">
        <v>0</v>
      </c>
      <c r="AL190" s="41">
        <v>10</v>
      </c>
      <c r="AM190" s="50">
        <v>0</v>
      </c>
      <c r="AN190" s="41">
        <f t="shared" si="71"/>
        <v>1</v>
      </c>
      <c r="AO190" s="41">
        <v>1089</v>
      </c>
      <c r="AP190" s="41"/>
      <c r="AQ190" s="53">
        <v>1068</v>
      </c>
      <c r="AR190" s="54">
        <v>0</v>
      </c>
      <c r="AS190" s="54">
        <v>5</v>
      </c>
      <c r="AT190" s="53">
        <v>0</v>
      </c>
      <c r="AU190" s="41">
        <f t="shared" si="72"/>
        <v>0</v>
      </c>
      <c r="AV190" s="41">
        <v>1073</v>
      </c>
      <c r="AW190" s="41"/>
      <c r="AX190" s="41">
        <v>1344</v>
      </c>
      <c r="AY190" s="54">
        <v>0</v>
      </c>
      <c r="AZ190" s="50">
        <v>0</v>
      </c>
      <c r="BA190" s="50">
        <v>5</v>
      </c>
      <c r="BB190" s="41">
        <v>0</v>
      </c>
      <c r="BC190" s="41">
        <f t="shared" si="74"/>
        <v>29</v>
      </c>
      <c r="BD190" s="41">
        <v>1378</v>
      </c>
      <c r="BF190" s="41">
        <v>1667</v>
      </c>
      <c r="BG190" s="50">
        <v>0</v>
      </c>
      <c r="BH190" s="41">
        <v>0</v>
      </c>
      <c r="BI190" s="50">
        <v>0</v>
      </c>
      <c r="BJ190" s="41">
        <v>0</v>
      </c>
      <c r="BK190" s="41">
        <f t="shared" si="73"/>
        <v>0</v>
      </c>
      <c r="BL190" s="41">
        <v>1667</v>
      </c>
      <c r="BM190" s="55"/>
      <c r="BN190" s="41">
        <v>1668</v>
      </c>
      <c r="BO190" s="50">
        <v>0</v>
      </c>
      <c r="BP190" s="50">
        <v>0</v>
      </c>
      <c r="BQ190" s="41">
        <v>0</v>
      </c>
      <c r="BR190" s="41">
        <v>0</v>
      </c>
      <c r="BS190" s="41">
        <f t="shared" si="81"/>
        <v>0</v>
      </c>
      <c r="BT190" s="41">
        <v>1668</v>
      </c>
      <c r="BV190" s="41">
        <v>1475</v>
      </c>
      <c r="BW190" s="50">
        <v>0</v>
      </c>
      <c r="BX190" s="41">
        <f t="shared" si="83"/>
        <v>0</v>
      </c>
      <c r="BY190" s="41">
        <v>1475</v>
      </c>
      <c r="CA190" s="41">
        <v>1066</v>
      </c>
      <c r="CB190" s="50">
        <v>0</v>
      </c>
      <c r="CC190" s="41">
        <f t="shared" si="84"/>
        <v>4</v>
      </c>
      <c r="CD190" s="41">
        <v>1070</v>
      </c>
      <c r="CF190" s="41">
        <v>698</v>
      </c>
      <c r="CG190" s="50">
        <v>0</v>
      </c>
      <c r="CH190" s="41">
        <v>0</v>
      </c>
      <c r="CI190" s="41">
        <f t="shared" si="82"/>
        <v>698</v>
      </c>
      <c r="CJ190" s="41">
        <v>573</v>
      </c>
      <c r="CK190" s="50">
        <v>0</v>
      </c>
      <c r="CL190" s="41">
        <f t="shared" si="79"/>
        <v>573</v>
      </c>
      <c r="CM190" s="41">
        <v>485</v>
      </c>
      <c r="CN190" s="50">
        <v>0</v>
      </c>
      <c r="CO190" s="41">
        <v>0</v>
      </c>
      <c r="CP190" s="41">
        <f t="shared" si="80"/>
        <v>485</v>
      </c>
      <c r="CQ190" s="41">
        <v>474</v>
      </c>
      <c r="CR190" s="50">
        <v>0</v>
      </c>
      <c r="CS190" s="41">
        <f t="shared" si="78"/>
        <v>474</v>
      </c>
      <c r="CU190" s="39" t="s">
        <v>550</v>
      </c>
    </row>
    <row r="191" spans="1:99">
      <c r="A191" s="39" t="s">
        <v>63</v>
      </c>
      <c r="B191" s="39" t="s">
        <v>200</v>
      </c>
      <c r="C191" s="39" t="s">
        <v>201</v>
      </c>
      <c r="D191" s="57">
        <v>97493004051</v>
      </c>
      <c r="E191" s="68" t="s">
        <v>203</v>
      </c>
      <c r="H191" s="51">
        <v>1294</v>
      </c>
      <c r="I191" s="49">
        <v>0</v>
      </c>
      <c r="J191" s="49">
        <v>0</v>
      </c>
      <c r="K191" s="51">
        <f t="shared" ref="K191:K247" si="85">SUM(H191:J191)</f>
        <v>1294</v>
      </c>
      <c r="L191" s="51">
        <f t="shared" si="77"/>
        <v>76</v>
      </c>
      <c r="M191" s="51">
        <v>1370</v>
      </c>
      <c r="N191" s="52"/>
      <c r="O191" s="41">
        <v>2016</v>
      </c>
      <c r="P191" s="50">
        <v>0</v>
      </c>
      <c r="Q191" s="50">
        <v>0</v>
      </c>
      <c r="R191" s="50">
        <v>1100</v>
      </c>
      <c r="S191" s="41">
        <v>-635</v>
      </c>
      <c r="T191" s="41">
        <v>2481</v>
      </c>
      <c r="U191" s="41"/>
      <c r="V191" s="41">
        <v>1641</v>
      </c>
      <c r="W191" s="50">
        <v>600</v>
      </c>
      <c r="X191" s="50">
        <v>1478</v>
      </c>
      <c r="Y191" s="41">
        <f t="shared" ref="Y191:Y247" si="86">Z191-SUM(V191:X191)</f>
        <v>0</v>
      </c>
      <c r="Z191" s="41">
        <v>3719</v>
      </c>
      <c r="AA191" s="41"/>
      <c r="AB191" s="41">
        <v>1174</v>
      </c>
      <c r="AC191" s="41">
        <v>4</v>
      </c>
      <c r="AD191" s="50">
        <v>1511</v>
      </c>
      <c r="AE191" s="41">
        <v>0</v>
      </c>
      <c r="AF191" s="41">
        <v>0</v>
      </c>
      <c r="AG191" s="41">
        <f t="shared" si="75"/>
        <v>-126</v>
      </c>
      <c r="AH191" s="41">
        <v>2563</v>
      </c>
      <c r="AI191" s="41"/>
      <c r="AJ191" s="41">
        <v>1143</v>
      </c>
      <c r="AK191" s="50">
        <v>2518</v>
      </c>
      <c r="AL191" s="41">
        <v>6</v>
      </c>
      <c r="AM191" s="50">
        <v>517</v>
      </c>
      <c r="AN191" s="41">
        <f t="shared" ref="AN191:AN247" si="87">AO191-SUM(AJ191:AM191)</f>
        <v>-1565</v>
      </c>
      <c r="AO191" s="41">
        <v>2619</v>
      </c>
      <c r="AP191" s="41"/>
      <c r="AQ191" s="53">
        <v>1340</v>
      </c>
      <c r="AR191" s="54">
        <v>0</v>
      </c>
      <c r="AS191" s="54">
        <v>1116</v>
      </c>
      <c r="AT191" s="53">
        <v>0</v>
      </c>
      <c r="AU191" s="41">
        <f t="shared" ref="AU191:AU247" si="88">AV191-SUM(AQ191:AT191)</f>
        <v>-146</v>
      </c>
      <c r="AV191" s="41">
        <v>2310</v>
      </c>
      <c r="AW191" s="41"/>
      <c r="AX191" s="41">
        <v>1347</v>
      </c>
      <c r="AY191" s="54">
        <v>0</v>
      </c>
      <c r="AZ191" s="50">
        <v>1000</v>
      </c>
      <c r="BA191" s="50">
        <v>755</v>
      </c>
      <c r="BB191" s="41">
        <v>937</v>
      </c>
      <c r="BC191" s="41">
        <f t="shared" si="74"/>
        <v>-342</v>
      </c>
      <c r="BD191" s="41">
        <v>3697</v>
      </c>
      <c r="BF191" s="41">
        <v>1489</v>
      </c>
      <c r="BG191" s="50">
        <v>0</v>
      </c>
      <c r="BH191" s="41">
        <v>0</v>
      </c>
      <c r="BI191" s="50">
        <v>862</v>
      </c>
      <c r="BJ191" s="41">
        <v>0</v>
      </c>
      <c r="BK191" s="41">
        <f t="shared" ref="BK191:BK247" si="89">BL191-SUM(BF191:BJ191)</f>
        <v>-1</v>
      </c>
      <c r="BL191" s="41">
        <v>2350</v>
      </c>
      <c r="BM191" s="55"/>
      <c r="BN191" s="41">
        <v>1450</v>
      </c>
      <c r="BO191" s="50">
        <v>412</v>
      </c>
      <c r="BP191" s="50">
        <v>460</v>
      </c>
      <c r="BQ191" s="41">
        <v>675</v>
      </c>
      <c r="BR191" s="41">
        <v>0</v>
      </c>
      <c r="BS191" s="41">
        <f t="shared" si="81"/>
        <v>-506</v>
      </c>
      <c r="BT191" s="41">
        <v>2491</v>
      </c>
      <c r="BV191" s="41">
        <v>1435</v>
      </c>
      <c r="BW191" s="50">
        <v>485</v>
      </c>
      <c r="BX191" s="41">
        <f t="shared" si="83"/>
        <v>-562</v>
      </c>
      <c r="BY191" s="41">
        <v>1358</v>
      </c>
      <c r="CA191" s="41">
        <v>1575</v>
      </c>
      <c r="CB191" s="50">
        <v>435</v>
      </c>
      <c r="CC191" s="41">
        <f t="shared" si="84"/>
        <v>0</v>
      </c>
      <c r="CD191" s="41">
        <v>2010</v>
      </c>
      <c r="CF191" s="41">
        <v>1515</v>
      </c>
      <c r="CG191" s="50">
        <v>244</v>
      </c>
      <c r="CH191" s="41">
        <v>24</v>
      </c>
      <c r="CI191" s="41">
        <f t="shared" si="82"/>
        <v>1783</v>
      </c>
      <c r="CJ191" s="41">
        <v>1649</v>
      </c>
      <c r="CK191" s="50">
        <v>265</v>
      </c>
      <c r="CL191" s="41">
        <f t="shared" si="79"/>
        <v>1914</v>
      </c>
      <c r="CM191" s="41">
        <v>1649</v>
      </c>
      <c r="CN191" s="50">
        <v>91</v>
      </c>
      <c r="CO191" s="41">
        <v>0</v>
      </c>
      <c r="CP191" s="41">
        <f t="shared" si="80"/>
        <v>1740</v>
      </c>
      <c r="CQ191" s="41">
        <v>702</v>
      </c>
      <c r="CR191" s="50">
        <v>89</v>
      </c>
      <c r="CS191" s="41">
        <f t="shared" si="78"/>
        <v>791</v>
      </c>
      <c r="CU191" s="44" t="s">
        <v>551</v>
      </c>
    </row>
    <row r="192" spans="1:99">
      <c r="A192" s="39" t="s">
        <v>63</v>
      </c>
      <c r="B192" s="39" t="s">
        <v>200</v>
      </c>
      <c r="C192" s="39" t="s">
        <v>201</v>
      </c>
      <c r="D192" s="56">
        <v>97495004051</v>
      </c>
      <c r="E192" s="68" t="s">
        <v>204</v>
      </c>
      <c r="H192" s="51">
        <v>0</v>
      </c>
      <c r="I192" s="49">
        <v>0</v>
      </c>
      <c r="J192" s="49">
        <v>0</v>
      </c>
      <c r="K192" s="51">
        <f t="shared" si="85"/>
        <v>0</v>
      </c>
      <c r="L192" s="51">
        <f t="shared" si="77"/>
        <v>475</v>
      </c>
      <c r="M192" s="51">
        <v>475</v>
      </c>
      <c r="N192" s="52"/>
      <c r="O192" s="41">
        <v>255</v>
      </c>
      <c r="P192" s="50">
        <v>0</v>
      </c>
      <c r="Q192" s="50">
        <v>0</v>
      </c>
      <c r="R192" s="50">
        <v>0</v>
      </c>
      <c r="S192" s="41">
        <v>-255</v>
      </c>
      <c r="T192" s="41">
        <v>0</v>
      </c>
      <c r="U192" s="41"/>
      <c r="V192" s="41">
        <v>0</v>
      </c>
      <c r="W192" s="50">
        <v>0</v>
      </c>
      <c r="X192" s="50">
        <v>0</v>
      </c>
      <c r="Y192" s="41">
        <f t="shared" si="86"/>
        <v>0</v>
      </c>
      <c r="Z192" s="41">
        <v>0</v>
      </c>
      <c r="AA192" s="41"/>
      <c r="AB192" s="41">
        <v>0</v>
      </c>
      <c r="AC192" s="41">
        <v>0</v>
      </c>
      <c r="AD192" s="50">
        <v>0</v>
      </c>
      <c r="AE192" s="41">
        <v>0</v>
      </c>
      <c r="AF192" s="41">
        <v>0</v>
      </c>
      <c r="AG192" s="41">
        <f t="shared" si="75"/>
        <v>0</v>
      </c>
      <c r="AH192" s="41">
        <v>0</v>
      </c>
      <c r="AI192" s="41"/>
      <c r="AJ192" s="41">
        <v>0</v>
      </c>
      <c r="AK192" s="50">
        <v>0</v>
      </c>
      <c r="AL192" s="41">
        <v>0</v>
      </c>
      <c r="AM192" s="50">
        <v>0</v>
      </c>
      <c r="AN192" s="41">
        <f t="shared" si="87"/>
        <v>0</v>
      </c>
      <c r="AO192" s="41">
        <v>0</v>
      </c>
      <c r="AP192" s="41"/>
      <c r="AQ192" s="53">
        <v>18</v>
      </c>
      <c r="AR192" s="54">
        <v>0</v>
      </c>
      <c r="AS192" s="54">
        <v>0</v>
      </c>
      <c r="AT192" s="53">
        <v>0</v>
      </c>
      <c r="AU192" s="41">
        <f t="shared" si="88"/>
        <v>0</v>
      </c>
      <c r="AV192" s="41">
        <v>18</v>
      </c>
      <c r="AW192" s="41"/>
      <c r="AX192" s="41">
        <v>0</v>
      </c>
      <c r="AY192" s="54">
        <v>0</v>
      </c>
      <c r="AZ192" s="50">
        <v>0</v>
      </c>
      <c r="BA192" s="50">
        <v>0</v>
      </c>
      <c r="BB192" s="41">
        <v>0</v>
      </c>
      <c r="BC192" s="41">
        <f t="shared" ref="BC192:BC247" si="90">BD192-SUM(AX192:BB192)</f>
        <v>0</v>
      </c>
      <c r="BD192" s="41">
        <v>0</v>
      </c>
      <c r="BF192" s="41">
        <v>0</v>
      </c>
      <c r="BG192" s="50">
        <v>0</v>
      </c>
      <c r="BH192" s="41">
        <v>0</v>
      </c>
      <c r="BI192" s="50">
        <v>0</v>
      </c>
      <c r="BJ192" s="41">
        <v>0</v>
      </c>
      <c r="BK192" s="41">
        <f t="shared" si="89"/>
        <v>0</v>
      </c>
      <c r="BL192" s="41">
        <v>0</v>
      </c>
      <c r="BM192" s="55"/>
      <c r="BN192" s="41">
        <v>0</v>
      </c>
      <c r="BO192" s="50">
        <v>0</v>
      </c>
      <c r="BP192" s="50">
        <v>0</v>
      </c>
      <c r="BQ192" s="41">
        <v>0</v>
      </c>
      <c r="BR192" s="41">
        <v>0</v>
      </c>
      <c r="BS192" s="41">
        <f t="shared" si="81"/>
        <v>0</v>
      </c>
      <c r="BT192" s="41">
        <v>0</v>
      </c>
      <c r="BV192" s="41">
        <v>0</v>
      </c>
      <c r="BW192" s="50">
        <v>0</v>
      </c>
      <c r="BX192" s="41">
        <f t="shared" si="83"/>
        <v>0</v>
      </c>
      <c r="BY192" s="41">
        <v>0</v>
      </c>
      <c r="CA192" s="41">
        <v>0</v>
      </c>
      <c r="CB192" s="50">
        <v>0</v>
      </c>
      <c r="CC192" s="41">
        <f t="shared" si="84"/>
        <v>0</v>
      </c>
      <c r="CD192" s="41">
        <v>0</v>
      </c>
      <c r="CF192" s="41">
        <v>0</v>
      </c>
      <c r="CG192" s="50">
        <v>0</v>
      </c>
      <c r="CH192" s="41">
        <v>0</v>
      </c>
      <c r="CI192" s="41">
        <f t="shared" si="82"/>
        <v>0</v>
      </c>
      <c r="CJ192" s="41">
        <v>0</v>
      </c>
      <c r="CK192" s="50">
        <v>0</v>
      </c>
      <c r="CL192" s="41">
        <f t="shared" si="79"/>
        <v>0</v>
      </c>
      <c r="CM192" s="41">
        <v>0</v>
      </c>
      <c r="CN192" s="50">
        <v>0</v>
      </c>
      <c r="CO192" s="41">
        <v>0</v>
      </c>
      <c r="CP192" s="41">
        <f t="shared" si="80"/>
        <v>0</v>
      </c>
      <c r="CQ192" s="41">
        <v>0</v>
      </c>
      <c r="CR192" s="50">
        <v>0</v>
      </c>
      <c r="CS192" s="41">
        <f t="shared" si="78"/>
        <v>0</v>
      </c>
      <c r="CU192" s="39" t="s">
        <v>552</v>
      </c>
    </row>
    <row r="193" spans="1:99">
      <c r="A193" s="39" t="s">
        <v>63</v>
      </c>
      <c r="B193" s="39" t="s">
        <v>200</v>
      </c>
      <c r="C193" s="39" t="s">
        <v>201</v>
      </c>
      <c r="D193" s="56"/>
      <c r="E193" s="68" t="s">
        <v>205</v>
      </c>
      <c r="H193" s="51">
        <v>0</v>
      </c>
      <c r="I193" s="49">
        <v>0</v>
      </c>
      <c r="J193" s="49">
        <v>0</v>
      </c>
      <c r="K193" s="51">
        <f t="shared" si="85"/>
        <v>0</v>
      </c>
      <c r="L193" s="51">
        <f t="shared" si="77"/>
        <v>0</v>
      </c>
      <c r="M193" s="51">
        <v>0</v>
      </c>
      <c r="N193" s="52"/>
      <c r="O193" s="41">
        <v>0</v>
      </c>
      <c r="P193" s="50">
        <v>0</v>
      </c>
      <c r="Q193" s="50">
        <v>0</v>
      </c>
      <c r="R193" s="50">
        <v>0</v>
      </c>
      <c r="S193" s="41">
        <v>0</v>
      </c>
      <c r="T193" s="41">
        <v>0</v>
      </c>
      <c r="U193" s="41"/>
      <c r="V193" s="41">
        <v>0</v>
      </c>
      <c r="W193" s="50">
        <v>0</v>
      </c>
      <c r="X193" s="50">
        <v>0</v>
      </c>
      <c r="Y193" s="41">
        <f t="shared" si="86"/>
        <v>0</v>
      </c>
      <c r="Z193" s="41">
        <v>0</v>
      </c>
      <c r="AA193" s="41"/>
      <c r="AB193" s="41">
        <v>0</v>
      </c>
      <c r="AC193" s="41">
        <v>0</v>
      </c>
      <c r="AD193" s="50">
        <v>0</v>
      </c>
      <c r="AE193" s="41">
        <v>0</v>
      </c>
      <c r="AF193" s="41">
        <v>0</v>
      </c>
      <c r="AG193" s="41">
        <f t="shared" si="75"/>
        <v>0</v>
      </c>
      <c r="AH193" s="41">
        <v>0</v>
      </c>
      <c r="AI193" s="41"/>
      <c r="AJ193" s="41">
        <v>0</v>
      </c>
      <c r="AK193" s="50">
        <v>0</v>
      </c>
      <c r="AL193" s="41">
        <v>0</v>
      </c>
      <c r="AM193" s="50">
        <v>0</v>
      </c>
      <c r="AN193" s="41">
        <f t="shared" si="87"/>
        <v>0</v>
      </c>
      <c r="AO193" s="41">
        <v>0</v>
      </c>
      <c r="AP193" s="41"/>
      <c r="AQ193" s="53">
        <v>0</v>
      </c>
      <c r="AR193" s="54">
        <v>0</v>
      </c>
      <c r="AS193" s="54">
        <v>0</v>
      </c>
      <c r="AT193" s="53">
        <v>0</v>
      </c>
      <c r="AU193" s="41">
        <f t="shared" si="88"/>
        <v>0</v>
      </c>
      <c r="AV193" s="41">
        <v>0</v>
      </c>
      <c r="AW193" s="41"/>
      <c r="AX193" s="41">
        <v>0</v>
      </c>
      <c r="AY193" s="54">
        <v>0</v>
      </c>
      <c r="AZ193" s="50">
        <v>0</v>
      </c>
      <c r="BA193" s="50">
        <v>0</v>
      </c>
      <c r="BB193" s="41">
        <v>0</v>
      </c>
      <c r="BC193" s="41">
        <f t="shared" si="90"/>
        <v>0</v>
      </c>
      <c r="BD193" s="41">
        <v>0</v>
      </c>
      <c r="BF193" s="41">
        <v>0</v>
      </c>
      <c r="BG193" s="50">
        <v>0</v>
      </c>
      <c r="BH193" s="41">
        <v>0</v>
      </c>
      <c r="BI193" s="50">
        <v>0</v>
      </c>
      <c r="BJ193" s="41">
        <v>0</v>
      </c>
      <c r="BK193" s="41">
        <f t="shared" si="89"/>
        <v>0</v>
      </c>
      <c r="BL193" s="41">
        <v>0</v>
      </c>
      <c r="BM193" s="55"/>
      <c r="BN193" s="41">
        <v>0</v>
      </c>
      <c r="BO193" s="50">
        <v>0</v>
      </c>
      <c r="BP193" s="50">
        <v>0</v>
      </c>
      <c r="BQ193" s="41">
        <v>0</v>
      </c>
      <c r="BR193" s="41">
        <v>0</v>
      </c>
      <c r="BS193" s="41">
        <f t="shared" si="81"/>
        <v>0</v>
      </c>
      <c r="BT193" s="41">
        <v>0</v>
      </c>
      <c r="BV193" s="41">
        <v>0</v>
      </c>
      <c r="BW193" s="50">
        <v>0</v>
      </c>
      <c r="BX193" s="41">
        <f t="shared" si="83"/>
        <v>0</v>
      </c>
      <c r="BY193" s="41">
        <v>0</v>
      </c>
      <c r="CA193" s="41">
        <v>0</v>
      </c>
      <c r="CB193" s="50">
        <v>0</v>
      </c>
      <c r="CC193" s="41">
        <f t="shared" si="84"/>
        <v>0</v>
      </c>
      <c r="CD193" s="41">
        <v>0</v>
      </c>
      <c r="CF193" s="41">
        <v>0</v>
      </c>
      <c r="CG193" s="50">
        <v>0</v>
      </c>
      <c r="CH193" s="41">
        <v>0</v>
      </c>
      <c r="CI193" s="41">
        <f t="shared" si="82"/>
        <v>0</v>
      </c>
      <c r="CJ193" s="41">
        <v>0</v>
      </c>
      <c r="CK193" s="50">
        <v>0</v>
      </c>
      <c r="CL193" s="41">
        <f t="shared" si="79"/>
        <v>0</v>
      </c>
      <c r="CM193" s="41">
        <v>0</v>
      </c>
      <c r="CN193" s="50">
        <v>0</v>
      </c>
      <c r="CO193" s="41">
        <v>0</v>
      </c>
      <c r="CP193" s="41">
        <f t="shared" si="80"/>
        <v>0</v>
      </c>
      <c r="CQ193" s="41">
        <v>0</v>
      </c>
      <c r="CR193" s="50">
        <v>0</v>
      </c>
      <c r="CS193" s="41">
        <f t="shared" si="78"/>
        <v>0</v>
      </c>
    </row>
    <row r="194" spans="1:99">
      <c r="A194" s="39" t="s">
        <v>63</v>
      </c>
      <c r="B194" s="39" t="s">
        <v>206</v>
      </c>
      <c r="C194" s="39" t="s">
        <v>207</v>
      </c>
      <c r="D194" s="56"/>
      <c r="E194" s="68" t="s">
        <v>208</v>
      </c>
      <c r="H194" s="51">
        <v>0</v>
      </c>
      <c r="I194" s="49">
        <v>0</v>
      </c>
      <c r="J194" s="49">
        <v>0</v>
      </c>
      <c r="K194" s="51">
        <f t="shared" si="85"/>
        <v>0</v>
      </c>
      <c r="L194" s="51">
        <f t="shared" si="77"/>
        <v>83</v>
      </c>
      <c r="M194" s="51">
        <v>83</v>
      </c>
      <c r="N194" s="52"/>
      <c r="O194" s="41">
        <v>0</v>
      </c>
      <c r="P194" s="50">
        <v>0</v>
      </c>
      <c r="Q194" s="50">
        <v>0</v>
      </c>
      <c r="R194" s="50">
        <v>0</v>
      </c>
      <c r="S194" s="41">
        <v>0</v>
      </c>
      <c r="T194" s="41">
        <v>0</v>
      </c>
      <c r="U194" s="41"/>
      <c r="V194" s="41">
        <v>0</v>
      </c>
      <c r="W194" s="50">
        <v>0</v>
      </c>
      <c r="X194" s="50">
        <v>0</v>
      </c>
      <c r="Y194" s="41">
        <f t="shared" si="86"/>
        <v>0</v>
      </c>
      <c r="Z194" s="41">
        <v>0</v>
      </c>
      <c r="AA194" s="41"/>
      <c r="AB194" s="41">
        <v>0</v>
      </c>
      <c r="AC194" s="41">
        <v>0</v>
      </c>
      <c r="AD194" s="50">
        <v>0</v>
      </c>
      <c r="AE194" s="41">
        <v>0</v>
      </c>
      <c r="AF194" s="41">
        <v>0</v>
      </c>
      <c r="AG194" s="41">
        <f t="shared" si="75"/>
        <v>0</v>
      </c>
      <c r="AH194" s="41">
        <v>0</v>
      </c>
      <c r="AI194" s="41"/>
      <c r="AJ194" s="41">
        <v>0</v>
      </c>
      <c r="AK194" s="50">
        <v>0</v>
      </c>
      <c r="AL194" s="41">
        <v>0</v>
      </c>
      <c r="AM194" s="50">
        <v>0</v>
      </c>
      <c r="AN194" s="41">
        <f t="shared" si="87"/>
        <v>0</v>
      </c>
      <c r="AO194" s="41">
        <v>0</v>
      </c>
      <c r="AP194" s="41"/>
      <c r="AQ194" s="53">
        <v>0</v>
      </c>
      <c r="AR194" s="54">
        <v>0</v>
      </c>
      <c r="AS194" s="54">
        <v>0</v>
      </c>
      <c r="AT194" s="53">
        <v>0</v>
      </c>
      <c r="AU194" s="41">
        <f t="shared" si="88"/>
        <v>0</v>
      </c>
      <c r="AV194" s="41">
        <v>0</v>
      </c>
      <c r="AW194" s="41"/>
      <c r="AX194" s="41">
        <v>0</v>
      </c>
      <c r="AY194" s="54">
        <v>0</v>
      </c>
      <c r="AZ194" s="50">
        <v>0</v>
      </c>
      <c r="BA194" s="50">
        <v>0</v>
      </c>
      <c r="BB194" s="41">
        <v>0</v>
      </c>
      <c r="BC194" s="41">
        <f t="shared" si="90"/>
        <v>0</v>
      </c>
      <c r="BD194" s="41">
        <v>0</v>
      </c>
      <c r="BF194" s="41">
        <v>0</v>
      </c>
      <c r="BG194" s="50">
        <v>0</v>
      </c>
      <c r="BH194" s="41">
        <v>0</v>
      </c>
      <c r="BI194" s="50">
        <v>0</v>
      </c>
      <c r="BJ194" s="41">
        <v>0</v>
      </c>
      <c r="BK194" s="41">
        <f t="shared" si="89"/>
        <v>0</v>
      </c>
      <c r="BL194" s="41">
        <v>0</v>
      </c>
      <c r="BM194" s="55"/>
      <c r="BN194" s="41">
        <v>0</v>
      </c>
      <c r="BO194" s="50">
        <v>0</v>
      </c>
      <c r="BP194" s="50">
        <v>0</v>
      </c>
      <c r="BQ194" s="41">
        <v>0</v>
      </c>
      <c r="BR194" s="41">
        <v>0</v>
      </c>
      <c r="BS194" s="41">
        <f t="shared" si="81"/>
        <v>0</v>
      </c>
      <c r="BT194" s="41">
        <v>0</v>
      </c>
      <c r="BV194" s="41">
        <v>0</v>
      </c>
      <c r="BW194" s="50">
        <v>0</v>
      </c>
      <c r="BX194" s="41">
        <f t="shared" si="83"/>
        <v>2</v>
      </c>
      <c r="BY194" s="41">
        <v>2</v>
      </c>
      <c r="CA194" s="41">
        <v>0</v>
      </c>
      <c r="CB194" s="50">
        <v>0</v>
      </c>
      <c r="CC194" s="41">
        <f t="shared" si="84"/>
        <v>0</v>
      </c>
      <c r="CD194" s="41">
        <v>0</v>
      </c>
      <c r="CF194" s="41">
        <v>0</v>
      </c>
      <c r="CG194" s="50">
        <v>0</v>
      </c>
      <c r="CH194" s="41">
        <v>0</v>
      </c>
      <c r="CI194" s="41">
        <f t="shared" si="82"/>
        <v>0</v>
      </c>
      <c r="CJ194" s="41">
        <v>0</v>
      </c>
      <c r="CK194" s="50">
        <v>0</v>
      </c>
      <c r="CL194" s="41">
        <f t="shared" si="79"/>
        <v>0</v>
      </c>
      <c r="CM194" s="41">
        <v>0</v>
      </c>
      <c r="CN194" s="50">
        <v>0</v>
      </c>
      <c r="CO194" s="41">
        <v>0</v>
      </c>
      <c r="CP194" s="41">
        <f t="shared" si="80"/>
        <v>0</v>
      </c>
      <c r="CQ194" s="41">
        <v>0</v>
      </c>
      <c r="CR194" s="50">
        <v>0</v>
      </c>
      <c r="CS194" s="41">
        <f t="shared" si="78"/>
        <v>0</v>
      </c>
    </row>
    <row r="195" spans="1:99">
      <c r="A195" s="39" t="s">
        <v>63</v>
      </c>
      <c r="B195" s="39" t="s">
        <v>206</v>
      </c>
      <c r="C195" s="39" t="s">
        <v>207</v>
      </c>
      <c r="D195" s="56"/>
      <c r="E195" s="68" t="s">
        <v>209</v>
      </c>
      <c r="H195" s="51">
        <v>8</v>
      </c>
      <c r="I195" s="49">
        <v>0</v>
      </c>
      <c r="J195" s="49">
        <v>0</v>
      </c>
      <c r="K195" s="51">
        <f t="shared" si="85"/>
        <v>8</v>
      </c>
      <c r="L195" s="51">
        <f t="shared" si="77"/>
        <v>-8</v>
      </c>
      <c r="M195" s="51">
        <v>0</v>
      </c>
      <c r="N195" s="52"/>
      <c r="O195" s="41">
        <v>43</v>
      </c>
      <c r="P195" s="50">
        <v>0</v>
      </c>
      <c r="Q195" s="50">
        <v>0</v>
      </c>
      <c r="R195" s="50">
        <v>0</v>
      </c>
      <c r="S195" s="41">
        <v>-43</v>
      </c>
      <c r="T195" s="41">
        <v>0</v>
      </c>
      <c r="U195" s="41"/>
      <c r="V195" s="41">
        <v>44</v>
      </c>
      <c r="W195" s="50">
        <v>0</v>
      </c>
      <c r="X195" s="50">
        <v>0</v>
      </c>
      <c r="Y195" s="41">
        <f t="shared" si="86"/>
        <v>-44</v>
      </c>
      <c r="Z195" s="41">
        <v>0</v>
      </c>
      <c r="AA195" s="41"/>
      <c r="AB195" s="41">
        <v>44</v>
      </c>
      <c r="AC195" s="41">
        <v>0</v>
      </c>
      <c r="AD195" s="50">
        <v>0</v>
      </c>
      <c r="AE195" s="41">
        <v>0</v>
      </c>
      <c r="AF195" s="41">
        <v>0</v>
      </c>
      <c r="AG195" s="41">
        <f t="shared" si="75"/>
        <v>-44</v>
      </c>
      <c r="AH195" s="41">
        <v>0</v>
      </c>
      <c r="AI195" s="41"/>
      <c r="AJ195" s="41">
        <v>50</v>
      </c>
      <c r="AK195" s="50">
        <v>0</v>
      </c>
      <c r="AL195" s="41">
        <v>0</v>
      </c>
      <c r="AM195" s="50">
        <v>0</v>
      </c>
      <c r="AN195" s="41">
        <f t="shared" si="87"/>
        <v>-50</v>
      </c>
      <c r="AO195" s="41">
        <v>0</v>
      </c>
      <c r="AP195" s="41"/>
      <c r="AQ195" s="53">
        <v>51</v>
      </c>
      <c r="AR195" s="54">
        <v>0</v>
      </c>
      <c r="AS195" s="54">
        <v>0</v>
      </c>
      <c r="AT195" s="53">
        <v>0</v>
      </c>
      <c r="AU195" s="41">
        <f t="shared" si="88"/>
        <v>-51</v>
      </c>
      <c r="AV195" s="41">
        <v>0</v>
      </c>
      <c r="AW195" s="41"/>
      <c r="AX195" s="41">
        <v>0</v>
      </c>
      <c r="AY195" s="54">
        <v>0</v>
      </c>
      <c r="AZ195" s="50">
        <v>0</v>
      </c>
      <c r="BA195" s="50">
        <v>0</v>
      </c>
      <c r="BB195" s="41">
        <v>0</v>
      </c>
      <c r="BC195" s="41">
        <f t="shared" si="90"/>
        <v>0</v>
      </c>
      <c r="BD195" s="41">
        <v>0</v>
      </c>
      <c r="BF195" s="41">
        <v>0</v>
      </c>
      <c r="BG195" s="50">
        <v>0</v>
      </c>
      <c r="BH195" s="41">
        <v>0</v>
      </c>
      <c r="BI195" s="50">
        <v>0</v>
      </c>
      <c r="BJ195" s="41">
        <v>0</v>
      </c>
      <c r="BK195" s="41">
        <f t="shared" si="89"/>
        <v>0</v>
      </c>
      <c r="BL195" s="41">
        <v>0</v>
      </c>
      <c r="BM195" s="55"/>
      <c r="BN195" s="41">
        <v>0</v>
      </c>
      <c r="BO195" s="50">
        <v>0</v>
      </c>
      <c r="BP195" s="50">
        <v>0</v>
      </c>
      <c r="BQ195" s="41">
        <v>0</v>
      </c>
      <c r="BR195" s="41">
        <v>0</v>
      </c>
      <c r="BS195" s="41">
        <f t="shared" si="81"/>
        <v>0</v>
      </c>
      <c r="BT195" s="41">
        <v>0</v>
      </c>
      <c r="BV195" s="41">
        <v>0</v>
      </c>
      <c r="BW195" s="50">
        <v>0</v>
      </c>
      <c r="BX195" s="41">
        <f t="shared" si="83"/>
        <v>0</v>
      </c>
      <c r="BY195" s="41">
        <v>0</v>
      </c>
      <c r="CA195" s="41">
        <v>0</v>
      </c>
      <c r="CB195" s="50">
        <v>0</v>
      </c>
      <c r="CC195" s="41">
        <f t="shared" si="84"/>
        <v>0</v>
      </c>
      <c r="CD195" s="41">
        <v>0</v>
      </c>
      <c r="CF195" s="41">
        <v>0</v>
      </c>
      <c r="CG195" s="50">
        <v>0</v>
      </c>
      <c r="CH195" s="41">
        <v>0</v>
      </c>
      <c r="CI195" s="41">
        <f t="shared" si="82"/>
        <v>0</v>
      </c>
      <c r="CJ195" s="41">
        <v>0</v>
      </c>
      <c r="CK195" s="50">
        <v>0</v>
      </c>
      <c r="CL195" s="41">
        <f t="shared" si="79"/>
        <v>0</v>
      </c>
      <c r="CM195" s="41">
        <v>0</v>
      </c>
      <c r="CN195" s="50">
        <v>0</v>
      </c>
      <c r="CO195" s="41">
        <v>0</v>
      </c>
      <c r="CP195" s="41">
        <f t="shared" si="80"/>
        <v>0</v>
      </c>
      <c r="CQ195" s="41">
        <v>0</v>
      </c>
      <c r="CR195" s="50">
        <v>0</v>
      </c>
      <c r="CS195" s="41">
        <f t="shared" si="78"/>
        <v>0</v>
      </c>
    </row>
    <row r="196" spans="1:99">
      <c r="A196" s="39" t="s">
        <v>63</v>
      </c>
      <c r="B196" s="39" t="s">
        <v>206</v>
      </c>
      <c r="C196" s="39" t="s">
        <v>207</v>
      </c>
      <c r="D196" s="56">
        <v>97991801051</v>
      </c>
      <c r="E196" s="68" t="s">
        <v>210</v>
      </c>
      <c r="H196" s="51">
        <v>0</v>
      </c>
      <c r="I196" s="49">
        <v>0</v>
      </c>
      <c r="J196" s="49">
        <v>0</v>
      </c>
      <c r="K196" s="51">
        <f t="shared" si="85"/>
        <v>0</v>
      </c>
      <c r="L196" s="51">
        <f t="shared" si="77"/>
        <v>0</v>
      </c>
      <c r="M196" s="51">
        <v>0</v>
      </c>
      <c r="N196" s="52"/>
      <c r="O196" s="41">
        <v>0</v>
      </c>
      <c r="P196" s="50">
        <v>0</v>
      </c>
      <c r="Q196" s="50">
        <v>0</v>
      </c>
      <c r="R196" s="50">
        <v>0</v>
      </c>
      <c r="S196" s="41">
        <v>0</v>
      </c>
      <c r="T196" s="41">
        <v>0</v>
      </c>
      <c r="U196" s="41"/>
      <c r="V196" s="41">
        <v>0</v>
      </c>
      <c r="W196" s="50">
        <v>0</v>
      </c>
      <c r="X196" s="50">
        <v>0</v>
      </c>
      <c r="Y196" s="41">
        <f t="shared" si="86"/>
        <v>0</v>
      </c>
      <c r="Z196" s="41">
        <v>0</v>
      </c>
      <c r="AA196" s="41"/>
      <c r="AB196" s="41">
        <v>0</v>
      </c>
      <c r="AC196" s="41">
        <v>0</v>
      </c>
      <c r="AD196" s="50">
        <v>0</v>
      </c>
      <c r="AE196" s="41">
        <v>0</v>
      </c>
      <c r="AF196" s="41">
        <v>0</v>
      </c>
      <c r="AG196" s="41">
        <f t="shared" si="75"/>
        <v>0</v>
      </c>
      <c r="AH196" s="41">
        <v>0</v>
      </c>
      <c r="AI196" s="41"/>
      <c r="AJ196" s="41">
        <v>0</v>
      </c>
      <c r="AK196" s="50">
        <v>0</v>
      </c>
      <c r="AL196" s="41">
        <v>0</v>
      </c>
      <c r="AM196" s="50">
        <v>-1400</v>
      </c>
      <c r="AN196" s="41">
        <f t="shared" si="87"/>
        <v>1400</v>
      </c>
      <c r="AO196" s="41">
        <v>0</v>
      </c>
      <c r="AP196" s="41"/>
      <c r="AQ196" s="53">
        <v>0</v>
      </c>
      <c r="AR196" s="54">
        <v>0</v>
      </c>
      <c r="AS196" s="54">
        <v>0</v>
      </c>
      <c r="AT196" s="53">
        <v>0</v>
      </c>
      <c r="AU196" s="41">
        <f t="shared" si="88"/>
        <v>0</v>
      </c>
      <c r="AV196" s="41">
        <v>0</v>
      </c>
      <c r="AW196" s="41"/>
      <c r="AX196" s="41">
        <v>0</v>
      </c>
      <c r="AY196" s="54">
        <v>0</v>
      </c>
      <c r="AZ196" s="50">
        <v>0</v>
      </c>
      <c r="BA196" s="50">
        <v>0</v>
      </c>
      <c r="BB196" s="41">
        <v>0</v>
      </c>
      <c r="BC196" s="41">
        <f t="shared" si="90"/>
        <v>0</v>
      </c>
      <c r="BD196" s="41">
        <v>0</v>
      </c>
      <c r="BF196" s="41">
        <v>0</v>
      </c>
      <c r="BG196" s="50">
        <v>0</v>
      </c>
      <c r="BH196" s="41">
        <v>0</v>
      </c>
      <c r="BI196" s="50">
        <v>0</v>
      </c>
      <c r="BJ196" s="41">
        <v>0</v>
      </c>
      <c r="BK196" s="41">
        <f t="shared" si="89"/>
        <v>0</v>
      </c>
      <c r="BL196" s="41">
        <v>0</v>
      </c>
      <c r="BM196" s="55"/>
      <c r="BN196" s="41">
        <v>0</v>
      </c>
      <c r="BO196" s="50">
        <v>0</v>
      </c>
      <c r="BP196" s="50">
        <v>0</v>
      </c>
      <c r="BQ196" s="41">
        <v>0</v>
      </c>
      <c r="BR196" s="41">
        <v>0</v>
      </c>
      <c r="BS196" s="41">
        <f t="shared" si="81"/>
        <v>0</v>
      </c>
      <c r="BT196" s="41">
        <v>0</v>
      </c>
      <c r="BV196" s="41">
        <v>0</v>
      </c>
      <c r="BW196" s="50">
        <v>0</v>
      </c>
      <c r="BX196" s="41">
        <f t="shared" si="83"/>
        <v>0</v>
      </c>
      <c r="BY196" s="41">
        <v>0</v>
      </c>
      <c r="CA196" s="41">
        <v>0</v>
      </c>
      <c r="CB196" s="50">
        <v>0</v>
      </c>
      <c r="CC196" s="41">
        <f t="shared" si="84"/>
        <v>0</v>
      </c>
      <c r="CD196" s="41">
        <v>0</v>
      </c>
      <c r="CF196" s="41">
        <v>0</v>
      </c>
      <c r="CG196" s="50">
        <v>0</v>
      </c>
      <c r="CH196" s="41">
        <v>0</v>
      </c>
      <c r="CI196" s="41">
        <f t="shared" si="82"/>
        <v>0</v>
      </c>
      <c r="CJ196" s="41">
        <v>0</v>
      </c>
      <c r="CK196" s="50">
        <v>0</v>
      </c>
      <c r="CL196" s="41">
        <f t="shared" si="79"/>
        <v>0</v>
      </c>
      <c r="CM196" s="41">
        <v>0</v>
      </c>
      <c r="CN196" s="50">
        <v>0</v>
      </c>
      <c r="CO196" s="41">
        <v>0</v>
      </c>
      <c r="CP196" s="41">
        <f t="shared" si="80"/>
        <v>0</v>
      </c>
      <c r="CQ196" s="41">
        <v>0</v>
      </c>
      <c r="CR196" s="50">
        <v>0</v>
      </c>
      <c r="CS196" s="41">
        <f t="shared" si="78"/>
        <v>0</v>
      </c>
      <c r="CU196" s="39" t="s">
        <v>553</v>
      </c>
    </row>
    <row r="197" spans="1:99">
      <c r="A197" s="39" t="s">
        <v>63</v>
      </c>
      <c r="B197" s="39" t="s">
        <v>206</v>
      </c>
      <c r="C197" s="39" t="s">
        <v>207</v>
      </c>
      <c r="D197" s="56"/>
      <c r="E197" s="68" t="s">
        <v>211</v>
      </c>
      <c r="H197" s="51">
        <v>0</v>
      </c>
      <c r="I197" s="49">
        <v>0</v>
      </c>
      <c r="J197" s="49">
        <v>0</v>
      </c>
      <c r="K197" s="51">
        <f t="shared" si="85"/>
        <v>0</v>
      </c>
      <c r="L197" s="51">
        <f t="shared" si="77"/>
        <v>0</v>
      </c>
      <c r="M197" s="51">
        <v>0</v>
      </c>
      <c r="N197" s="52"/>
      <c r="O197" s="41">
        <v>0</v>
      </c>
      <c r="P197" s="50">
        <v>0</v>
      </c>
      <c r="Q197" s="50">
        <v>0</v>
      </c>
      <c r="R197" s="50">
        <v>0</v>
      </c>
      <c r="S197" s="41">
        <v>0</v>
      </c>
      <c r="T197" s="41">
        <v>0</v>
      </c>
      <c r="U197" s="41"/>
      <c r="V197" s="41">
        <v>-1800</v>
      </c>
      <c r="W197" s="50">
        <v>0</v>
      </c>
      <c r="X197" s="50">
        <v>1800</v>
      </c>
      <c r="Y197" s="41">
        <f t="shared" si="86"/>
        <v>0</v>
      </c>
      <c r="Z197" s="41">
        <v>0</v>
      </c>
      <c r="AA197" s="41"/>
      <c r="AB197" s="41">
        <f>-300</f>
        <v>-300</v>
      </c>
      <c r="AC197" s="41">
        <v>0</v>
      </c>
      <c r="AD197" s="50">
        <v>0</v>
      </c>
      <c r="AE197" s="41">
        <v>0</v>
      </c>
      <c r="AF197" s="41">
        <v>0</v>
      </c>
      <c r="AG197" s="41">
        <f t="shared" si="75"/>
        <v>300</v>
      </c>
      <c r="AH197" s="41">
        <v>0</v>
      </c>
      <c r="AI197" s="41"/>
      <c r="AJ197" s="41">
        <v>0</v>
      </c>
      <c r="AK197" s="50">
        <v>0</v>
      </c>
      <c r="AL197" s="41">
        <v>0</v>
      </c>
      <c r="AM197" s="50">
        <v>0</v>
      </c>
      <c r="AN197" s="41">
        <f t="shared" si="87"/>
        <v>0</v>
      </c>
      <c r="AO197" s="41">
        <v>0</v>
      </c>
      <c r="AP197" s="41"/>
      <c r="AQ197" s="53">
        <v>0</v>
      </c>
      <c r="AR197" s="54">
        <v>0</v>
      </c>
      <c r="AS197" s="54">
        <v>0</v>
      </c>
      <c r="AT197" s="53">
        <v>0</v>
      </c>
      <c r="AU197" s="41">
        <f t="shared" si="88"/>
        <v>0</v>
      </c>
      <c r="AV197" s="41">
        <v>0</v>
      </c>
      <c r="AW197" s="41"/>
      <c r="AX197" s="41">
        <v>0</v>
      </c>
      <c r="AY197" s="54">
        <v>0</v>
      </c>
      <c r="AZ197" s="50">
        <v>0</v>
      </c>
      <c r="BA197" s="50">
        <v>0</v>
      </c>
      <c r="BB197" s="41">
        <v>0</v>
      </c>
      <c r="BC197" s="41">
        <f t="shared" si="90"/>
        <v>0</v>
      </c>
      <c r="BD197" s="41">
        <v>0</v>
      </c>
      <c r="BF197" s="41">
        <v>0</v>
      </c>
      <c r="BG197" s="50">
        <v>0</v>
      </c>
      <c r="BH197" s="41">
        <v>0</v>
      </c>
      <c r="BI197" s="50">
        <v>0</v>
      </c>
      <c r="BJ197" s="41">
        <v>0</v>
      </c>
      <c r="BK197" s="41">
        <f t="shared" si="89"/>
        <v>0</v>
      </c>
      <c r="BL197" s="41">
        <v>0</v>
      </c>
      <c r="BM197" s="55"/>
      <c r="BN197" s="41">
        <v>0</v>
      </c>
      <c r="BO197" s="50">
        <v>0</v>
      </c>
      <c r="BP197" s="50">
        <v>0</v>
      </c>
      <c r="BQ197" s="41">
        <v>0</v>
      </c>
      <c r="BR197" s="41">
        <v>0</v>
      </c>
      <c r="BS197" s="41">
        <f t="shared" si="81"/>
        <v>0</v>
      </c>
      <c r="BT197" s="41">
        <v>0</v>
      </c>
      <c r="BV197" s="41">
        <v>0</v>
      </c>
      <c r="BW197" s="50">
        <v>0</v>
      </c>
      <c r="BX197" s="41">
        <f t="shared" si="83"/>
        <v>0</v>
      </c>
      <c r="BY197" s="41">
        <v>0</v>
      </c>
      <c r="CA197" s="41">
        <v>0</v>
      </c>
      <c r="CB197" s="50">
        <v>0</v>
      </c>
      <c r="CC197" s="41">
        <f t="shared" si="84"/>
        <v>0</v>
      </c>
      <c r="CD197" s="41">
        <v>0</v>
      </c>
      <c r="CF197" s="41">
        <v>0</v>
      </c>
      <c r="CG197" s="50">
        <v>0</v>
      </c>
      <c r="CH197" s="41">
        <v>0</v>
      </c>
      <c r="CI197" s="41">
        <f t="shared" si="82"/>
        <v>0</v>
      </c>
      <c r="CJ197" s="41">
        <v>0</v>
      </c>
      <c r="CK197" s="50">
        <v>0</v>
      </c>
      <c r="CL197" s="41">
        <f t="shared" si="79"/>
        <v>0</v>
      </c>
      <c r="CM197" s="41">
        <v>0</v>
      </c>
      <c r="CN197" s="50">
        <v>0</v>
      </c>
      <c r="CO197" s="41">
        <v>0</v>
      </c>
      <c r="CP197" s="41">
        <f t="shared" si="80"/>
        <v>0</v>
      </c>
      <c r="CQ197" s="41">
        <v>0</v>
      </c>
      <c r="CR197" s="50">
        <v>0</v>
      </c>
      <c r="CS197" s="41">
        <f t="shared" si="78"/>
        <v>0</v>
      </c>
    </row>
    <row r="198" spans="1:99">
      <c r="A198" s="39" t="s">
        <v>63</v>
      </c>
      <c r="B198" s="39" t="s">
        <v>212</v>
      </c>
      <c r="C198" s="39" t="s">
        <v>213</v>
      </c>
      <c r="D198" s="56">
        <v>97816408051</v>
      </c>
      <c r="E198" s="68" t="s">
        <v>214</v>
      </c>
      <c r="H198" s="51">
        <v>0</v>
      </c>
      <c r="I198" s="49">
        <v>0</v>
      </c>
      <c r="J198" s="49">
        <v>0</v>
      </c>
      <c r="K198" s="51">
        <f t="shared" si="85"/>
        <v>0</v>
      </c>
      <c r="L198" s="51">
        <f t="shared" si="77"/>
        <v>0</v>
      </c>
      <c r="M198" s="51">
        <v>0</v>
      </c>
      <c r="N198" s="52"/>
      <c r="O198" s="41">
        <v>0</v>
      </c>
      <c r="P198" s="50">
        <v>0</v>
      </c>
      <c r="Q198" s="50">
        <v>0</v>
      </c>
      <c r="R198" s="50">
        <v>0</v>
      </c>
      <c r="S198" s="41">
        <v>0</v>
      </c>
      <c r="T198" s="41">
        <v>0</v>
      </c>
      <c r="U198" s="41"/>
      <c r="V198" s="41">
        <v>0</v>
      </c>
      <c r="W198" s="50">
        <v>0</v>
      </c>
      <c r="X198" s="50">
        <v>0</v>
      </c>
      <c r="Y198" s="41">
        <f t="shared" si="86"/>
        <v>0</v>
      </c>
      <c r="Z198" s="41">
        <v>0</v>
      </c>
      <c r="AA198" s="41"/>
      <c r="AB198" s="41">
        <v>0</v>
      </c>
      <c r="AC198" s="41">
        <v>0</v>
      </c>
      <c r="AD198" s="50">
        <v>0</v>
      </c>
      <c r="AE198" s="41">
        <v>0</v>
      </c>
      <c r="AF198" s="41">
        <v>0</v>
      </c>
      <c r="AG198" s="41">
        <f t="shared" si="75"/>
        <v>0</v>
      </c>
      <c r="AH198" s="41">
        <v>0</v>
      </c>
      <c r="AI198" s="41"/>
      <c r="AJ198" s="41">
        <v>0</v>
      </c>
      <c r="AK198" s="50">
        <v>0</v>
      </c>
      <c r="AL198" s="41">
        <v>11</v>
      </c>
      <c r="AM198" s="50">
        <v>0</v>
      </c>
      <c r="AN198" s="41">
        <f t="shared" si="87"/>
        <v>-11</v>
      </c>
      <c r="AO198" s="41">
        <v>0</v>
      </c>
      <c r="AP198" s="41"/>
      <c r="AQ198" s="53">
        <v>0</v>
      </c>
      <c r="AR198" s="54">
        <v>0</v>
      </c>
      <c r="AS198" s="54">
        <v>0</v>
      </c>
      <c r="AT198" s="53">
        <v>0</v>
      </c>
      <c r="AU198" s="41">
        <f t="shared" si="88"/>
        <v>0</v>
      </c>
      <c r="AV198" s="41">
        <v>0</v>
      </c>
      <c r="AW198" s="41"/>
      <c r="AX198" s="41">
        <v>0</v>
      </c>
      <c r="AY198" s="54">
        <v>0</v>
      </c>
      <c r="AZ198" s="50">
        <v>0</v>
      </c>
      <c r="BA198" s="50">
        <v>0</v>
      </c>
      <c r="BB198" s="41">
        <v>0</v>
      </c>
      <c r="BC198" s="41">
        <f t="shared" si="90"/>
        <v>0</v>
      </c>
      <c r="BD198" s="41">
        <v>0</v>
      </c>
      <c r="BF198" s="41">
        <v>0</v>
      </c>
      <c r="BG198" s="50">
        <v>0</v>
      </c>
      <c r="BH198" s="41">
        <v>0</v>
      </c>
      <c r="BI198" s="50">
        <v>0</v>
      </c>
      <c r="BJ198" s="41">
        <v>0</v>
      </c>
      <c r="BK198" s="41">
        <f t="shared" si="89"/>
        <v>0</v>
      </c>
      <c r="BL198" s="41">
        <v>0</v>
      </c>
      <c r="BM198" s="55"/>
      <c r="BN198" s="41">
        <v>0</v>
      </c>
      <c r="BO198" s="50">
        <v>0</v>
      </c>
      <c r="BP198" s="50">
        <v>0</v>
      </c>
      <c r="BQ198" s="41">
        <v>0</v>
      </c>
      <c r="BR198" s="41">
        <v>0</v>
      </c>
      <c r="BS198" s="41">
        <f t="shared" si="81"/>
        <v>0</v>
      </c>
      <c r="BT198" s="41">
        <v>0</v>
      </c>
      <c r="BV198" s="41">
        <v>0</v>
      </c>
      <c r="BW198" s="50">
        <v>0</v>
      </c>
      <c r="BX198" s="41">
        <f t="shared" si="83"/>
        <v>0</v>
      </c>
      <c r="BY198" s="41">
        <v>0</v>
      </c>
      <c r="CA198" s="41">
        <v>0</v>
      </c>
      <c r="CB198" s="50">
        <v>0</v>
      </c>
      <c r="CC198" s="41">
        <f t="shared" si="84"/>
        <v>0</v>
      </c>
      <c r="CD198" s="41">
        <v>0</v>
      </c>
      <c r="CF198" s="41">
        <v>0</v>
      </c>
      <c r="CG198" s="50">
        <v>0</v>
      </c>
      <c r="CH198" s="41">
        <v>0</v>
      </c>
      <c r="CI198" s="41">
        <f t="shared" si="82"/>
        <v>0</v>
      </c>
      <c r="CJ198" s="41">
        <v>0</v>
      </c>
      <c r="CK198" s="50">
        <v>0</v>
      </c>
      <c r="CL198" s="41">
        <f t="shared" si="79"/>
        <v>0</v>
      </c>
      <c r="CM198" s="41">
        <v>0</v>
      </c>
      <c r="CN198" s="50">
        <v>0</v>
      </c>
      <c r="CO198" s="41">
        <v>0</v>
      </c>
      <c r="CP198" s="41">
        <f t="shared" si="80"/>
        <v>0</v>
      </c>
      <c r="CQ198" s="41">
        <v>0</v>
      </c>
      <c r="CR198" s="50">
        <v>0</v>
      </c>
      <c r="CS198" s="41">
        <f t="shared" si="78"/>
        <v>0</v>
      </c>
      <c r="CU198" s="39" t="s">
        <v>554</v>
      </c>
    </row>
    <row r="199" spans="1:99">
      <c r="A199" s="39" t="s">
        <v>63</v>
      </c>
      <c r="B199" s="39" t="s">
        <v>212</v>
      </c>
      <c r="C199" s="39" t="s">
        <v>213</v>
      </c>
      <c r="D199" s="56"/>
      <c r="E199" s="68" t="s">
        <v>215</v>
      </c>
      <c r="H199" s="51">
        <v>0</v>
      </c>
      <c r="I199" s="49">
        <v>0</v>
      </c>
      <c r="J199" s="49">
        <v>0</v>
      </c>
      <c r="K199" s="51">
        <f t="shared" si="85"/>
        <v>0</v>
      </c>
      <c r="L199" s="51">
        <f t="shared" si="77"/>
        <v>0</v>
      </c>
      <c r="M199" s="51">
        <v>0</v>
      </c>
      <c r="N199" s="52"/>
      <c r="O199" s="41">
        <v>0</v>
      </c>
      <c r="P199" s="50">
        <v>0</v>
      </c>
      <c r="Q199" s="50">
        <v>0</v>
      </c>
      <c r="R199" s="50">
        <v>0</v>
      </c>
      <c r="S199" s="41">
        <v>0</v>
      </c>
      <c r="T199" s="41">
        <v>0</v>
      </c>
      <c r="U199" s="41"/>
      <c r="V199" s="41">
        <v>0</v>
      </c>
      <c r="W199" s="50">
        <v>0</v>
      </c>
      <c r="X199" s="50">
        <v>0</v>
      </c>
      <c r="Y199" s="41">
        <f t="shared" si="86"/>
        <v>0</v>
      </c>
      <c r="Z199" s="41">
        <v>0</v>
      </c>
      <c r="AA199" s="41"/>
      <c r="AB199" s="41">
        <v>0</v>
      </c>
      <c r="AC199" s="41">
        <v>0</v>
      </c>
      <c r="AD199" s="50">
        <v>0</v>
      </c>
      <c r="AE199" s="41">
        <v>0</v>
      </c>
      <c r="AF199" s="41">
        <v>0</v>
      </c>
      <c r="AG199" s="41">
        <f t="shared" si="75"/>
        <v>0</v>
      </c>
      <c r="AH199" s="41">
        <v>0</v>
      </c>
      <c r="AI199" s="41"/>
      <c r="AJ199" s="41">
        <v>0</v>
      </c>
      <c r="AK199" s="50">
        <v>0</v>
      </c>
      <c r="AL199" s="41">
        <v>38</v>
      </c>
      <c r="AM199" s="50">
        <v>0</v>
      </c>
      <c r="AN199" s="41">
        <f t="shared" si="87"/>
        <v>11</v>
      </c>
      <c r="AO199" s="41">
        <v>49</v>
      </c>
      <c r="AP199" s="41"/>
      <c r="AQ199" s="53">
        <v>0</v>
      </c>
      <c r="AR199" s="54">
        <v>0</v>
      </c>
      <c r="AS199" s="54">
        <v>0</v>
      </c>
      <c r="AT199" s="53">
        <v>0</v>
      </c>
      <c r="AU199" s="41">
        <f t="shared" si="88"/>
        <v>0</v>
      </c>
      <c r="AV199" s="41">
        <v>0</v>
      </c>
      <c r="AW199" s="41"/>
      <c r="AX199" s="41">
        <v>0</v>
      </c>
      <c r="AY199" s="54">
        <v>0</v>
      </c>
      <c r="AZ199" s="50">
        <v>0</v>
      </c>
      <c r="BA199" s="50">
        <v>0</v>
      </c>
      <c r="BB199" s="41">
        <v>0</v>
      </c>
      <c r="BC199" s="41">
        <f t="shared" si="90"/>
        <v>0</v>
      </c>
      <c r="BD199" s="41">
        <v>0</v>
      </c>
      <c r="BF199" s="41">
        <v>0</v>
      </c>
      <c r="BG199" s="50">
        <v>0</v>
      </c>
      <c r="BH199" s="41">
        <v>0</v>
      </c>
      <c r="BI199" s="50">
        <v>0</v>
      </c>
      <c r="BJ199" s="41">
        <v>0</v>
      </c>
      <c r="BK199" s="41">
        <f t="shared" si="89"/>
        <v>0</v>
      </c>
      <c r="BL199" s="41">
        <v>0</v>
      </c>
      <c r="BM199" s="55"/>
      <c r="BN199" s="41">
        <v>0</v>
      </c>
      <c r="BO199" s="50">
        <v>0</v>
      </c>
      <c r="BP199" s="50">
        <v>0</v>
      </c>
      <c r="BQ199" s="41">
        <v>0</v>
      </c>
      <c r="BR199" s="41">
        <v>0</v>
      </c>
      <c r="BS199" s="41">
        <f t="shared" si="81"/>
        <v>0</v>
      </c>
      <c r="BT199" s="41">
        <v>0</v>
      </c>
      <c r="BV199" s="41">
        <v>0</v>
      </c>
      <c r="BW199" s="50">
        <v>0</v>
      </c>
      <c r="BX199" s="41">
        <f t="shared" si="83"/>
        <v>0</v>
      </c>
      <c r="BY199" s="41">
        <v>0</v>
      </c>
      <c r="CA199" s="41">
        <v>0</v>
      </c>
      <c r="CB199" s="50">
        <v>0</v>
      </c>
      <c r="CC199" s="41">
        <f t="shared" si="84"/>
        <v>0</v>
      </c>
      <c r="CD199" s="41">
        <v>0</v>
      </c>
      <c r="CF199" s="41">
        <v>0</v>
      </c>
      <c r="CG199" s="50">
        <v>0</v>
      </c>
      <c r="CH199" s="41">
        <v>0</v>
      </c>
      <c r="CI199" s="41">
        <f t="shared" si="82"/>
        <v>0</v>
      </c>
      <c r="CJ199" s="41">
        <v>0</v>
      </c>
      <c r="CK199" s="50">
        <v>0</v>
      </c>
      <c r="CL199" s="41">
        <f t="shared" si="79"/>
        <v>0</v>
      </c>
      <c r="CM199" s="41">
        <v>0</v>
      </c>
      <c r="CN199" s="50">
        <v>0</v>
      </c>
      <c r="CO199" s="41">
        <v>0</v>
      </c>
      <c r="CP199" s="41">
        <f t="shared" si="80"/>
        <v>0</v>
      </c>
      <c r="CQ199" s="41">
        <v>0</v>
      </c>
      <c r="CR199" s="50">
        <v>0</v>
      </c>
      <c r="CS199" s="41">
        <f t="shared" si="78"/>
        <v>0</v>
      </c>
    </row>
    <row r="200" spans="1:99">
      <c r="A200" s="39" t="s">
        <v>63</v>
      </c>
      <c r="B200" s="39" t="s">
        <v>212</v>
      </c>
      <c r="C200" s="39" t="s">
        <v>213</v>
      </c>
      <c r="D200" s="56"/>
      <c r="E200" s="68" t="s">
        <v>216</v>
      </c>
      <c r="H200" s="51">
        <v>8</v>
      </c>
      <c r="I200" s="49">
        <v>0</v>
      </c>
      <c r="J200" s="49">
        <v>0</v>
      </c>
      <c r="K200" s="51">
        <f t="shared" si="85"/>
        <v>8</v>
      </c>
      <c r="L200" s="51">
        <f t="shared" si="77"/>
        <v>0</v>
      </c>
      <c r="M200" s="51">
        <v>8</v>
      </c>
      <c r="N200" s="52"/>
      <c r="O200" s="41">
        <v>8</v>
      </c>
      <c r="P200" s="50">
        <v>0</v>
      </c>
      <c r="Q200" s="50">
        <v>0</v>
      </c>
      <c r="R200" s="50">
        <v>0</v>
      </c>
      <c r="S200" s="41">
        <v>0</v>
      </c>
      <c r="T200" s="41">
        <v>8</v>
      </c>
      <c r="U200" s="41"/>
      <c r="V200" s="41">
        <v>8</v>
      </c>
      <c r="W200" s="50">
        <v>0</v>
      </c>
      <c r="X200" s="50">
        <v>0</v>
      </c>
      <c r="Y200" s="41">
        <f t="shared" si="86"/>
        <v>0</v>
      </c>
      <c r="Z200" s="41">
        <v>8</v>
      </c>
      <c r="AA200" s="41"/>
      <c r="AB200" s="41">
        <v>8</v>
      </c>
      <c r="AC200" s="41">
        <v>0</v>
      </c>
      <c r="AD200" s="50">
        <v>0</v>
      </c>
      <c r="AE200" s="41">
        <v>0</v>
      </c>
      <c r="AF200" s="41">
        <v>0</v>
      </c>
      <c r="AG200" s="41">
        <f t="shared" si="75"/>
        <v>0</v>
      </c>
      <c r="AH200" s="41">
        <v>8</v>
      </c>
      <c r="AI200" s="41"/>
      <c r="AJ200" s="41">
        <v>0</v>
      </c>
      <c r="AK200" s="50">
        <v>0</v>
      </c>
      <c r="AL200" s="41">
        <v>0</v>
      </c>
      <c r="AM200" s="50">
        <v>0</v>
      </c>
      <c r="AN200" s="41">
        <f t="shared" si="87"/>
        <v>0</v>
      </c>
      <c r="AO200" s="41">
        <v>0</v>
      </c>
      <c r="AP200" s="41"/>
      <c r="AQ200" s="53">
        <v>0</v>
      </c>
      <c r="AR200" s="54">
        <v>0</v>
      </c>
      <c r="AS200" s="54">
        <v>0</v>
      </c>
      <c r="AT200" s="53">
        <v>0</v>
      </c>
      <c r="AU200" s="41">
        <f t="shared" si="88"/>
        <v>0</v>
      </c>
      <c r="AV200" s="41">
        <v>0</v>
      </c>
      <c r="AW200" s="41"/>
      <c r="AX200" s="41">
        <v>0</v>
      </c>
      <c r="AY200" s="54">
        <v>0</v>
      </c>
      <c r="AZ200" s="50">
        <v>0</v>
      </c>
      <c r="BA200" s="50">
        <v>0</v>
      </c>
      <c r="BB200" s="41">
        <v>0</v>
      </c>
      <c r="BC200" s="41">
        <f t="shared" si="90"/>
        <v>0</v>
      </c>
      <c r="BD200" s="41">
        <v>0</v>
      </c>
      <c r="BF200" s="41">
        <v>0</v>
      </c>
      <c r="BG200" s="50">
        <v>0</v>
      </c>
      <c r="BH200" s="41">
        <v>0</v>
      </c>
      <c r="BI200" s="50">
        <v>0</v>
      </c>
      <c r="BJ200" s="41">
        <v>0</v>
      </c>
      <c r="BK200" s="41">
        <f t="shared" si="89"/>
        <v>0</v>
      </c>
      <c r="BL200" s="41">
        <v>0</v>
      </c>
      <c r="BM200" s="55"/>
      <c r="BN200" s="41">
        <v>0</v>
      </c>
      <c r="BO200" s="50">
        <v>0</v>
      </c>
      <c r="BP200" s="50">
        <v>0</v>
      </c>
      <c r="BQ200" s="41">
        <v>0</v>
      </c>
      <c r="BR200" s="41">
        <v>0</v>
      </c>
      <c r="BS200" s="41">
        <f t="shared" si="81"/>
        <v>0</v>
      </c>
      <c r="BT200" s="41">
        <v>0</v>
      </c>
      <c r="BV200" s="41">
        <v>0</v>
      </c>
      <c r="BW200" s="50">
        <v>0</v>
      </c>
      <c r="BX200" s="41">
        <f t="shared" si="83"/>
        <v>0</v>
      </c>
      <c r="BY200" s="41">
        <v>0</v>
      </c>
      <c r="CA200" s="41">
        <v>0</v>
      </c>
      <c r="CB200" s="50">
        <v>0</v>
      </c>
      <c r="CC200" s="41">
        <f t="shared" si="84"/>
        <v>0</v>
      </c>
      <c r="CD200" s="41">
        <v>0</v>
      </c>
      <c r="CF200" s="41">
        <v>0</v>
      </c>
      <c r="CG200" s="50">
        <v>0</v>
      </c>
      <c r="CH200" s="41">
        <v>0</v>
      </c>
      <c r="CI200" s="41">
        <f t="shared" si="82"/>
        <v>0</v>
      </c>
      <c r="CJ200" s="41">
        <v>0</v>
      </c>
      <c r="CK200" s="50">
        <v>0</v>
      </c>
      <c r="CL200" s="41">
        <f t="shared" si="79"/>
        <v>0</v>
      </c>
      <c r="CM200" s="41">
        <v>0</v>
      </c>
      <c r="CN200" s="50">
        <v>0</v>
      </c>
      <c r="CO200" s="41">
        <v>0</v>
      </c>
      <c r="CP200" s="41">
        <f t="shared" si="80"/>
        <v>0</v>
      </c>
      <c r="CQ200" s="41">
        <v>0</v>
      </c>
      <c r="CR200" s="50">
        <v>0</v>
      </c>
      <c r="CS200" s="41">
        <f t="shared" si="78"/>
        <v>0</v>
      </c>
    </row>
    <row r="201" spans="1:99" hidden="1">
      <c r="A201" s="39" t="s">
        <v>217</v>
      </c>
      <c r="B201" s="39" t="s">
        <v>218</v>
      </c>
      <c r="C201" s="39" t="s">
        <v>219</v>
      </c>
      <c r="D201" s="56">
        <v>89024001053</v>
      </c>
      <c r="E201" s="39" t="s">
        <v>220</v>
      </c>
      <c r="H201" s="51">
        <f>5430-15</f>
        <v>5415</v>
      </c>
      <c r="I201" s="49">
        <v>131</v>
      </c>
      <c r="J201" s="49">
        <v>19</v>
      </c>
      <c r="K201" s="51">
        <f t="shared" si="85"/>
        <v>5565</v>
      </c>
      <c r="L201" s="51">
        <f t="shared" si="77"/>
        <v>-3</v>
      </c>
      <c r="M201" s="51">
        <v>5562</v>
      </c>
      <c r="N201" s="52"/>
      <c r="O201" s="41">
        <v>5915</v>
      </c>
      <c r="P201" s="50">
        <v>0</v>
      </c>
      <c r="Q201" s="50">
        <v>0</v>
      </c>
      <c r="R201" s="50">
        <v>67</v>
      </c>
      <c r="S201" s="41">
        <v>0</v>
      </c>
      <c r="T201" s="41">
        <v>5982</v>
      </c>
      <c r="U201" s="41"/>
      <c r="V201" s="41">
        <v>6236</v>
      </c>
      <c r="W201" s="50">
        <v>0</v>
      </c>
      <c r="X201" s="50">
        <v>0</v>
      </c>
      <c r="Y201" s="41">
        <f t="shared" si="86"/>
        <v>-24</v>
      </c>
      <c r="Z201" s="41">
        <v>6212</v>
      </c>
      <c r="AA201" s="41"/>
      <c r="AB201" s="41">
        <v>6632</v>
      </c>
      <c r="AC201" s="41">
        <v>0</v>
      </c>
      <c r="AD201" s="50">
        <v>-6</v>
      </c>
      <c r="AE201" s="41">
        <v>0</v>
      </c>
      <c r="AF201" s="41">
        <v>0</v>
      </c>
      <c r="AG201" s="41">
        <f t="shared" si="75"/>
        <v>-1</v>
      </c>
      <c r="AH201" s="41">
        <v>6625</v>
      </c>
      <c r="AI201" s="41"/>
      <c r="AJ201" s="41">
        <v>6370</v>
      </c>
      <c r="AK201" s="50">
        <v>0</v>
      </c>
      <c r="AL201" s="41">
        <v>0</v>
      </c>
      <c r="AM201" s="50">
        <v>0</v>
      </c>
      <c r="AN201" s="41">
        <f t="shared" si="87"/>
        <v>-2</v>
      </c>
      <c r="AO201" s="41">
        <v>6368</v>
      </c>
      <c r="AP201" s="41"/>
      <c r="AQ201" s="53">
        <v>6276</v>
      </c>
      <c r="AR201" s="54">
        <v>0</v>
      </c>
      <c r="AS201" s="54">
        <v>0</v>
      </c>
      <c r="AT201" s="53">
        <v>0</v>
      </c>
      <c r="AU201" s="41">
        <f t="shared" si="88"/>
        <v>-17</v>
      </c>
      <c r="AV201" s="41">
        <v>6259</v>
      </c>
      <c r="AW201" s="41"/>
      <c r="AX201" s="41">
        <v>6298</v>
      </c>
      <c r="AY201" s="54">
        <v>0</v>
      </c>
      <c r="AZ201" s="50">
        <v>0</v>
      </c>
      <c r="BA201" s="50">
        <v>0</v>
      </c>
      <c r="BB201" s="41">
        <v>0</v>
      </c>
      <c r="BC201" s="41">
        <f t="shared" si="90"/>
        <v>0</v>
      </c>
      <c r="BD201" s="41">
        <v>6298</v>
      </c>
      <c r="BF201" s="41">
        <v>6380</v>
      </c>
      <c r="BG201" s="50">
        <v>0</v>
      </c>
      <c r="BH201" s="41">
        <v>0</v>
      </c>
      <c r="BI201" s="50">
        <v>0</v>
      </c>
      <c r="BJ201" s="41">
        <v>30</v>
      </c>
      <c r="BK201" s="41">
        <f t="shared" si="89"/>
        <v>0</v>
      </c>
      <c r="BL201" s="41">
        <v>6410</v>
      </c>
      <c r="BM201" s="55"/>
      <c r="BN201" s="41">
        <v>6384</v>
      </c>
      <c r="BO201" s="50">
        <v>0</v>
      </c>
      <c r="BP201" s="50">
        <v>0</v>
      </c>
      <c r="BQ201" s="41">
        <v>0</v>
      </c>
      <c r="BR201" s="41">
        <v>0</v>
      </c>
      <c r="BS201" s="41">
        <f t="shared" si="81"/>
        <v>0</v>
      </c>
      <c r="BT201" s="41">
        <v>6384</v>
      </c>
      <c r="BV201" s="41">
        <v>6943</v>
      </c>
      <c r="BW201" s="50">
        <v>0</v>
      </c>
      <c r="BX201" s="41">
        <f t="shared" si="83"/>
        <v>-72</v>
      </c>
      <c r="BY201" s="41">
        <v>6871</v>
      </c>
      <c r="CA201" s="41">
        <v>7214</v>
      </c>
      <c r="CB201" s="50">
        <v>0</v>
      </c>
      <c r="CC201" s="41">
        <f t="shared" si="84"/>
        <v>0</v>
      </c>
      <c r="CD201" s="41">
        <v>7214</v>
      </c>
      <c r="CF201" s="41">
        <v>6971</v>
      </c>
      <c r="CG201" s="50">
        <v>0</v>
      </c>
      <c r="CH201" s="41">
        <v>0</v>
      </c>
      <c r="CI201" s="41">
        <f t="shared" si="82"/>
        <v>6971</v>
      </c>
      <c r="CJ201" s="41">
        <v>7781</v>
      </c>
      <c r="CK201" s="50">
        <v>0</v>
      </c>
      <c r="CL201" s="41">
        <f t="shared" si="79"/>
        <v>7781</v>
      </c>
      <c r="CM201" s="41">
        <v>8181</v>
      </c>
      <c r="CN201" s="50">
        <v>0</v>
      </c>
      <c r="CO201" s="41">
        <v>0</v>
      </c>
      <c r="CP201" s="41">
        <f t="shared" si="80"/>
        <v>8181</v>
      </c>
      <c r="CQ201" s="41">
        <v>8847</v>
      </c>
      <c r="CR201" s="50">
        <v>0</v>
      </c>
      <c r="CS201" s="41">
        <f t="shared" si="78"/>
        <v>8847</v>
      </c>
      <c r="CU201" s="39" t="s">
        <v>555</v>
      </c>
    </row>
    <row r="202" spans="1:99" hidden="1">
      <c r="A202" s="39" t="s">
        <v>217</v>
      </c>
      <c r="B202" s="39" t="s">
        <v>218</v>
      </c>
      <c r="C202" s="39" t="s">
        <v>219</v>
      </c>
      <c r="D202" s="56">
        <v>89030901053</v>
      </c>
      <c r="E202" s="39" t="s">
        <v>221</v>
      </c>
      <c r="H202" s="51">
        <v>801</v>
      </c>
      <c r="I202" s="49">
        <v>226</v>
      </c>
      <c r="J202" s="49">
        <v>100</v>
      </c>
      <c r="K202" s="51">
        <f t="shared" si="85"/>
        <v>1127</v>
      </c>
      <c r="L202" s="51">
        <f t="shared" si="77"/>
        <v>-67</v>
      </c>
      <c r="M202" s="51">
        <v>1060</v>
      </c>
      <c r="N202" s="52"/>
      <c r="O202" s="41">
        <v>1021</v>
      </c>
      <c r="P202" s="50">
        <v>0</v>
      </c>
      <c r="Q202" s="50">
        <v>0</v>
      </c>
      <c r="R202" s="50">
        <v>148</v>
      </c>
      <c r="S202" s="41">
        <v>22</v>
      </c>
      <c r="T202" s="41">
        <v>1191</v>
      </c>
      <c r="U202" s="41"/>
      <c r="V202" s="41">
        <v>1320</v>
      </c>
      <c r="W202" s="50">
        <v>0</v>
      </c>
      <c r="X202" s="50">
        <v>0</v>
      </c>
      <c r="Y202" s="41">
        <f t="shared" si="86"/>
        <v>47</v>
      </c>
      <c r="Z202" s="41">
        <v>1367</v>
      </c>
      <c r="AA202" s="41"/>
      <c r="AB202" s="41">
        <v>1428</v>
      </c>
      <c r="AC202" s="41">
        <v>0</v>
      </c>
      <c r="AD202" s="50">
        <v>84</v>
      </c>
      <c r="AE202" s="41">
        <v>0</v>
      </c>
      <c r="AF202" s="41">
        <v>0</v>
      </c>
      <c r="AG202" s="41">
        <f t="shared" si="75"/>
        <v>-8</v>
      </c>
      <c r="AH202" s="41">
        <v>1504</v>
      </c>
      <c r="AI202" s="41"/>
      <c r="AJ202" s="41">
        <v>1615</v>
      </c>
      <c r="AK202" s="50">
        <v>0</v>
      </c>
      <c r="AL202" s="41">
        <v>0</v>
      </c>
      <c r="AM202" s="50">
        <v>0</v>
      </c>
      <c r="AN202" s="41">
        <f t="shared" si="87"/>
        <v>-6</v>
      </c>
      <c r="AO202" s="41">
        <v>1609</v>
      </c>
      <c r="AP202" s="41"/>
      <c r="AQ202" s="53">
        <v>1683</v>
      </c>
      <c r="AR202" s="54">
        <v>0</v>
      </c>
      <c r="AS202" s="54">
        <v>0</v>
      </c>
      <c r="AT202" s="53">
        <v>135</v>
      </c>
      <c r="AU202" s="41">
        <f t="shared" si="88"/>
        <v>-6</v>
      </c>
      <c r="AV202" s="41">
        <v>1812</v>
      </c>
      <c r="AW202" s="41"/>
      <c r="AX202" s="41">
        <v>1336</v>
      </c>
      <c r="AY202" s="54">
        <v>0</v>
      </c>
      <c r="AZ202" s="50">
        <v>0</v>
      </c>
      <c r="BA202" s="50">
        <v>0</v>
      </c>
      <c r="BB202" s="41">
        <v>0</v>
      </c>
      <c r="BC202" s="41">
        <f t="shared" si="90"/>
        <v>-7</v>
      </c>
      <c r="BD202" s="41">
        <v>1329</v>
      </c>
      <c r="BF202" s="41">
        <v>1482</v>
      </c>
      <c r="BG202" s="50">
        <v>0</v>
      </c>
      <c r="BH202" s="41">
        <v>0</v>
      </c>
      <c r="BI202" s="50">
        <v>0</v>
      </c>
      <c r="BJ202" s="41">
        <v>55</v>
      </c>
      <c r="BK202" s="41">
        <f t="shared" si="89"/>
        <v>-8</v>
      </c>
      <c r="BL202" s="41">
        <v>1529</v>
      </c>
      <c r="BM202" s="55"/>
      <c r="BN202" s="41">
        <v>2137</v>
      </c>
      <c r="BO202" s="50">
        <v>0</v>
      </c>
      <c r="BP202" s="50">
        <v>0</v>
      </c>
      <c r="BQ202" s="41">
        <v>0</v>
      </c>
      <c r="BR202" s="41">
        <v>0</v>
      </c>
      <c r="BS202" s="41">
        <f t="shared" si="81"/>
        <v>-6</v>
      </c>
      <c r="BT202" s="41">
        <v>2131</v>
      </c>
      <c r="BV202" s="41">
        <v>2281</v>
      </c>
      <c r="BW202" s="50">
        <v>0</v>
      </c>
      <c r="BX202" s="41">
        <f t="shared" si="83"/>
        <v>-14</v>
      </c>
      <c r="BY202" s="41">
        <v>2267</v>
      </c>
      <c r="CA202" s="41">
        <v>2296</v>
      </c>
      <c r="CB202" s="50">
        <v>0</v>
      </c>
      <c r="CC202" s="41">
        <f t="shared" si="84"/>
        <v>0</v>
      </c>
      <c r="CD202" s="41">
        <v>2296</v>
      </c>
      <c r="CF202" s="41">
        <v>2243</v>
      </c>
      <c r="CG202" s="50">
        <v>0</v>
      </c>
      <c r="CH202" s="41">
        <v>0</v>
      </c>
      <c r="CI202" s="41">
        <f t="shared" si="82"/>
        <v>2243</v>
      </c>
      <c r="CJ202" s="41">
        <v>1954</v>
      </c>
      <c r="CK202" s="50">
        <v>0</v>
      </c>
      <c r="CL202" s="41">
        <f t="shared" si="79"/>
        <v>1954</v>
      </c>
      <c r="CM202" s="41">
        <v>1615</v>
      </c>
      <c r="CN202" s="50">
        <v>0</v>
      </c>
      <c r="CO202" s="41">
        <v>0</v>
      </c>
      <c r="CP202" s="41">
        <f t="shared" si="80"/>
        <v>1615</v>
      </c>
      <c r="CQ202" s="41">
        <v>1940</v>
      </c>
      <c r="CR202" s="50">
        <v>0</v>
      </c>
      <c r="CS202" s="41">
        <f t="shared" si="78"/>
        <v>1940</v>
      </c>
      <c r="CU202" s="39" t="s">
        <v>556</v>
      </c>
    </row>
    <row r="203" spans="1:99" hidden="1">
      <c r="A203" s="39" t="s">
        <v>217</v>
      </c>
      <c r="B203" s="39" t="s">
        <v>218</v>
      </c>
      <c r="C203" s="39" t="s">
        <v>219</v>
      </c>
      <c r="D203" s="56"/>
      <c r="E203" s="39" t="s">
        <v>222</v>
      </c>
      <c r="H203" s="51">
        <v>0</v>
      </c>
      <c r="I203" s="49">
        <v>0</v>
      </c>
      <c r="J203" s="49">
        <v>0</v>
      </c>
      <c r="K203" s="51">
        <f t="shared" si="85"/>
        <v>0</v>
      </c>
      <c r="L203" s="51">
        <f t="shared" si="77"/>
        <v>0</v>
      </c>
      <c r="M203" s="51">
        <v>0</v>
      </c>
      <c r="N203" s="52"/>
      <c r="O203" s="41">
        <v>0</v>
      </c>
      <c r="P203" s="50">
        <v>0</v>
      </c>
      <c r="Q203" s="50">
        <v>0</v>
      </c>
      <c r="R203" s="50">
        <v>0</v>
      </c>
      <c r="S203" s="41">
        <v>0</v>
      </c>
      <c r="T203" s="41">
        <v>0</v>
      </c>
      <c r="U203" s="41"/>
      <c r="V203" s="41">
        <v>0</v>
      </c>
      <c r="W203" s="50">
        <v>0</v>
      </c>
      <c r="X203" s="50">
        <v>0</v>
      </c>
      <c r="Y203" s="41">
        <f t="shared" si="86"/>
        <v>0</v>
      </c>
      <c r="Z203" s="41">
        <v>0</v>
      </c>
      <c r="AA203" s="41"/>
      <c r="AB203" s="41">
        <v>0</v>
      </c>
      <c r="AC203" s="41">
        <v>0</v>
      </c>
      <c r="AD203" s="50">
        <v>0</v>
      </c>
      <c r="AE203" s="41">
        <v>0</v>
      </c>
      <c r="AF203" s="41">
        <v>0</v>
      </c>
      <c r="AG203" s="41">
        <f t="shared" si="75"/>
        <v>0</v>
      </c>
      <c r="AH203" s="41">
        <v>0</v>
      </c>
      <c r="AI203" s="41"/>
      <c r="AJ203" s="41">
        <v>0</v>
      </c>
      <c r="AK203" s="50">
        <v>0</v>
      </c>
      <c r="AL203" s="41">
        <v>0</v>
      </c>
      <c r="AM203" s="50">
        <v>0</v>
      </c>
      <c r="AN203" s="41">
        <f t="shared" si="87"/>
        <v>0</v>
      </c>
      <c r="AO203" s="41">
        <v>0</v>
      </c>
      <c r="AP203" s="41"/>
      <c r="AQ203" s="53">
        <v>0</v>
      </c>
      <c r="AR203" s="54">
        <v>0</v>
      </c>
      <c r="AS203" s="54">
        <v>0</v>
      </c>
      <c r="AT203" s="53">
        <v>0</v>
      </c>
      <c r="AU203" s="41">
        <f t="shared" si="88"/>
        <v>0</v>
      </c>
      <c r="AV203" s="41">
        <v>0</v>
      </c>
      <c r="AW203" s="41"/>
      <c r="AX203" s="41">
        <v>0</v>
      </c>
      <c r="AY203" s="54">
        <v>0</v>
      </c>
      <c r="AZ203" s="50">
        <v>0</v>
      </c>
      <c r="BA203" s="50">
        <v>0</v>
      </c>
      <c r="BB203" s="41">
        <v>0</v>
      </c>
      <c r="BC203" s="41">
        <f t="shared" si="90"/>
        <v>0</v>
      </c>
      <c r="BD203" s="41">
        <v>0</v>
      </c>
      <c r="BF203" s="41">
        <v>0</v>
      </c>
      <c r="BG203" s="50">
        <v>0</v>
      </c>
      <c r="BH203" s="41">
        <v>0</v>
      </c>
      <c r="BI203" s="50">
        <v>0</v>
      </c>
      <c r="BJ203" s="41">
        <v>0</v>
      </c>
      <c r="BK203" s="41">
        <f t="shared" si="89"/>
        <v>0</v>
      </c>
      <c r="BL203" s="41">
        <v>0</v>
      </c>
      <c r="BM203" s="55"/>
      <c r="BN203" s="41">
        <v>0</v>
      </c>
      <c r="BO203" s="50">
        <v>0</v>
      </c>
      <c r="BP203" s="50">
        <v>0</v>
      </c>
      <c r="BQ203" s="41">
        <v>0</v>
      </c>
      <c r="BR203" s="41">
        <v>0</v>
      </c>
      <c r="BS203" s="41">
        <f t="shared" si="81"/>
        <v>0</v>
      </c>
      <c r="BT203" s="41">
        <v>0</v>
      </c>
      <c r="BV203" s="41">
        <v>0</v>
      </c>
      <c r="BW203" s="50">
        <v>0</v>
      </c>
      <c r="BX203" s="41">
        <f t="shared" si="83"/>
        <v>0</v>
      </c>
      <c r="BY203" s="41">
        <v>0</v>
      </c>
      <c r="CA203" s="41">
        <v>0</v>
      </c>
      <c r="CB203" s="50">
        <v>0</v>
      </c>
      <c r="CC203" s="41">
        <f t="shared" si="84"/>
        <v>0</v>
      </c>
      <c r="CD203" s="41">
        <v>0</v>
      </c>
      <c r="CF203" s="41">
        <v>0</v>
      </c>
      <c r="CG203" s="50">
        <v>0</v>
      </c>
      <c r="CH203" s="41">
        <v>0</v>
      </c>
      <c r="CI203" s="41">
        <f t="shared" si="82"/>
        <v>0</v>
      </c>
      <c r="CJ203" s="41">
        <v>0</v>
      </c>
      <c r="CK203" s="50">
        <v>0</v>
      </c>
      <c r="CL203" s="41">
        <f t="shared" si="79"/>
        <v>0</v>
      </c>
      <c r="CM203" s="41">
        <v>0</v>
      </c>
      <c r="CN203" s="50">
        <v>0</v>
      </c>
      <c r="CO203" s="41">
        <v>0</v>
      </c>
      <c r="CP203" s="41">
        <f t="shared" si="80"/>
        <v>0</v>
      </c>
      <c r="CQ203" s="41">
        <v>0</v>
      </c>
      <c r="CR203" s="50">
        <v>0</v>
      </c>
      <c r="CS203" s="41">
        <f t="shared" si="78"/>
        <v>0</v>
      </c>
    </row>
    <row r="204" spans="1:99" hidden="1">
      <c r="A204" s="39" t="s">
        <v>217</v>
      </c>
      <c r="B204" s="39" t="s">
        <v>218</v>
      </c>
      <c r="C204" s="39" t="s">
        <v>219</v>
      </c>
      <c r="D204" s="57">
        <v>89031301053</v>
      </c>
      <c r="E204" s="39" t="s">
        <v>223</v>
      </c>
      <c r="H204" s="51">
        <v>316</v>
      </c>
      <c r="I204" s="49">
        <v>0</v>
      </c>
      <c r="J204" s="49">
        <v>0</v>
      </c>
      <c r="K204" s="51">
        <f t="shared" si="85"/>
        <v>316</v>
      </c>
      <c r="L204" s="51">
        <f t="shared" si="77"/>
        <v>-7</v>
      </c>
      <c r="M204" s="51">
        <v>309</v>
      </c>
      <c r="N204" s="52"/>
      <c r="O204" s="41">
        <v>325</v>
      </c>
      <c r="P204" s="50">
        <v>0</v>
      </c>
      <c r="Q204" s="50">
        <v>0</v>
      </c>
      <c r="R204" s="50">
        <v>0</v>
      </c>
      <c r="S204" s="41">
        <v>0</v>
      </c>
      <c r="T204" s="41">
        <v>325</v>
      </c>
      <c r="U204" s="41"/>
      <c r="V204" s="41">
        <v>338</v>
      </c>
      <c r="W204" s="50">
        <v>0</v>
      </c>
      <c r="X204" s="50">
        <v>0</v>
      </c>
      <c r="Y204" s="41">
        <f t="shared" si="86"/>
        <v>12</v>
      </c>
      <c r="Z204" s="41">
        <v>350</v>
      </c>
      <c r="AA204" s="41"/>
      <c r="AB204" s="41">
        <v>353</v>
      </c>
      <c r="AC204" s="41">
        <v>0</v>
      </c>
      <c r="AD204" s="50">
        <v>10</v>
      </c>
      <c r="AE204" s="41">
        <v>0</v>
      </c>
      <c r="AF204" s="41">
        <v>0</v>
      </c>
      <c r="AG204" s="41">
        <f t="shared" si="75"/>
        <v>0</v>
      </c>
      <c r="AH204" s="41">
        <v>363</v>
      </c>
      <c r="AI204" s="41"/>
      <c r="AJ204" s="41">
        <v>339</v>
      </c>
      <c r="AK204" s="50">
        <v>0</v>
      </c>
      <c r="AL204" s="41">
        <v>0</v>
      </c>
      <c r="AM204" s="50">
        <v>0</v>
      </c>
      <c r="AN204" s="41">
        <f t="shared" si="87"/>
        <v>2</v>
      </c>
      <c r="AO204" s="41">
        <v>341</v>
      </c>
      <c r="AP204" s="41"/>
      <c r="AQ204" s="53">
        <v>340</v>
      </c>
      <c r="AR204" s="54">
        <v>0</v>
      </c>
      <c r="AS204" s="54">
        <v>0</v>
      </c>
      <c r="AT204" s="53">
        <v>0</v>
      </c>
      <c r="AU204" s="41">
        <f t="shared" si="88"/>
        <v>18</v>
      </c>
      <c r="AV204" s="41">
        <v>358</v>
      </c>
      <c r="AW204" s="41"/>
      <c r="AX204" s="41">
        <v>402</v>
      </c>
      <c r="AY204" s="54">
        <v>0</v>
      </c>
      <c r="AZ204" s="50">
        <v>0</v>
      </c>
      <c r="BA204" s="50">
        <v>0</v>
      </c>
      <c r="BB204" s="41">
        <v>0</v>
      </c>
      <c r="BC204" s="41">
        <f t="shared" si="90"/>
        <v>0</v>
      </c>
      <c r="BD204" s="41">
        <v>402</v>
      </c>
      <c r="BF204" s="41">
        <v>439</v>
      </c>
      <c r="BG204" s="50">
        <v>0</v>
      </c>
      <c r="BH204" s="41">
        <v>0</v>
      </c>
      <c r="BI204" s="50">
        <v>0</v>
      </c>
      <c r="BJ204" s="41">
        <v>0</v>
      </c>
      <c r="BK204" s="41">
        <f t="shared" si="89"/>
        <v>0</v>
      </c>
      <c r="BL204" s="41">
        <v>439</v>
      </c>
      <c r="BM204" s="55"/>
      <c r="BN204" s="41">
        <v>411</v>
      </c>
      <c r="BO204" s="50">
        <v>0</v>
      </c>
      <c r="BP204" s="50">
        <v>0</v>
      </c>
      <c r="BQ204" s="41">
        <v>0</v>
      </c>
      <c r="BR204" s="41">
        <v>0</v>
      </c>
      <c r="BS204" s="41">
        <f t="shared" si="81"/>
        <v>10</v>
      </c>
      <c r="BT204" s="41">
        <v>421</v>
      </c>
      <c r="BV204" s="41">
        <v>394</v>
      </c>
      <c r="BW204" s="50">
        <v>0</v>
      </c>
      <c r="BX204" s="41">
        <f t="shared" si="83"/>
        <v>-1</v>
      </c>
      <c r="BY204" s="41">
        <v>393</v>
      </c>
      <c r="CA204" s="41">
        <v>410</v>
      </c>
      <c r="CB204" s="50">
        <v>0</v>
      </c>
      <c r="CC204" s="41">
        <f t="shared" si="84"/>
        <v>0</v>
      </c>
      <c r="CD204" s="41">
        <v>410</v>
      </c>
      <c r="CF204" s="41">
        <v>378</v>
      </c>
      <c r="CG204" s="50">
        <v>0</v>
      </c>
      <c r="CH204" s="41">
        <v>0</v>
      </c>
      <c r="CI204" s="41">
        <f t="shared" si="82"/>
        <v>378</v>
      </c>
      <c r="CJ204" s="41">
        <v>377</v>
      </c>
      <c r="CK204" s="50">
        <v>0</v>
      </c>
      <c r="CL204" s="41">
        <f t="shared" si="79"/>
        <v>377</v>
      </c>
      <c r="CM204" s="41">
        <v>370</v>
      </c>
      <c r="CN204" s="50">
        <v>0</v>
      </c>
      <c r="CO204" s="41">
        <v>0</v>
      </c>
      <c r="CP204" s="41">
        <f t="shared" si="80"/>
        <v>370</v>
      </c>
      <c r="CQ204" s="41">
        <v>364</v>
      </c>
      <c r="CR204" s="50">
        <v>0</v>
      </c>
      <c r="CS204" s="41">
        <f t="shared" si="78"/>
        <v>364</v>
      </c>
      <c r="CU204" s="44" t="s">
        <v>557</v>
      </c>
    </row>
    <row r="205" spans="1:99" hidden="1">
      <c r="A205" s="39" t="s">
        <v>217</v>
      </c>
      <c r="B205" s="39" t="s">
        <v>218</v>
      </c>
      <c r="C205" s="39" t="s">
        <v>219</v>
      </c>
      <c r="D205" s="56">
        <v>89031401053</v>
      </c>
      <c r="E205" s="39" t="s">
        <v>224</v>
      </c>
      <c r="H205" s="51">
        <v>688</v>
      </c>
      <c r="I205" s="49">
        <v>0</v>
      </c>
      <c r="J205" s="49">
        <v>0</v>
      </c>
      <c r="K205" s="51">
        <f t="shared" si="85"/>
        <v>688</v>
      </c>
      <c r="L205" s="51">
        <f t="shared" si="77"/>
        <v>0</v>
      </c>
      <c r="M205" s="51">
        <v>688</v>
      </c>
      <c r="N205" s="52"/>
      <c r="O205" s="41">
        <v>702</v>
      </c>
      <c r="P205" s="50">
        <v>0</v>
      </c>
      <c r="Q205" s="50">
        <v>0</v>
      </c>
      <c r="R205" s="50">
        <v>0</v>
      </c>
      <c r="S205" s="41">
        <v>0</v>
      </c>
      <c r="T205" s="41">
        <v>702</v>
      </c>
      <c r="U205" s="41"/>
      <c r="V205" s="41">
        <v>762</v>
      </c>
      <c r="W205" s="50">
        <v>0</v>
      </c>
      <c r="X205" s="50">
        <v>0</v>
      </c>
      <c r="Y205" s="41">
        <f t="shared" si="86"/>
        <v>0</v>
      </c>
      <c r="Z205" s="41">
        <v>762</v>
      </c>
      <c r="AA205" s="41"/>
      <c r="AB205" s="41">
        <v>801</v>
      </c>
      <c r="AC205" s="41">
        <v>0</v>
      </c>
      <c r="AD205" s="50">
        <v>0</v>
      </c>
      <c r="AE205" s="41">
        <v>0</v>
      </c>
      <c r="AF205" s="41">
        <v>0</v>
      </c>
      <c r="AG205" s="41">
        <f t="shared" si="75"/>
        <v>0</v>
      </c>
      <c r="AH205" s="41">
        <v>801</v>
      </c>
      <c r="AI205" s="41"/>
      <c r="AJ205" s="41">
        <v>781</v>
      </c>
      <c r="AK205" s="50">
        <v>0</v>
      </c>
      <c r="AL205" s="41">
        <v>0</v>
      </c>
      <c r="AM205" s="50">
        <v>0</v>
      </c>
      <c r="AN205" s="41">
        <f t="shared" si="87"/>
        <v>1</v>
      </c>
      <c r="AO205" s="41">
        <v>782</v>
      </c>
      <c r="AP205" s="41"/>
      <c r="AQ205" s="53">
        <v>781</v>
      </c>
      <c r="AR205" s="54">
        <v>0</v>
      </c>
      <c r="AS205" s="54">
        <v>0</v>
      </c>
      <c r="AT205" s="53">
        <v>0</v>
      </c>
      <c r="AU205" s="41">
        <f t="shared" si="88"/>
        <v>1</v>
      </c>
      <c r="AV205" s="41">
        <v>782</v>
      </c>
      <c r="AW205" s="41"/>
      <c r="AX205" s="41">
        <v>775</v>
      </c>
      <c r="AY205" s="54">
        <v>0</v>
      </c>
      <c r="AZ205" s="50">
        <v>0</v>
      </c>
      <c r="BA205" s="50">
        <v>0</v>
      </c>
      <c r="BB205" s="41">
        <v>0</v>
      </c>
      <c r="BC205" s="41">
        <f t="shared" si="90"/>
        <v>0</v>
      </c>
      <c r="BD205" s="41">
        <v>775</v>
      </c>
      <c r="BF205" s="41">
        <v>828</v>
      </c>
      <c r="BG205" s="50">
        <v>0</v>
      </c>
      <c r="BH205" s="41">
        <v>0</v>
      </c>
      <c r="BI205" s="50">
        <v>0</v>
      </c>
      <c r="BJ205" s="41">
        <v>0</v>
      </c>
      <c r="BK205" s="41">
        <f t="shared" si="89"/>
        <v>0</v>
      </c>
      <c r="BL205" s="41">
        <v>828</v>
      </c>
      <c r="BM205" s="55"/>
      <c r="BN205" s="41">
        <v>945</v>
      </c>
      <c r="BO205" s="50">
        <v>0</v>
      </c>
      <c r="BP205" s="50">
        <v>0</v>
      </c>
      <c r="BQ205" s="41">
        <v>0</v>
      </c>
      <c r="BR205" s="41">
        <v>0</v>
      </c>
      <c r="BS205" s="41">
        <f t="shared" si="81"/>
        <v>0</v>
      </c>
      <c r="BT205" s="41">
        <v>945</v>
      </c>
      <c r="BV205" s="41">
        <v>966</v>
      </c>
      <c r="BW205" s="50">
        <v>0</v>
      </c>
      <c r="BX205" s="41">
        <f t="shared" si="83"/>
        <v>7</v>
      </c>
      <c r="BY205" s="41">
        <v>973</v>
      </c>
      <c r="CA205" s="41">
        <v>1080</v>
      </c>
      <c r="CB205" s="50">
        <v>0</v>
      </c>
      <c r="CC205" s="41">
        <f t="shared" si="84"/>
        <v>0</v>
      </c>
      <c r="CD205" s="41">
        <v>1080</v>
      </c>
      <c r="CF205" s="41">
        <v>994</v>
      </c>
      <c r="CG205" s="50">
        <v>0</v>
      </c>
      <c r="CH205" s="41">
        <v>0</v>
      </c>
      <c r="CI205" s="41">
        <f t="shared" si="82"/>
        <v>994</v>
      </c>
      <c r="CJ205" s="41">
        <v>1095</v>
      </c>
      <c r="CK205" s="50">
        <v>0</v>
      </c>
      <c r="CL205" s="41">
        <f t="shared" si="79"/>
        <v>1095</v>
      </c>
      <c r="CM205" s="41">
        <v>1234</v>
      </c>
      <c r="CN205" s="50">
        <v>0</v>
      </c>
      <c r="CO205" s="41">
        <v>0</v>
      </c>
      <c r="CP205" s="41">
        <f t="shared" si="80"/>
        <v>1234</v>
      </c>
      <c r="CQ205" s="41">
        <v>1375</v>
      </c>
      <c r="CR205" s="50">
        <v>0</v>
      </c>
      <c r="CS205" s="41">
        <f t="shared" si="78"/>
        <v>1375</v>
      </c>
      <c r="CU205" s="39" t="s">
        <v>558</v>
      </c>
    </row>
    <row r="206" spans="1:99" hidden="1">
      <c r="A206" s="39" t="s">
        <v>217</v>
      </c>
      <c r="B206" s="39" t="s">
        <v>225</v>
      </c>
      <c r="C206" s="39" t="s">
        <v>226</v>
      </c>
      <c r="D206" s="56"/>
      <c r="E206" s="39" t="s">
        <v>227</v>
      </c>
      <c r="H206" s="51">
        <f>5235-16</f>
        <v>5219</v>
      </c>
      <c r="I206" s="49">
        <v>8</v>
      </c>
      <c r="J206" s="49">
        <v>0</v>
      </c>
      <c r="K206" s="51">
        <f t="shared" si="85"/>
        <v>5227</v>
      </c>
      <c r="L206" s="51">
        <f t="shared" si="77"/>
        <v>-13</v>
      </c>
      <c r="M206" s="51">
        <v>5214</v>
      </c>
      <c r="N206" s="52"/>
      <c r="O206" s="41">
        <v>5429</v>
      </c>
      <c r="P206" s="50">
        <v>0</v>
      </c>
      <c r="Q206" s="50">
        <v>0</v>
      </c>
      <c r="R206" s="50">
        <v>6</v>
      </c>
      <c r="S206" s="41">
        <v>-1</v>
      </c>
      <c r="T206" s="41">
        <v>5434</v>
      </c>
      <c r="U206" s="41"/>
      <c r="V206" s="41">
        <v>0</v>
      </c>
      <c r="W206" s="50">
        <v>0</v>
      </c>
      <c r="X206" s="50">
        <v>0</v>
      </c>
      <c r="Y206" s="41">
        <f t="shared" si="86"/>
        <v>0</v>
      </c>
      <c r="Z206" s="41">
        <v>0</v>
      </c>
      <c r="AA206" s="41"/>
      <c r="AB206" s="41">
        <v>0</v>
      </c>
      <c r="AC206" s="41">
        <v>0</v>
      </c>
      <c r="AD206" s="50">
        <v>0</v>
      </c>
      <c r="AE206" s="41">
        <v>0</v>
      </c>
      <c r="AF206" s="41">
        <v>0</v>
      </c>
      <c r="AG206" s="41">
        <f t="shared" si="75"/>
        <v>0</v>
      </c>
      <c r="AH206" s="41">
        <v>0</v>
      </c>
      <c r="AI206" s="41"/>
      <c r="AJ206" s="41">
        <v>0</v>
      </c>
      <c r="AK206" s="50">
        <v>0</v>
      </c>
      <c r="AL206" s="41">
        <v>0</v>
      </c>
      <c r="AM206" s="50">
        <v>0</v>
      </c>
      <c r="AN206" s="41">
        <f t="shared" si="87"/>
        <v>0</v>
      </c>
      <c r="AO206" s="41">
        <v>0</v>
      </c>
      <c r="AP206" s="41"/>
      <c r="AQ206" s="53">
        <v>0</v>
      </c>
      <c r="AR206" s="54">
        <v>0</v>
      </c>
      <c r="AS206" s="54">
        <v>0</v>
      </c>
      <c r="AT206" s="53">
        <v>0</v>
      </c>
      <c r="AU206" s="41">
        <f t="shared" si="88"/>
        <v>0</v>
      </c>
      <c r="AV206" s="41">
        <v>0</v>
      </c>
      <c r="AW206" s="41"/>
      <c r="AX206" s="41">
        <v>0</v>
      </c>
      <c r="AY206" s="54">
        <v>0</v>
      </c>
      <c r="AZ206" s="50">
        <v>0</v>
      </c>
      <c r="BA206" s="50">
        <v>0</v>
      </c>
      <c r="BB206" s="41">
        <v>0</v>
      </c>
      <c r="BC206" s="41">
        <f t="shared" si="90"/>
        <v>0</v>
      </c>
      <c r="BD206" s="41">
        <v>0</v>
      </c>
      <c r="BF206" s="41">
        <v>0</v>
      </c>
      <c r="BG206" s="50">
        <v>0</v>
      </c>
      <c r="BH206" s="41">
        <v>0</v>
      </c>
      <c r="BI206" s="50">
        <v>0</v>
      </c>
      <c r="BJ206" s="41">
        <v>0</v>
      </c>
      <c r="BK206" s="41">
        <f t="shared" si="89"/>
        <v>0</v>
      </c>
      <c r="BL206" s="41">
        <v>0</v>
      </c>
      <c r="BM206" s="55"/>
      <c r="BN206" s="41">
        <v>0</v>
      </c>
      <c r="BO206" s="50">
        <v>0</v>
      </c>
      <c r="BP206" s="50">
        <v>0</v>
      </c>
      <c r="BQ206" s="41">
        <v>0</v>
      </c>
      <c r="BR206" s="41">
        <v>0</v>
      </c>
      <c r="BS206" s="41">
        <f t="shared" si="81"/>
        <v>0</v>
      </c>
      <c r="BT206" s="41">
        <v>0</v>
      </c>
      <c r="BV206" s="41">
        <v>0</v>
      </c>
      <c r="BW206" s="50">
        <v>0</v>
      </c>
      <c r="BX206" s="41">
        <f t="shared" si="83"/>
        <v>0</v>
      </c>
      <c r="BY206" s="41">
        <v>0</v>
      </c>
      <c r="CA206" s="41">
        <v>0</v>
      </c>
      <c r="CB206" s="50">
        <v>0</v>
      </c>
      <c r="CC206" s="41">
        <f t="shared" si="84"/>
        <v>0</v>
      </c>
      <c r="CD206" s="41">
        <v>0</v>
      </c>
      <c r="CF206" s="41">
        <v>0</v>
      </c>
      <c r="CG206" s="50">
        <v>0</v>
      </c>
      <c r="CH206" s="41">
        <v>0</v>
      </c>
      <c r="CI206" s="41">
        <f t="shared" si="82"/>
        <v>0</v>
      </c>
      <c r="CJ206" s="41">
        <v>0</v>
      </c>
      <c r="CK206" s="50">
        <v>0</v>
      </c>
      <c r="CL206" s="41">
        <f t="shared" si="79"/>
        <v>0</v>
      </c>
      <c r="CM206" s="41">
        <v>0</v>
      </c>
      <c r="CN206" s="50">
        <v>0</v>
      </c>
      <c r="CO206" s="41">
        <v>0</v>
      </c>
      <c r="CP206" s="41">
        <f t="shared" si="80"/>
        <v>0</v>
      </c>
      <c r="CQ206" s="41">
        <v>0</v>
      </c>
      <c r="CR206" s="50">
        <v>0</v>
      </c>
      <c r="CS206" s="41">
        <f t="shared" si="78"/>
        <v>0</v>
      </c>
    </row>
    <row r="207" spans="1:99" hidden="1">
      <c r="A207" s="39" t="s">
        <v>217</v>
      </c>
      <c r="B207" s="39" t="s">
        <v>225</v>
      </c>
      <c r="C207" s="39" t="s">
        <v>226</v>
      </c>
      <c r="D207" s="56">
        <v>89024301053</v>
      </c>
      <c r="E207" s="39" t="s">
        <v>228</v>
      </c>
      <c r="H207" s="51">
        <v>544</v>
      </c>
      <c r="I207" s="49">
        <v>4</v>
      </c>
      <c r="J207" s="49">
        <v>7</v>
      </c>
      <c r="K207" s="51">
        <f t="shared" si="85"/>
        <v>555</v>
      </c>
      <c r="L207" s="51">
        <f t="shared" si="77"/>
        <v>-4</v>
      </c>
      <c r="M207" s="51">
        <v>551</v>
      </c>
      <c r="N207" s="52"/>
      <c r="O207" s="41">
        <v>513</v>
      </c>
      <c r="P207" s="50">
        <v>0</v>
      </c>
      <c r="Q207" s="50">
        <v>0</v>
      </c>
      <c r="R207" s="50">
        <v>4</v>
      </c>
      <c r="S207" s="41">
        <v>0</v>
      </c>
      <c r="T207" s="41">
        <v>517</v>
      </c>
      <c r="U207" s="41"/>
      <c r="V207" s="41">
        <v>671</v>
      </c>
      <c r="W207" s="50">
        <v>3</v>
      </c>
      <c r="X207" s="50">
        <v>0</v>
      </c>
      <c r="Y207" s="41">
        <f t="shared" si="86"/>
        <v>23</v>
      </c>
      <c r="Z207" s="41">
        <v>697</v>
      </c>
      <c r="AA207" s="41"/>
      <c r="AB207" s="41">
        <v>687</v>
      </c>
      <c r="AC207" s="41">
        <v>0</v>
      </c>
      <c r="AD207" s="50">
        <v>0</v>
      </c>
      <c r="AE207" s="41">
        <v>0</v>
      </c>
      <c r="AF207" s="41">
        <v>0</v>
      </c>
      <c r="AG207" s="41">
        <f t="shared" si="75"/>
        <v>0</v>
      </c>
      <c r="AH207" s="41">
        <v>687</v>
      </c>
      <c r="AI207" s="41"/>
      <c r="AJ207" s="41">
        <v>636</v>
      </c>
      <c r="AK207" s="50">
        <v>0</v>
      </c>
      <c r="AL207" s="41">
        <v>0</v>
      </c>
      <c r="AM207" s="50">
        <v>0</v>
      </c>
      <c r="AN207" s="41">
        <f t="shared" si="87"/>
        <v>0</v>
      </c>
      <c r="AO207" s="41">
        <v>636</v>
      </c>
      <c r="AP207" s="41"/>
      <c r="AQ207" s="53">
        <v>636</v>
      </c>
      <c r="AR207" s="54">
        <v>0</v>
      </c>
      <c r="AS207" s="54">
        <v>0</v>
      </c>
      <c r="AT207" s="53">
        <v>0</v>
      </c>
      <c r="AU207" s="41">
        <f t="shared" si="88"/>
        <v>0</v>
      </c>
      <c r="AV207" s="41">
        <v>636</v>
      </c>
      <c r="AW207" s="41"/>
      <c r="AX207" s="41">
        <v>754</v>
      </c>
      <c r="AY207" s="54">
        <v>0</v>
      </c>
      <c r="AZ207" s="50">
        <v>0</v>
      </c>
      <c r="BA207" s="50">
        <v>0</v>
      </c>
      <c r="BB207" s="41">
        <v>0</v>
      </c>
      <c r="BC207" s="41">
        <f t="shared" si="90"/>
        <v>0</v>
      </c>
      <c r="BD207" s="41">
        <v>754</v>
      </c>
      <c r="BF207" s="41">
        <v>1314</v>
      </c>
      <c r="BG207" s="50">
        <v>0</v>
      </c>
      <c r="BH207" s="41">
        <v>0</v>
      </c>
      <c r="BI207" s="50">
        <v>0</v>
      </c>
      <c r="BJ207" s="41">
        <v>0</v>
      </c>
      <c r="BK207" s="41">
        <f t="shared" si="89"/>
        <v>0</v>
      </c>
      <c r="BL207" s="41">
        <v>1314</v>
      </c>
      <c r="BM207" s="55"/>
      <c r="BN207" s="41">
        <v>847</v>
      </c>
      <c r="BO207" s="50">
        <v>0</v>
      </c>
      <c r="BP207" s="50">
        <v>0</v>
      </c>
      <c r="BQ207" s="41">
        <v>0</v>
      </c>
      <c r="BR207" s="41">
        <v>0</v>
      </c>
      <c r="BS207" s="41">
        <f t="shared" si="81"/>
        <v>0</v>
      </c>
      <c r="BT207" s="41">
        <v>847</v>
      </c>
      <c r="BV207" s="41">
        <v>787</v>
      </c>
      <c r="BW207" s="50">
        <v>0</v>
      </c>
      <c r="BX207" s="41">
        <f t="shared" si="83"/>
        <v>9</v>
      </c>
      <c r="BY207" s="41">
        <v>796</v>
      </c>
      <c r="CA207" s="41">
        <v>823</v>
      </c>
      <c r="CB207" s="50">
        <v>0</v>
      </c>
      <c r="CC207" s="41">
        <f t="shared" si="84"/>
        <v>0</v>
      </c>
      <c r="CD207" s="41">
        <v>823</v>
      </c>
      <c r="CF207" s="41">
        <v>755</v>
      </c>
      <c r="CG207" s="50">
        <v>0</v>
      </c>
      <c r="CH207" s="41">
        <v>0</v>
      </c>
      <c r="CI207" s="41">
        <f t="shared" si="82"/>
        <v>755</v>
      </c>
      <c r="CJ207" s="41">
        <v>755</v>
      </c>
      <c r="CK207" s="50">
        <v>0</v>
      </c>
      <c r="CL207" s="41">
        <f t="shared" si="79"/>
        <v>755</v>
      </c>
      <c r="CM207" s="41">
        <v>753</v>
      </c>
      <c r="CN207" s="50">
        <v>0</v>
      </c>
      <c r="CO207" s="41">
        <v>0</v>
      </c>
      <c r="CP207" s="41">
        <f t="shared" si="80"/>
        <v>753</v>
      </c>
      <c r="CQ207" s="41">
        <v>776</v>
      </c>
      <c r="CR207" s="50">
        <v>0</v>
      </c>
      <c r="CS207" s="41">
        <f t="shared" si="78"/>
        <v>776</v>
      </c>
      <c r="CU207" s="39" t="s">
        <v>559</v>
      </c>
    </row>
    <row r="208" spans="1:99" hidden="1">
      <c r="A208" s="39" t="s">
        <v>217</v>
      </c>
      <c r="B208" s="39" t="s">
        <v>225</v>
      </c>
      <c r="C208" s="39" t="s">
        <v>226</v>
      </c>
      <c r="D208" s="56"/>
      <c r="E208" s="39" t="s">
        <v>229</v>
      </c>
      <c r="H208" s="51">
        <v>280</v>
      </c>
      <c r="I208" s="49">
        <v>0</v>
      </c>
      <c r="J208" s="49">
        <v>0</v>
      </c>
      <c r="K208" s="51">
        <f t="shared" si="85"/>
        <v>280</v>
      </c>
      <c r="L208" s="51">
        <f t="shared" si="77"/>
        <v>0</v>
      </c>
      <c r="M208" s="51">
        <v>280</v>
      </c>
      <c r="N208" s="52"/>
      <c r="O208" s="41">
        <v>313</v>
      </c>
      <c r="P208" s="50">
        <v>0</v>
      </c>
      <c r="Q208" s="50">
        <v>0</v>
      </c>
      <c r="R208" s="50">
        <v>0</v>
      </c>
      <c r="S208" s="41">
        <v>0</v>
      </c>
      <c r="T208" s="41">
        <v>313</v>
      </c>
      <c r="U208" s="41"/>
      <c r="V208" s="41">
        <v>388</v>
      </c>
      <c r="W208" s="50">
        <v>0</v>
      </c>
      <c r="X208" s="50">
        <v>0</v>
      </c>
      <c r="Y208" s="41">
        <f t="shared" si="86"/>
        <v>0</v>
      </c>
      <c r="Z208" s="41">
        <v>388</v>
      </c>
      <c r="AA208" s="41"/>
      <c r="AB208" s="41">
        <v>229</v>
      </c>
      <c r="AC208" s="41">
        <v>0</v>
      </c>
      <c r="AD208" s="50">
        <v>0</v>
      </c>
      <c r="AE208" s="41">
        <v>0</v>
      </c>
      <c r="AF208" s="41">
        <v>0</v>
      </c>
      <c r="AG208" s="41">
        <f t="shared" si="75"/>
        <v>0</v>
      </c>
      <c r="AH208" s="41">
        <v>229</v>
      </c>
      <c r="AI208" s="41"/>
      <c r="AJ208" s="41">
        <v>346</v>
      </c>
      <c r="AK208" s="50">
        <v>0</v>
      </c>
      <c r="AL208" s="41">
        <v>0</v>
      </c>
      <c r="AM208" s="50">
        <v>0</v>
      </c>
      <c r="AN208" s="41">
        <f t="shared" si="87"/>
        <v>0</v>
      </c>
      <c r="AO208" s="41">
        <v>346</v>
      </c>
      <c r="AP208" s="41"/>
      <c r="AQ208" s="53">
        <v>346</v>
      </c>
      <c r="AR208" s="54">
        <v>0</v>
      </c>
      <c r="AS208" s="54">
        <v>0</v>
      </c>
      <c r="AT208" s="53">
        <v>0</v>
      </c>
      <c r="AU208" s="41">
        <f t="shared" si="88"/>
        <v>1</v>
      </c>
      <c r="AV208" s="41">
        <v>347</v>
      </c>
      <c r="AW208" s="41"/>
      <c r="AX208" s="41">
        <v>199</v>
      </c>
      <c r="AY208" s="54">
        <v>0</v>
      </c>
      <c r="AZ208" s="50">
        <v>0</v>
      </c>
      <c r="BA208" s="50">
        <v>0</v>
      </c>
      <c r="BB208" s="41">
        <v>0</v>
      </c>
      <c r="BC208" s="41">
        <f t="shared" si="90"/>
        <v>0</v>
      </c>
      <c r="BD208" s="41">
        <v>199</v>
      </c>
      <c r="BF208" s="41">
        <v>143</v>
      </c>
      <c r="BG208" s="50">
        <v>0</v>
      </c>
      <c r="BH208" s="41">
        <v>0</v>
      </c>
      <c r="BI208" s="50">
        <v>0</v>
      </c>
      <c r="BJ208" s="41">
        <v>0</v>
      </c>
      <c r="BK208" s="41">
        <f t="shared" si="89"/>
        <v>0</v>
      </c>
      <c r="BL208" s="41">
        <v>143</v>
      </c>
      <c r="BM208" s="55"/>
      <c r="BN208" s="41">
        <v>98</v>
      </c>
      <c r="BO208" s="50">
        <v>0</v>
      </c>
      <c r="BP208" s="50">
        <v>0</v>
      </c>
      <c r="BQ208" s="41">
        <v>0</v>
      </c>
      <c r="BR208" s="41">
        <v>0</v>
      </c>
      <c r="BS208" s="41">
        <f t="shared" si="81"/>
        <v>0</v>
      </c>
      <c r="BT208" s="41">
        <v>98</v>
      </c>
      <c r="BV208" s="41">
        <v>0</v>
      </c>
      <c r="BW208" s="50">
        <v>0</v>
      </c>
      <c r="BX208" s="41">
        <f t="shared" si="83"/>
        <v>0</v>
      </c>
      <c r="BY208" s="41">
        <v>0</v>
      </c>
      <c r="CA208" s="41">
        <v>0</v>
      </c>
      <c r="CB208" s="50">
        <v>0</v>
      </c>
      <c r="CC208" s="41">
        <f t="shared" si="84"/>
        <v>0</v>
      </c>
      <c r="CD208" s="41">
        <v>0</v>
      </c>
      <c r="CF208" s="41">
        <v>-1</v>
      </c>
      <c r="CG208" s="50">
        <v>0</v>
      </c>
      <c r="CH208" s="41">
        <v>0</v>
      </c>
      <c r="CI208" s="41">
        <f t="shared" si="82"/>
        <v>-1</v>
      </c>
      <c r="CJ208" s="41">
        <v>0</v>
      </c>
      <c r="CK208" s="50">
        <v>0</v>
      </c>
      <c r="CL208" s="41">
        <f t="shared" si="79"/>
        <v>0</v>
      </c>
      <c r="CM208" s="41">
        <v>0</v>
      </c>
      <c r="CN208" s="50">
        <v>0</v>
      </c>
      <c r="CO208" s="41">
        <v>0</v>
      </c>
      <c r="CP208" s="41">
        <f t="shared" si="80"/>
        <v>0</v>
      </c>
      <c r="CQ208" s="41">
        <v>0</v>
      </c>
      <c r="CR208" s="50">
        <v>0</v>
      </c>
      <c r="CS208" s="41">
        <f t="shared" si="78"/>
        <v>0</v>
      </c>
    </row>
    <row r="209" spans="1:99" hidden="1">
      <c r="A209" s="39" t="s">
        <v>217</v>
      </c>
      <c r="B209" s="39" t="s">
        <v>225</v>
      </c>
      <c r="C209" s="39" t="s">
        <v>226</v>
      </c>
      <c r="D209" s="56"/>
      <c r="E209" s="39" t="s">
        <v>230</v>
      </c>
      <c r="H209" s="51">
        <v>154</v>
      </c>
      <c r="I209" s="49">
        <v>0</v>
      </c>
      <c r="J209" s="49">
        <v>0</v>
      </c>
      <c r="K209" s="51">
        <f t="shared" si="85"/>
        <v>154</v>
      </c>
      <c r="L209" s="51">
        <f t="shared" si="77"/>
        <v>0</v>
      </c>
      <c r="M209" s="51">
        <v>154</v>
      </c>
      <c r="N209" s="52"/>
      <c r="O209" s="41">
        <v>157</v>
      </c>
      <c r="P209" s="50">
        <v>0</v>
      </c>
      <c r="Q209" s="50">
        <v>0</v>
      </c>
      <c r="R209" s="50">
        <v>0</v>
      </c>
      <c r="S209" s="41">
        <v>0</v>
      </c>
      <c r="T209" s="41">
        <v>157</v>
      </c>
      <c r="U209" s="41"/>
      <c r="V209" s="41">
        <v>970</v>
      </c>
      <c r="W209" s="50">
        <v>0</v>
      </c>
      <c r="X209" s="50">
        <v>0</v>
      </c>
      <c r="Y209" s="41">
        <f t="shared" si="86"/>
        <v>-2</v>
      </c>
      <c r="Z209" s="41">
        <v>968</v>
      </c>
      <c r="AA209" s="41"/>
      <c r="AB209" s="41">
        <v>930</v>
      </c>
      <c r="AC209" s="41">
        <v>0</v>
      </c>
      <c r="AD209" s="50">
        <v>0</v>
      </c>
      <c r="AE209" s="41">
        <v>0</v>
      </c>
      <c r="AF209" s="41">
        <v>0</v>
      </c>
      <c r="AG209" s="41">
        <f t="shared" si="75"/>
        <v>0</v>
      </c>
      <c r="AH209" s="41">
        <v>930</v>
      </c>
      <c r="AI209" s="41"/>
      <c r="AJ209" s="41">
        <v>0</v>
      </c>
      <c r="AK209" s="50">
        <v>0</v>
      </c>
      <c r="AL209" s="41">
        <v>0</v>
      </c>
      <c r="AM209" s="50">
        <v>0</v>
      </c>
      <c r="AN209" s="41">
        <f t="shared" si="87"/>
        <v>0</v>
      </c>
      <c r="AO209" s="41">
        <v>0</v>
      </c>
      <c r="AP209" s="41"/>
      <c r="AQ209" s="53">
        <v>0</v>
      </c>
      <c r="AR209" s="54">
        <v>0</v>
      </c>
      <c r="AS209" s="54">
        <v>0</v>
      </c>
      <c r="AT209" s="53">
        <v>0</v>
      </c>
      <c r="AU209" s="41">
        <f t="shared" si="88"/>
        <v>0</v>
      </c>
      <c r="AV209" s="41">
        <v>0</v>
      </c>
      <c r="AW209" s="41"/>
      <c r="AX209" s="41">
        <v>0</v>
      </c>
      <c r="AY209" s="54">
        <v>0</v>
      </c>
      <c r="AZ209" s="50">
        <v>0</v>
      </c>
      <c r="BA209" s="50">
        <v>0</v>
      </c>
      <c r="BB209" s="41">
        <v>0</v>
      </c>
      <c r="BC209" s="41">
        <f t="shared" si="90"/>
        <v>0</v>
      </c>
      <c r="BD209" s="41">
        <v>0</v>
      </c>
      <c r="BF209" s="41">
        <v>0</v>
      </c>
      <c r="BG209" s="50">
        <v>0</v>
      </c>
      <c r="BH209" s="41">
        <v>0</v>
      </c>
      <c r="BI209" s="50">
        <v>0</v>
      </c>
      <c r="BJ209" s="41">
        <v>0</v>
      </c>
      <c r="BK209" s="41">
        <f t="shared" si="89"/>
        <v>0</v>
      </c>
      <c r="BL209" s="41">
        <v>0</v>
      </c>
      <c r="BM209" s="55"/>
      <c r="BN209" s="41">
        <v>0</v>
      </c>
      <c r="BO209" s="50">
        <v>0</v>
      </c>
      <c r="BP209" s="50">
        <v>0</v>
      </c>
      <c r="BQ209" s="41">
        <v>0</v>
      </c>
      <c r="BR209" s="41">
        <v>0</v>
      </c>
      <c r="BS209" s="41">
        <f t="shared" si="81"/>
        <v>0</v>
      </c>
      <c r="BT209" s="41">
        <v>0</v>
      </c>
      <c r="BV209" s="41">
        <v>0</v>
      </c>
      <c r="BW209" s="50">
        <v>0</v>
      </c>
      <c r="BX209" s="41">
        <f t="shared" si="83"/>
        <v>0</v>
      </c>
      <c r="BY209" s="41">
        <v>0</v>
      </c>
      <c r="CA209" s="41">
        <v>0</v>
      </c>
      <c r="CB209" s="50">
        <v>0</v>
      </c>
      <c r="CC209" s="41">
        <f t="shared" si="84"/>
        <v>0</v>
      </c>
      <c r="CD209" s="41">
        <v>0</v>
      </c>
      <c r="CF209" s="41">
        <v>0</v>
      </c>
      <c r="CG209" s="50">
        <v>0</v>
      </c>
      <c r="CH209" s="41">
        <v>0</v>
      </c>
      <c r="CI209" s="41">
        <f t="shared" si="82"/>
        <v>0</v>
      </c>
      <c r="CJ209" s="41">
        <v>0</v>
      </c>
      <c r="CK209" s="50">
        <v>0</v>
      </c>
      <c r="CL209" s="41">
        <f t="shared" si="79"/>
        <v>0</v>
      </c>
      <c r="CM209" s="41">
        <v>0</v>
      </c>
      <c r="CN209" s="50">
        <v>0</v>
      </c>
      <c r="CO209" s="41">
        <v>0</v>
      </c>
      <c r="CP209" s="41">
        <f t="shared" si="80"/>
        <v>0</v>
      </c>
      <c r="CQ209" s="41">
        <v>0</v>
      </c>
      <c r="CR209" s="50">
        <v>0</v>
      </c>
      <c r="CS209" s="41">
        <f t="shared" si="78"/>
        <v>0</v>
      </c>
    </row>
    <row r="210" spans="1:99" hidden="1">
      <c r="A210" s="39" t="s">
        <v>217</v>
      </c>
      <c r="B210" s="39" t="s">
        <v>225</v>
      </c>
      <c r="C210" s="39" t="s">
        <v>226</v>
      </c>
      <c r="D210" s="56">
        <v>89025101053</v>
      </c>
      <c r="E210" s="39" t="s">
        <v>231</v>
      </c>
      <c r="H210" s="51">
        <v>1093</v>
      </c>
      <c r="I210" s="49">
        <v>0</v>
      </c>
      <c r="J210" s="49">
        <v>0</v>
      </c>
      <c r="K210" s="51">
        <f t="shared" si="85"/>
        <v>1093</v>
      </c>
      <c r="L210" s="51">
        <f t="shared" si="77"/>
        <v>-1</v>
      </c>
      <c r="M210" s="51">
        <v>1092</v>
      </c>
      <c r="N210" s="52"/>
      <c r="O210" s="41">
        <v>1131</v>
      </c>
      <c r="P210" s="50">
        <v>0</v>
      </c>
      <c r="Q210" s="50">
        <v>0</v>
      </c>
      <c r="R210" s="50">
        <v>0</v>
      </c>
      <c r="S210" s="41">
        <v>0</v>
      </c>
      <c r="T210" s="41">
        <v>1131</v>
      </c>
      <c r="U210" s="41"/>
      <c r="V210" s="41">
        <v>5618</v>
      </c>
      <c r="W210" s="50">
        <v>0</v>
      </c>
      <c r="X210" s="50">
        <v>0</v>
      </c>
      <c r="Y210" s="41">
        <f t="shared" si="86"/>
        <v>-9</v>
      </c>
      <c r="Z210" s="41">
        <v>5609</v>
      </c>
      <c r="AA210" s="41"/>
      <c r="AB210" s="41">
        <v>5878</v>
      </c>
      <c r="AC210" s="41">
        <v>0</v>
      </c>
      <c r="AD210" s="50">
        <v>-4</v>
      </c>
      <c r="AE210" s="41">
        <v>0</v>
      </c>
      <c r="AF210" s="41">
        <v>0</v>
      </c>
      <c r="AG210" s="41">
        <f t="shared" si="75"/>
        <v>-4</v>
      </c>
      <c r="AH210" s="41">
        <v>5870</v>
      </c>
      <c r="AI210" s="41"/>
      <c r="AJ210" s="41">
        <v>6130</v>
      </c>
      <c r="AK210" s="50">
        <v>0</v>
      </c>
      <c r="AL210" s="41">
        <v>0</v>
      </c>
      <c r="AM210" s="50">
        <v>0</v>
      </c>
      <c r="AN210" s="41">
        <f t="shared" si="87"/>
        <v>-1</v>
      </c>
      <c r="AO210" s="41">
        <v>6129</v>
      </c>
      <c r="AP210" s="41"/>
      <c r="AQ210" s="53">
        <v>5732</v>
      </c>
      <c r="AR210" s="54">
        <v>0</v>
      </c>
      <c r="AS210" s="54">
        <v>0</v>
      </c>
      <c r="AT210" s="53">
        <v>0</v>
      </c>
      <c r="AU210" s="41">
        <f t="shared" si="88"/>
        <v>-1</v>
      </c>
      <c r="AV210" s="41">
        <v>5731</v>
      </c>
      <c r="AW210" s="41"/>
      <c r="AX210" s="41">
        <v>5350</v>
      </c>
      <c r="AY210" s="54">
        <v>0</v>
      </c>
      <c r="AZ210" s="50">
        <v>0</v>
      </c>
      <c r="BA210" s="50">
        <v>0</v>
      </c>
      <c r="BB210" s="41">
        <v>63</v>
      </c>
      <c r="BC210" s="41">
        <f t="shared" si="90"/>
        <v>-2</v>
      </c>
      <c r="BD210" s="41">
        <v>5411</v>
      </c>
      <c r="BF210" s="41">
        <v>5657</v>
      </c>
      <c r="BG210" s="50">
        <v>0</v>
      </c>
      <c r="BH210" s="41">
        <v>5127</v>
      </c>
      <c r="BI210" s="50">
        <v>0</v>
      </c>
      <c r="BJ210" s="41">
        <v>0</v>
      </c>
      <c r="BK210" s="41">
        <f t="shared" si="89"/>
        <v>-1</v>
      </c>
      <c r="BL210" s="41">
        <v>10783</v>
      </c>
      <c r="BM210" s="55"/>
      <c r="BN210" s="41">
        <v>5642</v>
      </c>
      <c r="BO210" s="50">
        <v>0</v>
      </c>
      <c r="BP210" s="50">
        <v>0</v>
      </c>
      <c r="BQ210" s="41">
        <v>0</v>
      </c>
      <c r="BR210" s="41">
        <v>0</v>
      </c>
      <c r="BS210" s="41">
        <f t="shared" si="81"/>
        <v>-2</v>
      </c>
      <c r="BT210" s="41">
        <v>5640</v>
      </c>
      <c r="BV210" s="41">
        <v>5004</v>
      </c>
      <c r="BW210" s="50">
        <v>0</v>
      </c>
      <c r="BX210" s="41">
        <f t="shared" si="83"/>
        <v>-26</v>
      </c>
      <c r="BY210" s="41">
        <v>4978</v>
      </c>
      <c r="CA210" s="41">
        <v>5003</v>
      </c>
      <c r="CB210" s="50">
        <v>0</v>
      </c>
      <c r="CC210" s="41">
        <f t="shared" si="84"/>
        <v>0</v>
      </c>
      <c r="CD210" s="41">
        <v>5003</v>
      </c>
      <c r="CF210" s="41">
        <v>4619</v>
      </c>
      <c r="CG210" s="50">
        <v>0</v>
      </c>
      <c r="CH210" s="41">
        <v>0</v>
      </c>
      <c r="CI210" s="41">
        <f t="shared" si="82"/>
        <v>4619</v>
      </c>
      <c r="CJ210" s="41">
        <v>5000</v>
      </c>
      <c r="CK210" s="50">
        <v>0</v>
      </c>
      <c r="CL210" s="41">
        <f t="shared" si="79"/>
        <v>5000</v>
      </c>
      <c r="CM210" s="41">
        <v>5453</v>
      </c>
      <c r="CN210" s="50">
        <v>0</v>
      </c>
      <c r="CO210" s="41">
        <v>0</v>
      </c>
      <c r="CP210" s="41">
        <f t="shared" si="80"/>
        <v>5453</v>
      </c>
      <c r="CQ210" s="41">
        <v>5290</v>
      </c>
      <c r="CR210" s="50">
        <v>0</v>
      </c>
      <c r="CS210" s="41">
        <f t="shared" si="78"/>
        <v>5290</v>
      </c>
      <c r="CU210" s="39" t="s">
        <v>560</v>
      </c>
    </row>
    <row r="211" spans="1:99" hidden="1">
      <c r="A211" s="39" t="s">
        <v>217</v>
      </c>
      <c r="B211" s="39" t="s">
        <v>232</v>
      </c>
      <c r="C211" s="39" t="s">
        <v>233</v>
      </c>
      <c r="D211" s="56"/>
      <c r="E211" s="39" t="s">
        <v>234</v>
      </c>
      <c r="H211" s="51">
        <v>0</v>
      </c>
      <c r="I211" s="49">
        <v>0</v>
      </c>
      <c r="J211" s="49">
        <v>0</v>
      </c>
      <c r="K211" s="51">
        <f t="shared" si="85"/>
        <v>0</v>
      </c>
      <c r="L211" s="51">
        <f t="shared" si="77"/>
        <v>0</v>
      </c>
      <c r="M211" s="51">
        <v>0</v>
      </c>
      <c r="N211" s="52"/>
      <c r="O211" s="41">
        <v>0</v>
      </c>
      <c r="P211" s="50">
        <v>0</v>
      </c>
      <c r="Q211" s="50">
        <v>0</v>
      </c>
      <c r="R211" s="50">
        <v>0</v>
      </c>
      <c r="S211" s="41">
        <v>0</v>
      </c>
      <c r="T211" s="41">
        <v>0</v>
      </c>
      <c r="U211" s="41"/>
      <c r="V211" s="41">
        <v>0</v>
      </c>
      <c r="W211" s="50">
        <v>0</v>
      </c>
      <c r="X211" s="50">
        <v>0</v>
      </c>
      <c r="Y211" s="41">
        <f t="shared" si="86"/>
        <v>0</v>
      </c>
      <c r="Z211" s="41">
        <v>0</v>
      </c>
      <c r="AA211" s="41"/>
      <c r="AB211" s="41">
        <v>25</v>
      </c>
      <c r="AC211" s="41">
        <v>0</v>
      </c>
      <c r="AD211" s="50">
        <v>0</v>
      </c>
      <c r="AE211" s="41">
        <v>0</v>
      </c>
      <c r="AF211" s="41">
        <v>0</v>
      </c>
      <c r="AG211" s="41">
        <f t="shared" si="75"/>
        <v>0</v>
      </c>
      <c r="AH211" s="41">
        <v>25</v>
      </c>
      <c r="AI211" s="41"/>
      <c r="AJ211" s="41">
        <v>7</v>
      </c>
      <c r="AK211" s="50">
        <v>0</v>
      </c>
      <c r="AL211" s="41">
        <v>0</v>
      </c>
      <c r="AM211" s="50">
        <v>0</v>
      </c>
      <c r="AN211" s="41">
        <f t="shared" si="87"/>
        <v>0</v>
      </c>
      <c r="AO211" s="41">
        <v>7</v>
      </c>
      <c r="AP211" s="41"/>
      <c r="AQ211" s="53">
        <v>6</v>
      </c>
      <c r="AR211" s="54">
        <v>0</v>
      </c>
      <c r="AS211" s="54">
        <v>0</v>
      </c>
      <c r="AT211" s="53">
        <v>0</v>
      </c>
      <c r="AU211" s="41">
        <f t="shared" si="88"/>
        <v>2</v>
      </c>
      <c r="AV211" s="41">
        <v>8</v>
      </c>
      <c r="AW211" s="41"/>
      <c r="AX211" s="41">
        <v>0</v>
      </c>
      <c r="AY211" s="54">
        <v>0</v>
      </c>
      <c r="AZ211" s="50">
        <v>0</v>
      </c>
      <c r="BA211" s="50">
        <v>0</v>
      </c>
      <c r="BB211" s="41">
        <v>0</v>
      </c>
      <c r="BC211" s="41">
        <f t="shared" si="90"/>
        <v>0</v>
      </c>
      <c r="BD211" s="41">
        <v>0</v>
      </c>
      <c r="BF211" s="41">
        <v>0</v>
      </c>
      <c r="BG211" s="50">
        <v>0</v>
      </c>
      <c r="BH211" s="41">
        <v>0</v>
      </c>
      <c r="BI211" s="50">
        <v>0</v>
      </c>
      <c r="BJ211" s="41">
        <v>0</v>
      </c>
      <c r="BK211" s="41">
        <f t="shared" si="89"/>
        <v>0</v>
      </c>
      <c r="BL211" s="41">
        <v>0</v>
      </c>
      <c r="BM211" s="55"/>
      <c r="BN211" s="41">
        <v>0</v>
      </c>
      <c r="BO211" s="50">
        <v>0</v>
      </c>
      <c r="BP211" s="50">
        <v>0</v>
      </c>
      <c r="BQ211" s="41">
        <v>0</v>
      </c>
      <c r="BR211" s="41">
        <v>0</v>
      </c>
      <c r="BS211" s="41">
        <f t="shared" si="81"/>
        <v>0</v>
      </c>
      <c r="BT211" s="41">
        <v>0</v>
      </c>
      <c r="BV211" s="41">
        <v>0</v>
      </c>
      <c r="BW211" s="50">
        <v>0</v>
      </c>
      <c r="BX211" s="41">
        <f t="shared" si="83"/>
        <v>0</v>
      </c>
      <c r="BY211" s="41">
        <v>0</v>
      </c>
      <c r="CA211" s="41">
        <v>0</v>
      </c>
      <c r="CB211" s="50">
        <v>0</v>
      </c>
      <c r="CC211" s="41">
        <f t="shared" si="84"/>
        <v>0</v>
      </c>
      <c r="CD211" s="41">
        <v>0</v>
      </c>
      <c r="CF211" s="41">
        <v>0</v>
      </c>
      <c r="CG211" s="50">
        <v>0</v>
      </c>
      <c r="CH211" s="41">
        <v>0</v>
      </c>
      <c r="CI211" s="41">
        <f t="shared" si="82"/>
        <v>0</v>
      </c>
      <c r="CJ211" s="41">
        <v>0</v>
      </c>
      <c r="CK211" s="50">
        <v>0</v>
      </c>
      <c r="CL211" s="41">
        <f t="shared" si="79"/>
        <v>0</v>
      </c>
      <c r="CM211" s="41">
        <v>0</v>
      </c>
      <c r="CN211" s="50">
        <v>0</v>
      </c>
      <c r="CO211" s="41">
        <v>0</v>
      </c>
      <c r="CP211" s="41">
        <f t="shared" si="80"/>
        <v>0</v>
      </c>
      <c r="CQ211" s="41">
        <v>0</v>
      </c>
      <c r="CR211" s="50">
        <v>0</v>
      </c>
      <c r="CS211" s="41">
        <f t="shared" si="78"/>
        <v>0</v>
      </c>
    </row>
    <row r="212" spans="1:99" hidden="1">
      <c r="A212" s="39" t="s">
        <v>217</v>
      </c>
      <c r="B212" s="39" t="s">
        <v>232</v>
      </c>
      <c r="C212" s="39" t="s">
        <v>233</v>
      </c>
      <c r="D212" s="56"/>
      <c r="E212" s="59" t="s">
        <v>235</v>
      </c>
      <c r="H212" s="51">
        <v>0</v>
      </c>
      <c r="I212" s="49">
        <v>0</v>
      </c>
      <c r="J212" s="49">
        <v>0</v>
      </c>
      <c r="K212" s="51">
        <f t="shared" si="85"/>
        <v>0</v>
      </c>
      <c r="L212" s="51">
        <f t="shared" si="77"/>
        <v>0</v>
      </c>
      <c r="M212" s="51">
        <v>0</v>
      </c>
      <c r="N212" s="52"/>
      <c r="O212" s="41">
        <v>0</v>
      </c>
      <c r="P212" s="50">
        <v>0</v>
      </c>
      <c r="Q212" s="50">
        <v>0</v>
      </c>
      <c r="R212" s="50">
        <v>0</v>
      </c>
      <c r="S212" s="41">
        <v>0</v>
      </c>
      <c r="T212" s="41">
        <v>0</v>
      </c>
      <c r="U212" s="41"/>
      <c r="V212" s="41">
        <v>0</v>
      </c>
      <c r="W212" s="50">
        <v>0</v>
      </c>
      <c r="X212" s="50">
        <v>0</v>
      </c>
      <c r="Y212" s="41">
        <f t="shared" si="86"/>
        <v>0</v>
      </c>
      <c r="Z212" s="41">
        <v>0</v>
      </c>
      <c r="AA212" s="41"/>
      <c r="AB212" s="41">
        <v>0</v>
      </c>
      <c r="AC212" s="41">
        <v>0</v>
      </c>
      <c r="AD212" s="50">
        <v>0</v>
      </c>
      <c r="AE212" s="41">
        <v>0</v>
      </c>
      <c r="AF212" s="41">
        <v>0</v>
      </c>
      <c r="AG212" s="41">
        <f t="shared" si="75"/>
        <v>0</v>
      </c>
      <c r="AH212" s="41">
        <v>0</v>
      </c>
      <c r="AI212" s="41"/>
      <c r="AJ212" s="41">
        <v>0</v>
      </c>
      <c r="AK212" s="50">
        <v>0</v>
      </c>
      <c r="AL212" s="41">
        <v>0</v>
      </c>
      <c r="AM212" s="50">
        <v>0</v>
      </c>
      <c r="AN212" s="41">
        <f t="shared" si="87"/>
        <v>0</v>
      </c>
      <c r="AO212" s="41">
        <v>0</v>
      </c>
      <c r="AP212" s="41"/>
      <c r="AQ212" s="53">
        <v>0</v>
      </c>
      <c r="AR212" s="54">
        <v>0</v>
      </c>
      <c r="AS212" s="54">
        <v>0</v>
      </c>
      <c r="AT212" s="53">
        <v>0</v>
      </c>
      <c r="AU212" s="41">
        <f t="shared" si="88"/>
        <v>0</v>
      </c>
      <c r="AV212" s="41">
        <v>0</v>
      </c>
      <c r="AW212" s="41"/>
      <c r="AX212" s="41">
        <v>6</v>
      </c>
      <c r="AY212" s="54">
        <v>0</v>
      </c>
      <c r="AZ212" s="50">
        <v>0</v>
      </c>
      <c r="BA212" s="50">
        <v>0</v>
      </c>
      <c r="BB212" s="41">
        <v>0</v>
      </c>
      <c r="BC212" s="41">
        <f t="shared" si="90"/>
        <v>0</v>
      </c>
      <c r="BD212" s="41">
        <v>6</v>
      </c>
      <c r="BF212" s="41">
        <v>0</v>
      </c>
      <c r="BG212" s="50">
        <v>0</v>
      </c>
      <c r="BH212" s="41">
        <v>0</v>
      </c>
      <c r="BI212" s="50">
        <v>0</v>
      </c>
      <c r="BJ212" s="41">
        <v>0</v>
      </c>
      <c r="BK212" s="41">
        <f t="shared" si="89"/>
        <v>6</v>
      </c>
      <c r="BL212" s="41">
        <v>6</v>
      </c>
      <c r="BM212" s="55"/>
      <c r="BN212" s="41">
        <v>6</v>
      </c>
      <c r="BO212" s="50">
        <v>0</v>
      </c>
      <c r="BP212" s="50">
        <v>0</v>
      </c>
      <c r="BQ212" s="41">
        <v>0</v>
      </c>
      <c r="BR212" s="41">
        <v>0</v>
      </c>
      <c r="BS212" s="41">
        <f t="shared" si="81"/>
        <v>-1</v>
      </c>
      <c r="BT212" s="41">
        <v>5</v>
      </c>
      <c r="BV212" s="41">
        <v>0</v>
      </c>
      <c r="BW212" s="50">
        <v>0</v>
      </c>
      <c r="BX212" s="41">
        <f t="shared" si="83"/>
        <v>5</v>
      </c>
      <c r="BY212" s="41">
        <v>5</v>
      </c>
      <c r="CA212" s="41">
        <v>5</v>
      </c>
      <c r="CB212" s="50">
        <v>0</v>
      </c>
      <c r="CC212" s="41">
        <f t="shared" si="84"/>
        <v>0</v>
      </c>
      <c r="CD212" s="41">
        <v>5</v>
      </c>
      <c r="CF212" s="41">
        <v>5</v>
      </c>
      <c r="CG212" s="50">
        <v>0</v>
      </c>
      <c r="CH212" s="41">
        <v>0</v>
      </c>
      <c r="CI212" s="41">
        <f t="shared" si="82"/>
        <v>5</v>
      </c>
      <c r="CJ212" s="41">
        <v>8</v>
      </c>
      <c r="CK212" s="50">
        <v>0</v>
      </c>
      <c r="CL212" s="41">
        <f t="shared" si="79"/>
        <v>8</v>
      </c>
      <c r="CM212" s="41">
        <v>0</v>
      </c>
      <c r="CN212" s="50">
        <v>0</v>
      </c>
      <c r="CO212" s="41">
        <v>0</v>
      </c>
      <c r="CP212" s="41">
        <f t="shared" si="80"/>
        <v>0</v>
      </c>
      <c r="CQ212" s="41">
        <v>0</v>
      </c>
      <c r="CR212" s="50">
        <v>0</v>
      </c>
      <c r="CS212" s="41">
        <f t="shared" si="78"/>
        <v>0</v>
      </c>
      <c r="CT212" s="59"/>
    </row>
    <row r="213" spans="1:99" ht="15" hidden="1">
      <c r="A213" s="39" t="s">
        <v>217</v>
      </c>
      <c r="B213" s="39" t="s">
        <v>232</v>
      </c>
      <c r="C213" s="39" t="s">
        <v>233</v>
      </c>
      <c r="D213" s="56">
        <v>89031901053</v>
      </c>
      <c r="E213" s="38" t="s">
        <v>561</v>
      </c>
      <c r="H213" s="51"/>
      <c r="I213" s="49"/>
      <c r="J213" s="49"/>
      <c r="K213" s="51"/>
      <c r="L213" s="51"/>
      <c r="M213" s="51"/>
      <c r="N213" s="52"/>
      <c r="O213" s="41"/>
      <c r="P213" s="50"/>
      <c r="Q213" s="50"/>
      <c r="R213" s="50"/>
      <c r="S213" s="41"/>
      <c r="T213" s="41"/>
      <c r="U213" s="41"/>
      <c r="V213" s="41"/>
      <c r="W213" s="50"/>
      <c r="X213" s="50"/>
      <c r="Y213" s="41"/>
      <c r="Z213" s="41"/>
      <c r="AA213" s="41"/>
      <c r="AB213" s="41"/>
      <c r="AC213" s="41"/>
      <c r="AD213" s="50"/>
      <c r="AE213" s="41"/>
      <c r="AF213" s="41"/>
      <c r="AG213" s="41"/>
      <c r="AH213" s="41"/>
      <c r="AI213" s="41"/>
      <c r="AJ213" s="41"/>
      <c r="AK213" s="50"/>
      <c r="AL213" s="41"/>
      <c r="AM213" s="50"/>
      <c r="AN213" s="41"/>
      <c r="AO213" s="41"/>
      <c r="AP213" s="41"/>
      <c r="AQ213" s="53"/>
      <c r="AR213" s="54"/>
      <c r="AS213" s="54"/>
      <c r="AT213" s="53"/>
      <c r="AU213" s="41"/>
      <c r="AV213" s="41"/>
      <c r="AW213" s="41"/>
      <c r="AX213" s="41"/>
      <c r="AY213" s="54"/>
      <c r="BF213" s="41"/>
      <c r="BG213" s="50"/>
      <c r="BH213" s="41"/>
      <c r="BI213" s="50"/>
      <c r="BJ213" s="41"/>
      <c r="BK213" s="41"/>
      <c r="BL213" s="41"/>
      <c r="BM213" s="55"/>
      <c r="BN213" s="41"/>
      <c r="BO213" s="50"/>
      <c r="BP213" s="50"/>
      <c r="BQ213" s="41"/>
      <c r="BR213" s="41"/>
      <c r="BS213" s="41"/>
      <c r="BT213" s="41"/>
      <c r="BV213" s="41"/>
      <c r="BW213" s="50"/>
      <c r="BX213" s="41"/>
      <c r="BY213" s="41"/>
      <c r="CA213" s="41"/>
      <c r="CB213" s="50"/>
      <c r="CC213" s="41"/>
      <c r="CD213" s="41"/>
      <c r="CF213" s="41"/>
      <c r="CG213" s="50"/>
      <c r="CH213" s="41"/>
      <c r="CI213" s="41"/>
      <c r="CJ213" s="41">
        <v>94</v>
      </c>
      <c r="CK213" s="50"/>
      <c r="CL213" s="41">
        <f t="shared" si="79"/>
        <v>94</v>
      </c>
      <c r="CM213" s="41">
        <v>109</v>
      </c>
      <c r="CN213" s="50">
        <v>0</v>
      </c>
      <c r="CO213" s="41">
        <v>0</v>
      </c>
      <c r="CP213" s="41">
        <f t="shared" si="80"/>
        <v>109</v>
      </c>
      <c r="CQ213" s="41">
        <v>126</v>
      </c>
      <c r="CR213" s="50">
        <v>0</v>
      </c>
      <c r="CS213" s="41">
        <f t="shared" si="78"/>
        <v>126</v>
      </c>
      <c r="CT213" s="38"/>
      <c r="CU213" s="39" t="s">
        <v>562</v>
      </c>
    </row>
    <row r="214" spans="1:99" hidden="1">
      <c r="A214" s="39" t="s">
        <v>217</v>
      </c>
      <c r="B214" s="39" t="s">
        <v>236</v>
      </c>
      <c r="C214" s="39" t="s">
        <v>237</v>
      </c>
      <c r="D214" s="56">
        <v>96313001053</v>
      </c>
      <c r="E214" s="39" t="s">
        <v>238</v>
      </c>
      <c r="H214" s="51">
        <v>140</v>
      </c>
      <c r="I214" s="49">
        <v>0</v>
      </c>
      <c r="J214" s="49">
        <v>0</v>
      </c>
      <c r="K214" s="51">
        <f t="shared" si="85"/>
        <v>140</v>
      </c>
      <c r="L214" s="51">
        <f t="shared" si="77"/>
        <v>0</v>
      </c>
      <c r="M214" s="51">
        <v>140</v>
      </c>
      <c r="N214" s="52"/>
      <c r="O214" s="41">
        <v>144</v>
      </c>
      <c r="P214" s="50">
        <v>0</v>
      </c>
      <c r="Q214" s="50">
        <v>0</v>
      </c>
      <c r="R214" s="50">
        <v>0</v>
      </c>
      <c r="S214" s="41">
        <v>0</v>
      </c>
      <c r="T214" s="41">
        <v>144</v>
      </c>
      <c r="U214" s="41"/>
      <c r="V214" s="41">
        <v>139</v>
      </c>
      <c r="W214" s="50">
        <v>0</v>
      </c>
      <c r="X214" s="50">
        <v>0</v>
      </c>
      <c r="Y214" s="41">
        <f t="shared" si="86"/>
        <v>0</v>
      </c>
      <c r="Z214" s="41">
        <v>139</v>
      </c>
      <c r="AA214" s="41"/>
      <c r="AB214" s="41">
        <v>164</v>
      </c>
      <c r="AC214" s="41">
        <v>0</v>
      </c>
      <c r="AD214" s="50">
        <v>0</v>
      </c>
      <c r="AE214" s="41">
        <v>0</v>
      </c>
      <c r="AF214" s="41">
        <v>0</v>
      </c>
      <c r="AG214" s="41">
        <f t="shared" ref="AG214:AG223" si="91">AH214-SUM(AB214:AF214)</f>
        <v>0</v>
      </c>
      <c r="AH214" s="41">
        <v>164</v>
      </c>
      <c r="AI214" s="41"/>
      <c r="AJ214" s="41">
        <v>139</v>
      </c>
      <c r="AK214" s="50">
        <v>0</v>
      </c>
      <c r="AL214" s="41">
        <v>0</v>
      </c>
      <c r="AM214" s="50">
        <v>0</v>
      </c>
      <c r="AN214" s="41">
        <f t="shared" si="87"/>
        <v>0</v>
      </c>
      <c r="AO214" s="41">
        <v>139</v>
      </c>
      <c r="AP214" s="41"/>
      <c r="AQ214" s="53">
        <v>139</v>
      </c>
      <c r="AR214" s="54">
        <v>0</v>
      </c>
      <c r="AS214" s="54">
        <v>0</v>
      </c>
      <c r="AT214" s="53">
        <v>0</v>
      </c>
      <c r="AU214" s="41">
        <f t="shared" si="88"/>
        <v>1</v>
      </c>
      <c r="AV214" s="41">
        <v>140</v>
      </c>
      <c r="AW214" s="41"/>
      <c r="AX214" s="41">
        <v>140</v>
      </c>
      <c r="AY214" s="54">
        <v>0</v>
      </c>
      <c r="AZ214" s="50">
        <v>0</v>
      </c>
      <c r="BA214" s="50">
        <v>0</v>
      </c>
      <c r="BB214" s="41">
        <v>0</v>
      </c>
      <c r="BC214" s="41">
        <f t="shared" si="90"/>
        <v>0</v>
      </c>
      <c r="BD214" s="41">
        <v>140</v>
      </c>
      <c r="BF214" s="41">
        <v>140</v>
      </c>
      <c r="BG214" s="50">
        <v>0</v>
      </c>
      <c r="BH214" s="41">
        <v>100</v>
      </c>
      <c r="BI214" s="50">
        <v>0</v>
      </c>
      <c r="BJ214" s="41">
        <v>0</v>
      </c>
      <c r="BK214" s="41">
        <f t="shared" si="89"/>
        <v>0</v>
      </c>
      <c r="BL214" s="41">
        <v>240</v>
      </c>
      <c r="BM214" s="55"/>
      <c r="BN214" s="41">
        <v>134</v>
      </c>
      <c r="BO214" s="50">
        <v>0</v>
      </c>
      <c r="BP214" s="50">
        <v>0</v>
      </c>
      <c r="BQ214" s="41">
        <v>0</v>
      </c>
      <c r="BR214" s="41">
        <v>0</v>
      </c>
      <c r="BS214" s="41">
        <f t="shared" si="81"/>
        <v>0</v>
      </c>
      <c r="BT214" s="41">
        <v>134</v>
      </c>
      <c r="BV214" s="41">
        <v>130</v>
      </c>
      <c r="BW214" s="50">
        <v>0</v>
      </c>
      <c r="BX214" s="41">
        <f t="shared" si="83"/>
        <v>0</v>
      </c>
      <c r="BY214" s="41">
        <v>130</v>
      </c>
      <c r="CA214" s="41">
        <v>109</v>
      </c>
      <c r="CB214" s="50">
        <v>0</v>
      </c>
      <c r="CC214" s="41">
        <f t="shared" si="84"/>
        <v>0</v>
      </c>
      <c r="CD214" s="41">
        <v>109</v>
      </c>
      <c r="CF214" s="41">
        <v>100</v>
      </c>
      <c r="CG214" s="50">
        <v>0</v>
      </c>
      <c r="CH214" s="41">
        <v>0</v>
      </c>
      <c r="CI214" s="41">
        <f t="shared" si="82"/>
        <v>100</v>
      </c>
      <c r="CJ214" s="41">
        <v>103</v>
      </c>
      <c r="CK214" s="50">
        <v>0</v>
      </c>
      <c r="CL214" s="41">
        <f t="shared" si="79"/>
        <v>103</v>
      </c>
      <c r="CM214" s="41">
        <v>102</v>
      </c>
      <c r="CN214" s="50">
        <v>0</v>
      </c>
      <c r="CO214" s="41">
        <v>0</v>
      </c>
      <c r="CP214" s="41">
        <f t="shared" si="80"/>
        <v>102</v>
      </c>
      <c r="CQ214" s="41">
        <v>112</v>
      </c>
      <c r="CR214" s="50">
        <v>0</v>
      </c>
      <c r="CS214" s="41">
        <f t="shared" si="78"/>
        <v>112</v>
      </c>
      <c r="CU214" s="39" t="s">
        <v>563</v>
      </c>
    </row>
    <row r="215" spans="1:99" ht="15" hidden="1">
      <c r="A215" s="39" t="s">
        <v>217</v>
      </c>
      <c r="B215" s="39" t="s">
        <v>239</v>
      </c>
      <c r="C215" s="39" t="s">
        <v>240</v>
      </c>
      <c r="D215" s="37">
        <v>347390001053</v>
      </c>
      <c r="E215" s="39" t="s">
        <v>241</v>
      </c>
      <c r="H215" s="51">
        <v>19</v>
      </c>
      <c r="I215" s="49">
        <v>0</v>
      </c>
      <c r="J215" s="49">
        <v>0</v>
      </c>
      <c r="K215" s="51">
        <f t="shared" si="85"/>
        <v>19</v>
      </c>
      <c r="L215" s="51">
        <f t="shared" si="77"/>
        <v>-1</v>
      </c>
      <c r="M215" s="51">
        <v>18</v>
      </c>
      <c r="N215" s="52"/>
      <c r="O215" s="41">
        <v>19</v>
      </c>
      <c r="P215" s="50">
        <v>0</v>
      </c>
      <c r="Q215" s="50">
        <v>0</v>
      </c>
      <c r="R215" s="50">
        <v>0</v>
      </c>
      <c r="S215" s="41">
        <v>0</v>
      </c>
      <c r="T215" s="41">
        <v>19</v>
      </c>
      <c r="U215" s="41"/>
      <c r="V215" s="41">
        <v>20</v>
      </c>
      <c r="W215" s="50">
        <v>0</v>
      </c>
      <c r="X215" s="50">
        <v>0</v>
      </c>
      <c r="Y215" s="41">
        <f t="shared" si="86"/>
        <v>0</v>
      </c>
      <c r="Z215" s="41">
        <v>20</v>
      </c>
      <c r="AA215" s="41"/>
      <c r="AB215" s="41">
        <v>20</v>
      </c>
      <c r="AC215" s="41">
        <v>0</v>
      </c>
      <c r="AD215" s="50">
        <v>0</v>
      </c>
      <c r="AE215" s="41">
        <v>0</v>
      </c>
      <c r="AF215" s="41">
        <v>0</v>
      </c>
      <c r="AG215" s="41">
        <f t="shared" si="91"/>
        <v>0</v>
      </c>
      <c r="AH215" s="41">
        <v>20</v>
      </c>
      <c r="AI215" s="41"/>
      <c r="AJ215" s="41">
        <v>22</v>
      </c>
      <c r="AK215" s="50">
        <v>0</v>
      </c>
      <c r="AL215" s="41">
        <v>0</v>
      </c>
      <c r="AM215" s="50">
        <v>0</v>
      </c>
      <c r="AN215" s="41">
        <f t="shared" si="87"/>
        <v>0</v>
      </c>
      <c r="AO215" s="41">
        <v>22</v>
      </c>
      <c r="AP215" s="41"/>
      <c r="AQ215" s="53">
        <v>22</v>
      </c>
      <c r="AR215" s="54">
        <v>0</v>
      </c>
      <c r="AS215" s="54">
        <v>0</v>
      </c>
      <c r="AT215" s="53">
        <v>0</v>
      </c>
      <c r="AU215" s="41">
        <f t="shared" si="88"/>
        <v>0</v>
      </c>
      <c r="AV215" s="41">
        <v>22</v>
      </c>
      <c r="AW215" s="41"/>
      <c r="AX215" s="41">
        <v>22</v>
      </c>
      <c r="AY215" s="54">
        <v>0</v>
      </c>
      <c r="AZ215" s="50">
        <v>0</v>
      </c>
      <c r="BA215" s="50">
        <v>0</v>
      </c>
      <c r="BB215" s="41">
        <v>0</v>
      </c>
      <c r="BC215" s="41">
        <f t="shared" si="90"/>
        <v>0</v>
      </c>
      <c r="BD215" s="41">
        <v>22</v>
      </c>
      <c r="BF215" s="41">
        <v>25</v>
      </c>
      <c r="BG215" s="50">
        <v>0</v>
      </c>
      <c r="BH215" s="41">
        <v>0</v>
      </c>
      <c r="BI215" s="50">
        <v>0</v>
      </c>
      <c r="BJ215" s="41">
        <v>0</v>
      </c>
      <c r="BK215" s="41">
        <f t="shared" si="89"/>
        <v>0</v>
      </c>
      <c r="BL215" s="41">
        <v>25</v>
      </c>
      <c r="BM215" s="55"/>
      <c r="BN215" s="41">
        <v>26</v>
      </c>
      <c r="BO215" s="50">
        <v>0</v>
      </c>
      <c r="BP215" s="50">
        <v>0</v>
      </c>
      <c r="BQ215" s="41">
        <v>0</v>
      </c>
      <c r="BR215" s="41">
        <v>0</v>
      </c>
      <c r="BS215" s="41">
        <f t="shared" si="81"/>
        <v>0</v>
      </c>
      <c r="BT215" s="41">
        <v>26</v>
      </c>
      <c r="BV215" s="41">
        <v>23</v>
      </c>
      <c r="BW215" s="50">
        <v>0</v>
      </c>
      <c r="BX215" s="41">
        <f t="shared" si="83"/>
        <v>0</v>
      </c>
      <c r="BY215" s="41">
        <v>23</v>
      </c>
      <c r="CA215" s="41">
        <v>29</v>
      </c>
      <c r="CB215" s="50">
        <v>0</v>
      </c>
      <c r="CC215" s="41">
        <f t="shared" si="84"/>
        <v>0</v>
      </c>
      <c r="CD215" s="41">
        <v>29</v>
      </c>
      <c r="CF215" s="41">
        <v>27</v>
      </c>
      <c r="CG215" s="50">
        <v>0</v>
      </c>
      <c r="CH215" s="41">
        <v>0</v>
      </c>
      <c r="CI215" s="41">
        <f t="shared" si="82"/>
        <v>27</v>
      </c>
      <c r="CJ215" s="41">
        <v>28</v>
      </c>
      <c r="CK215" s="50">
        <v>0</v>
      </c>
      <c r="CL215" s="41">
        <f t="shared" ref="CL215:CL246" si="92">SUM(CJ215:CK215)</f>
        <v>28</v>
      </c>
      <c r="CM215" s="41">
        <v>29</v>
      </c>
      <c r="CN215" s="50">
        <v>0</v>
      </c>
      <c r="CO215" s="41">
        <v>0</v>
      </c>
      <c r="CP215" s="41">
        <f t="shared" si="80"/>
        <v>29</v>
      </c>
      <c r="CQ215" s="41">
        <v>29</v>
      </c>
      <c r="CR215" s="50">
        <v>0</v>
      </c>
      <c r="CS215" s="41">
        <f t="shared" si="78"/>
        <v>29</v>
      </c>
      <c r="CU215" s="44" t="s">
        <v>564</v>
      </c>
    </row>
    <row r="216" spans="1:99" hidden="1">
      <c r="A216" s="39" t="s">
        <v>217</v>
      </c>
      <c r="B216" s="39" t="s">
        <v>242</v>
      </c>
      <c r="C216" s="39" t="s">
        <v>243</v>
      </c>
      <c r="D216" s="56"/>
      <c r="E216" s="39" t="s">
        <v>244</v>
      </c>
      <c r="H216" s="51">
        <v>0</v>
      </c>
      <c r="I216" s="49">
        <v>0</v>
      </c>
      <c r="J216" s="49">
        <v>0</v>
      </c>
      <c r="K216" s="51">
        <f t="shared" si="85"/>
        <v>0</v>
      </c>
      <c r="L216" s="51">
        <f t="shared" si="77"/>
        <v>0</v>
      </c>
      <c r="M216" s="51">
        <v>0</v>
      </c>
      <c r="N216" s="52"/>
      <c r="O216" s="41">
        <v>95</v>
      </c>
      <c r="P216" s="50">
        <v>0</v>
      </c>
      <c r="Q216" s="50">
        <v>0</v>
      </c>
      <c r="R216" s="50">
        <v>0</v>
      </c>
      <c r="S216" s="41">
        <v>-95</v>
      </c>
      <c r="T216" s="41">
        <v>0</v>
      </c>
      <c r="U216" s="41"/>
      <c r="V216" s="41">
        <v>0</v>
      </c>
      <c r="W216" s="50">
        <v>0</v>
      </c>
      <c r="X216" s="50">
        <v>0</v>
      </c>
      <c r="Y216" s="41">
        <f t="shared" si="86"/>
        <v>-2</v>
      </c>
      <c r="Z216" s="41">
        <v>-2</v>
      </c>
      <c r="AA216" s="41"/>
      <c r="AB216" s="41">
        <v>0</v>
      </c>
      <c r="AC216" s="41">
        <v>0</v>
      </c>
      <c r="AD216" s="50">
        <v>0</v>
      </c>
      <c r="AE216" s="41">
        <v>0</v>
      </c>
      <c r="AF216" s="41">
        <v>0</v>
      </c>
      <c r="AG216" s="41">
        <f t="shared" si="91"/>
        <v>0</v>
      </c>
      <c r="AH216" s="41">
        <v>0</v>
      </c>
      <c r="AI216" s="41"/>
      <c r="AJ216" s="41">
        <v>0</v>
      </c>
      <c r="AK216" s="50">
        <v>0</v>
      </c>
      <c r="AL216" s="41">
        <v>0</v>
      </c>
      <c r="AM216" s="50">
        <v>0</v>
      </c>
      <c r="AN216" s="41">
        <f t="shared" si="87"/>
        <v>0</v>
      </c>
      <c r="AO216" s="41">
        <v>0</v>
      </c>
      <c r="AP216" s="41"/>
      <c r="AQ216" s="53">
        <v>0</v>
      </c>
      <c r="AR216" s="54">
        <v>0</v>
      </c>
      <c r="AS216" s="54">
        <v>0</v>
      </c>
      <c r="AT216" s="53">
        <v>0</v>
      </c>
      <c r="AU216" s="41">
        <f t="shared" si="88"/>
        <v>0</v>
      </c>
      <c r="AV216" s="41">
        <v>0</v>
      </c>
      <c r="AW216" s="41"/>
      <c r="AX216" s="41">
        <v>0</v>
      </c>
      <c r="AY216" s="54">
        <v>0</v>
      </c>
      <c r="AZ216" s="50">
        <v>0</v>
      </c>
      <c r="BA216" s="50">
        <v>0</v>
      </c>
      <c r="BB216" s="41">
        <v>0</v>
      </c>
      <c r="BC216" s="41">
        <f t="shared" si="90"/>
        <v>0</v>
      </c>
      <c r="BD216" s="41">
        <v>0</v>
      </c>
      <c r="BF216" s="41">
        <v>0</v>
      </c>
      <c r="BG216" s="50">
        <v>0</v>
      </c>
      <c r="BH216" s="41">
        <v>0</v>
      </c>
      <c r="BI216" s="50">
        <v>0</v>
      </c>
      <c r="BJ216" s="41">
        <v>0</v>
      </c>
      <c r="BK216" s="41">
        <f t="shared" si="89"/>
        <v>0</v>
      </c>
      <c r="BL216" s="41">
        <v>0</v>
      </c>
      <c r="BM216" s="55"/>
      <c r="BN216" s="41">
        <v>0</v>
      </c>
      <c r="BO216" s="50">
        <v>0</v>
      </c>
      <c r="BP216" s="50">
        <v>0</v>
      </c>
      <c r="BQ216" s="41">
        <v>0</v>
      </c>
      <c r="BR216" s="41">
        <v>0</v>
      </c>
      <c r="BS216" s="41">
        <f t="shared" si="81"/>
        <v>0</v>
      </c>
      <c r="BT216" s="41">
        <v>0</v>
      </c>
      <c r="BV216" s="41">
        <v>0</v>
      </c>
      <c r="BW216" s="50">
        <v>0</v>
      </c>
      <c r="BX216" s="41">
        <f t="shared" si="83"/>
        <v>0</v>
      </c>
      <c r="BY216" s="41">
        <v>0</v>
      </c>
      <c r="CA216" s="41">
        <v>0</v>
      </c>
      <c r="CB216" s="50">
        <v>0</v>
      </c>
      <c r="CC216" s="41">
        <f t="shared" si="84"/>
        <v>0</v>
      </c>
      <c r="CD216" s="41">
        <v>0</v>
      </c>
      <c r="CF216" s="41">
        <v>0</v>
      </c>
      <c r="CG216" s="50">
        <v>0</v>
      </c>
      <c r="CH216" s="41">
        <v>0</v>
      </c>
      <c r="CI216" s="41">
        <f t="shared" si="82"/>
        <v>0</v>
      </c>
      <c r="CJ216" s="41">
        <v>0</v>
      </c>
      <c r="CK216" s="50">
        <v>0</v>
      </c>
      <c r="CL216" s="41">
        <f t="shared" si="92"/>
        <v>0</v>
      </c>
      <c r="CM216" s="41">
        <v>0</v>
      </c>
      <c r="CN216" s="50">
        <v>0</v>
      </c>
      <c r="CO216" s="41">
        <v>0</v>
      </c>
      <c r="CP216" s="41">
        <f t="shared" si="80"/>
        <v>0</v>
      </c>
      <c r="CQ216" s="41">
        <v>0</v>
      </c>
      <c r="CR216" s="50">
        <v>0</v>
      </c>
      <c r="CS216" s="41">
        <f t="shared" si="78"/>
        <v>0</v>
      </c>
    </row>
    <row r="217" spans="1:99" hidden="1">
      <c r="A217" s="39" t="s">
        <v>217</v>
      </c>
      <c r="B217" s="39" t="s">
        <v>218</v>
      </c>
      <c r="C217" s="39" t="s">
        <v>219</v>
      </c>
      <c r="D217" s="56"/>
      <c r="E217" s="59" t="s">
        <v>245</v>
      </c>
      <c r="H217" s="51">
        <v>0</v>
      </c>
      <c r="I217" s="49">
        <v>0</v>
      </c>
      <c r="J217" s="49">
        <v>0</v>
      </c>
      <c r="K217" s="51">
        <v>0</v>
      </c>
      <c r="L217" s="51">
        <v>0</v>
      </c>
      <c r="M217" s="51">
        <v>0</v>
      </c>
      <c r="N217" s="52"/>
      <c r="O217" s="41">
        <v>0</v>
      </c>
      <c r="P217" s="50">
        <v>0</v>
      </c>
      <c r="Q217" s="50">
        <v>0</v>
      </c>
      <c r="R217" s="50">
        <v>0</v>
      </c>
      <c r="S217" s="41">
        <v>0</v>
      </c>
      <c r="T217" s="41">
        <v>0</v>
      </c>
      <c r="U217" s="41"/>
      <c r="V217" s="41">
        <v>0</v>
      </c>
      <c r="W217" s="50">
        <v>0</v>
      </c>
      <c r="X217" s="50">
        <v>0</v>
      </c>
      <c r="Y217" s="41">
        <v>0</v>
      </c>
      <c r="Z217" s="41">
        <v>0</v>
      </c>
      <c r="AA217" s="41"/>
      <c r="AB217" s="41">
        <v>0</v>
      </c>
      <c r="AC217" s="41">
        <v>0</v>
      </c>
      <c r="AD217" s="50">
        <v>0</v>
      </c>
      <c r="AE217" s="41">
        <v>0</v>
      </c>
      <c r="AF217" s="41">
        <v>0</v>
      </c>
      <c r="AG217" s="41">
        <v>0</v>
      </c>
      <c r="AH217" s="41">
        <v>0</v>
      </c>
      <c r="AI217" s="41"/>
      <c r="AJ217" s="41">
        <v>0</v>
      </c>
      <c r="AK217" s="50">
        <v>0</v>
      </c>
      <c r="AL217" s="41">
        <v>0</v>
      </c>
      <c r="AM217" s="50">
        <v>0</v>
      </c>
      <c r="AN217" s="41">
        <v>0</v>
      </c>
      <c r="AO217" s="41">
        <v>0</v>
      </c>
      <c r="AP217" s="41"/>
      <c r="AQ217" s="53">
        <v>0</v>
      </c>
      <c r="AR217" s="54">
        <v>0</v>
      </c>
      <c r="AS217" s="54">
        <v>0</v>
      </c>
      <c r="AT217" s="53">
        <v>0</v>
      </c>
      <c r="AU217" s="41">
        <v>0</v>
      </c>
      <c r="AV217" s="41">
        <v>0</v>
      </c>
      <c r="AW217" s="41"/>
      <c r="AX217" s="41">
        <v>0</v>
      </c>
      <c r="AY217" s="54">
        <v>0</v>
      </c>
      <c r="AZ217" s="50">
        <v>0</v>
      </c>
      <c r="BA217" s="50">
        <v>0</v>
      </c>
      <c r="BB217" s="41">
        <v>0</v>
      </c>
      <c r="BC217" s="41">
        <v>0</v>
      </c>
      <c r="BD217" s="41">
        <v>0</v>
      </c>
      <c r="BF217" s="41">
        <v>0</v>
      </c>
      <c r="BG217" s="50">
        <v>0</v>
      </c>
      <c r="BH217" s="41">
        <v>0</v>
      </c>
      <c r="BI217" s="50">
        <v>0</v>
      </c>
      <c r="BJ217" s="41">
        <v>0</v>
      </c>
      <c r="BK217" s="41">
        <v>0</v>
      </c>
      <c r="BL217" s="41">
        <v>0</v>
      </c>
      <c r="BM217" s="55"/>
      <c r="BN217" s="41">
        <v>0</v>
      </c>
      <c r="BO217" s="50">
        <v>0</v>
      </c>
      <c r="BP217" s="50">
        <v>0</v>
      </c>
      <c r="BQ217" s="41">
        <v>0</v>
      </c>
      <c r="BR217" s="41">
        <v>0</v>
      </c>
      <c r="BS217" s="41">
        <f t="shared" si="81"/>
        <v>0</v>
      </c>
      <c r="BT217" s="41">
        <v>0</v>
      </c>
      <c r="BV217" s="41">
        <v>0</v>
      </c>
      <c r="BW217" s="50">
        <v>0</v>
      </c>
      <c r="BX217" s="41">
        <f t="shared" si="83"/>
        <v>0</v>
      </c>
      <c r="BY217" s="41">
        <v>0</v>
      </c>
      <c r="CA217" s="41">
        <v>0</v>
      </c>
      <c r="CB217" s="50">
        <v>0</v>
      </c>
      <c r="CC217" s="41">
        <f t="shared" si="84"/>
        <v>0</v>
      </c>
      <c r="CD217" s="41">
        <v>0</v>
      </c>
      <c r="CF217" s="41">
        <v>0</v>
      </c>
      <c r="CG217" s="50">
        <v>0</v>
      </c>
      <c r="CH217" s="41">
        <v>0</v>
      </c>
      <c r="CI217" s="41">
        <f t="shared" si="82"/>
        <v>0</v>
      </c>
      <c r="CJ217" s="41">
        <v>0</v>
      </c>
      <c r="CK217" s="50">
        <v>0</v>
      </c>
      <c r="CL217" s="41">
        <f t="shared" si="92"/>
        <v>0</v>
      </c>
      <c r="CM217" s="41">
        <v>0</v>
      </c>
      <c r="CN217" s="50">
        <v>0</v>
      </c>
      <c r="CO217" s="41">
        <v>0</v>
      </c>
      <c r="CP217" s="41">
        <f t="shared" si="80"/>
        <v>0</v>
      </c>
      <c r="CQ217" s="41">
        <v>0</v>
      </c>
      <c r="CR217" s="50">
        <v>0</v>
      </c>
      <c r="CS217" s="41">
        <f t="shared" si="78"/>
        <v>0</v>
      </c>
      <c r="CT217" s="59"/>
    </row>
    <row r="218" spans="1:99" hidden="1">
      <c r="A218" s="39" t="s">
        <v>246</v>
      </c>
      <c r="B218" s="39" t="s">
        <v>247</v>
      </c>
      <c r="C218" s="39" t="s">
        <v>248</v>
      </c>
      <c r="D218" s="56"/>
      <c r="E218" s="39" t="s">
        <v>241</v>
      </c>
      <c r="H218" s="51">
        <v>43</v>
      </c>
      <c r="I218" s="49">
        <v>0</v>
      </c>
      <c r="J218" s="49">
        <v>0</v>
      </c>
      <c r="K218" s="51">
        <f t="shared" si="85"/>
        <v>43</v>
      </c>
      <c r="L218" s="51">
        <f t="shared" si="77"/>
        <v>2</v>
      </c>
      <c r="M218" s="51">
        <v>45</v>
      </c>
      <c r="N218" s="52"/>
      <c r="O218" s="41">
        <v>34</v>
      </c>
      <c r="P218" s="50">
        <v>0</v>
      </c>
      <c r="Q218" s="50">
        <v>5</v>
      </c>
      <c r="R218" s="50">
        <v>0</v>
      </c>
      <c r="S218" s="41">
        <v>0</v>
      </c>
      <c r="T218" s="41">
        <v>39</v>
      </c>
      <c r="U218" s="41"/>
      <c r="V218" s="41">
        <v>44</v>
      </c>
      <c r="W218" s="50">
        <v>0</v>
      </c>
      <c r="X218" s="50">
        <v>0</v>
      </c>
      <c r="Y218" s="41">
        <f t="shared" si="86"/>
        <v>-10</v>
      </c>
      <c r="Z218" s="41">
        <v>34</v>
      </c>
      <c r="AA218" s="41"/>
      <c r="AB218" s="41">
        <v>39</v>
      </c>
      <c r="AC218" s="41">
        <v>0</v>
      </c>
      <c r="AD218" s="50">
        <v>0</v>
      </c>
      <c r="AE218" s="41">
        <v>0</v>
      </c>
      <c r="AF218" s="41">
        <v>0</v>
      </c>
      <c r="AG218" s="41">
        <f t="shared" si="91"/>
        <v>0</v>
      </c>
      <c r="AH218" s="41">
        <v>39</v>
      </c>
      <c r="AI218" s="41"/>
      <c r="AJ218" s="41">
        <v>36</v>
      </c>
      <c r="AK218" s="50">
        <v>0</v>
      </c>
      <c r="AL218" s="41">
        <v>0</v>
      </c>
      <c r="AM218" s="50">
        <v>0</v>
      </c>
      <c r="AN218" s="41">
        <f t="shared" si="87"/>
        <v>3</v>
      </c>
      <c r="AO218" s="41">
        <v>39</v>
      </c>
      <c r="AP218" s="41"/>
      <c r="AQ218" s="53">
        <v>39</v>
      </c>
      <c r="AR218" s="54">
        <v>0</v>
      </c>
      <c r="AS218" s="54">
        <v>0</v>
      </c>
      <c r="AT218" s="53">
        <v>0</v>
      </c>
      <c r="AU218" s="41">
        <f t="shared" si="88"/>
        <v>0</v>
      </c>
      <c r="AV218" s="41">
        <v>39</v>
      </c>
      <c r="AW218" s="41"/>
      <c r="AX218" s="41">
        <v>50</v>
      </c>
      <c r="AY218" s="54">
        <v>0</v>
      </c>
      <c r="AZ218" s="50">
        <v>0</v>
      </c>
      <c r="BA218" s="50">
        <v>0</v>
      </c>
      <c r="BB218" s="41">
        <v>0</v>
      </c>
      <c r="BC218" s="41">
        <f t="shared" si="90"/>
        <v>-1</v>
      </c>
      <c r="BD218" s="41">
        <v>49</v>
      </c>
      <c r="BF218" s="41">
        <v>44</v>
      </c>
      <c r="BG218" s="50">
        <v>0</v>
      </c>
      <c r="BH218" s="41">
        <v>0</v>
      </c>
      <c r="BI218" s="50">
        <v>0</v>
      </c>
      <c r="BJ218" s="41">
        <v>0</v>
      </c>
      <c r="BK218" s="41">
        <f t="shared" si="89"/>
        <v>0</v>
      </c>
      <c r="BL218" s="41">
        <v>44</v>
      </c>
      <c r="BM218" s="55"/>
      <c r="BN218" s="41">
        <v>0</v>
      </c>
      <c r="BO218" s="50">
        <v>0</v>
      </c>
      <c r="BP218" s="50">
        <v>0</v>
      </c>
      <c r="BQ218" s="41">
        <v>0</v>
      </c>
      <c r="BR218" s="41">
        <v>0</v>
      </c>
      <c r="BS218" s="41">
        <f t="shared" si="81"/>
        <v>0</v>
      </c>
      <c r="BT218" s="41">
        <v>0</v>
      </c>
      <c r="BV218" s="41">
        <v>0</v>
      </c>
      <c r="BW218" s="50">
        <v>0</v>
      </c>
      <c r="BX218" s="41">
        <f t="shared" si="83"/>
        <v>0</v>
      </c>
      <c r="BY218" s="41">
        <v>0</v>
      </c>
      <c r="CA218" s="41">
        <v>0</v>
      </c>
      <c r="CB218" s="50">
        <v>0</v>
      </c>
      <c r="CC218" s="41">
        <f t="shared" si="84"/>
        <v>0</v>
      </c>
      <c r="CD218" s="41">
        <v>0</v>
      </c>
      <c r="CF218" s="41">
        <v>0</v>
      </c>
      <c r="CG218" s="50">
        <v>0</v>
      </c>
      <c r="CH218" s="41">
        <v>0</v>
      </c>
      <c r="CI218" s="41">
        <f t="shared" si="82"/>
        <v>0</v>
      </c>
      <c r="CJ218" s="41">
        <v>0</v>
      </c>
      <c r="CK218" s="50">
        <v>0</v>
      </c>
      <c r="CL218" s="41">
        <f t="shared" si="92"/>
        <v>0</v>
      </c>
      <c r="CM218" s="41">
        <v>0</v>
      </c>
      <c r="CN218" s="50">
        <v>0</v>
      </c>
      <c r="CO218" s="41">
        <v>0</v>
      </c>
      <c r="CP218" s="41">
        <f t="shared" si="80"/>
        <v>0</v>
      </c>
      <c r="CQ218" s="41">
        <v>0</v>
      </c>
      <c r="CR218" s="50">
        <v>0</v>
      </c>
      <c r="CS218" s="41">
        <f t="shared" si="78"/>
        <v>0</v>
      </c>
    </row>
    <row r="219" spans="1:99" hidden="1">
      <c r="A219" s="39" t="s">
        <v>246</v>
      </c>
      <c r="B219" s="39" t="s">
        <v>247</v>
      </c>
      <c r="C219" s="39" t="s">
        <v>248</v>
      </c>
      <c r="D219" s="56"/>
      <c r="E219" s="59" t="s">
        <v>249</v>
      </c>
      <c r="H219" s="51">
        <v>0</v>
      </c>
      <c r="I219" s="49">
        <v>0</v>
      </c>
      <c r="J219" s="49">
        <v>0</v>
      </c>
      <c r="K219" s="51">
        <f t="shared" si="85"/>
        <v>0</v>
      </c>
      <c r="L219" s="51">
        <f t="shared" si="77"/>
        <v>0</v>
      </c>
      <c r="M219" s="51">
        <v>0</v>
      </c>
      <c r="N219" s="52"/>
      <c r="O219" s="41">
        <v>0</v>
      </c>
      <c r="P219" s="50">
        <v>0</v>
      </c>
      <c r="Q219" s="50">
        <v>0</v>
      </c>
      <c r="R219" s="50">
        <v>0</v>
      </c>
      <c r="S219" s="41">
        <v>0</v>
      </c>
      <c r="T219" s="41">
        <v>0</v>
      </c>
      <c r="U219" s="41"/>
      <c r="V219" s="41">
        <v>0</v>
      </c>
      <c r="W219" s="50">
        <v>0</v>
      </c>
      <c r="X219" s="50">
        <v>0</v>
      </c>
      <c r="Y219" s="41">
        <f t="shared" si="86"/>
        <v>0</v>
      </c>
      <c r="Z219" s="41">
        <v>0</v>
      </c>
      <c r="AA219" s="41"/>
      <c r="AB219" s="41">
        <v>0</v>
      </c>
      <c r="AC219" s="41">
        <v>0</v>
      </c>
      <c r="AD219" s="50">
        <v>0</v>
      </c>
      <c r="AE219" s="41">
        <v>0</v>
      </c>
      <c r="AF219" s="41">
        <v>0</v>
      </c>
      <c r="AG219" s="41">
        <f t="shared" si="91"/>
        <v>0</v>
      </c>
      <c r="AH219" s="41">
        <v>0</v>
      </c>
      <c r="AI219" s="41"/>
      <c r="AJ219" s="41">
        <v>0</v>
      </c>
      <c r="AK219" s="50">
        <v>0</v>
      </c>
      <c r="AL219" s="41">
        <v>0</v>
      </c>
      <c r="AM219" s="50">
        <v>0</v>
      </c>
      <c r="AN219" s="41">
        <f t="shared" si="87"/>
        <v>0</v>
      </c>
      <c r="AO219" s="41">
        <v>0</v>
      </c>
      <c r="AP219" s="41"/>
      <c r="AQ219" s="53">
        <v>0</v>
      </c>
      <c r="AR219" s="54">
        <v>0</v>
      </c>
      <c r="AS219" s="54">
        <v>0</v>
      </c>
      <c r="AT219" s="53">
        <v>0</v>
      </c>
      <c r="AU219" s="41">
        <f t="shared" si="88"/>
        <v>-39</v>
      </c>
      <c r="AV219" s="41">
        <v>-39</v>
      </c>
      <c r="AW219" s="41"/>
      <c r="AX219" s="41">
        <v>-1</v>
      </c>
      <c r="AY219" s="54">
        <v>0</v>
      </c>
      <c r="AZ219" s="50">
        <v>0</v>
      </c>
      <c r="BA219" s="50">
        <v>0</v>
      </c>
      <c r="BB219" s="41">
        <v>0</v>
      </c>
      <c r="BC219" s="41">
        <f t="shared" si="90"/>
        <v>0</v>
      </c>
      <c r="BD219" s="41">
        <v>-1</v>
      </c>
      <c r="BF219" s="41">
        <v>0</v>
      </c>
      <c r="BG219" s="50">
        <v>0</v>
      </c>
      <c r="BH219" s="41">
        <v>0</v>
      </c>
      <c r="BI219" s="50">
        <v>0</v>
      </c>
      <c r="BJ219" s="41">
        <v>0</v>
      </c>
      <c r="BK219" s="41">
        <f t="shared" si="89"/>
        <v>0</v>
      </c>
      <c r="BL219" s="41">
        <v>0</v>
      </c>
      <c r="BM219" s="55"/>
      <c r="BN219" s="41">
        <v>0</v>
      </c>
      <c r="BO219" s="50">
        <v>0</v>
      </c>
      <c r="BP219" s="50">
        <v>0</v>
      </c>
      <c r="BQ219" s="41">
        <v>0</v>
      </c>
      <c r="BR219" s="41">
        <v>0</v>
      </c>
      <c r="BS219" s="41">
        <f t="shared" si="81"/>
        <v>0</v>
      </c>
      <c r="BT219" s="41">
        <v>0</v>
      </c>
      <c r="BV219" s="41">
        <v>0</v>
      </c>
      <c r="BW219" s="50">
        <v>0</v>
      </c>
      <c r="BX219" s="41">
        <f t="shared" si="83"/>
        <v>0</v>
      </c>
      <c r="BY219" s="41">
        <v>0</v>
      </c>
      <c r="CA219" s="41">
        <v>0</v>
      </c>
      <c r="CB219" s="50">
        <v>0</v>
      </c>
      <c r="CC219" s="41">
        <f t="shared" si="84"/>
        <v>0</v>
      </c>
      <c r="CD219" s="41">
        <v>0</v>
      </c>
      <c r="CF219" s="41">
        <v>0</v>
      </c>
      <c r="CG219" s="50">
        <v>0</v>
      </c>
      <c r="CH219" s="41">
        <v>0</v>
      </c>
      <c r="CI219" s="41">
        <f t="shared" si="82"/>
        <v>0</v>
      </c>
      <c r="CJ219" s="41">
        <v>0</v>
      </c>
      <c r="CK219" s="50">
        <v>0</v>
      </c>
      <c r="CL219" s="41">
        <f t="shared" si="92"/>
        <v>0</v>
      </c>
      <c r="CM219" s="41">
        <v>0</v>
      </c>
      <c r="CN219" s="50">
        <v>0</v>
      </c>
      <c r="CO219" s="41">
        <v>0</v>
      </c>
      <c r="CP219" s="41">
        <f t="shared" si="80"/>
        <v>0</v>
      </c>
      <c r="CQ219" s="41">
        <v>0</v>
      </c>
      <c r="CR219" s="50">
        <v>0</v>
      </c>
      <c r="CS219" s="41">
        <f t="shared" si="78"/>
        <v>0</v>
      </c>
      <c r="CT219" s="59"/>
    </row>
    <row r="220" spans="1:99" hidden="1">
      <c r="A220" s="39" t="s">
        <v>246</v>
      </c>
      <c r="B220" s="39" t="s">
        <v>250</v>
      </c>
      <c r="C220" s="39" t="s">
        <v>251</v>
      </c>
      <c r="D220" s="56"/>
      <c r="E220" s="39" t="s">
        <v>252</v>
      </c>
      <c r="H220" s="51">
        <v>0</v>
      </c>
      <c r="I220" s="49">
        <v>0</v>
      </c>
      <c r="J220" s="49">
        <v>0</v>
      </c>
      <c r="K220" s="51">
        <f t="shared" si="85"/>
        <v>0</v>
      </c>
      <c r="L220" s="51">
        <f t="shared" si="77"/>
        <v>0</v>
      </c>
      <c r="M220" s="51">
        <v>0</v>
      </c>
      <c r="N220" s="52"/>
      <c r="O220" s="41">
        <v>0</v>
      </c>
      <c r="P220" s="50">
        <v>0</v>
      </c>
      <c r="Q220" s="50">
        <v>0</v>
      </c>
      <c r="R220" s="50">
        <v>0</v>
      </c>
      <c r="S220" s="41">
        <v>0</v>
      </c>
      <c r="T220" s="41">
        <v>0</v>
      </c>
      <c r="U220" s="41"/>
      <c r="V220" s="41">
        <v>0</v>
      </c>
      <c r="W220" s="50">
        <v>15</v>
      </c>
      <c r="X220" s="50">
        <v>0</v>
      </c>
      <c r="Y220" s="41">
        <f t="shared" si="86"/>
        <v>0</v>
      </c>
      <c r="Z220" s="41">
        <v>15</v>
      </c>
      <c r="AA220" s="41"/>
      <c r="AB220" s="41">
        <v>0</v>
      </c>
      <c r="AC220" s="41">
        <v>0</v>
      </c>
      <c r="AD220" s="50">
        <v>0</v>
      </c>
      <c r="AE220" s="41">
        <v>0</v>
      </c>
      <c r="AF220" s="41">
        <v>0</v>
      </c>
      <c r="AG220" s="41">
        <f t="shared" si="91"/>
        <v>0</v>
      </c>
      <c r="AH220" s="41">
        <v>0</v>
      </c>
      <c r="AI220" s="41"/>
      <c r="AJ220" s="41">
        <v>0</v>
      </c>
      <c r="AK220" s="50">
        <v>0</v>
      </c>
      <c r="AL220" s="41">
        <v>0</v>
      </c>
      <c r="AM220" s="50">
        <v>0</v>
      </c>
      <c r="AN220" s="41">
        <f t="shared" si="87"/>
        <v>0</v>
      </c>
      <c r="AO220" s="41">
        <v>0</v>
      </c>
      <c r="AP220" s="41"/>
      <c r="AQ220" s="53">
        <v>0</v>
      </c>
      <c r="AR220" s="54">
        <v>0</v>
      </c>
      <c r="AS220" s="54">
        <v>0</v>
      </c>
      <c r="AT220" s="53">
        <v>2</v>
      </c>
      <c r="AU220" s="41">
        <f t="shared" si="88"/>
        <v>-2</v>
      </c>
      <c r="AV220" s="41">
        <v>0</v>
      </c>
      <c r="AW220" s="41"/>
      <c r="AX220" s="41">
        <v>0</v>
      </c>
      <c r="AY220" s="54">
        <v>0</v>
      </c>
      <c r="AZ220" s="50">
        <v>0</v>
      </c>
      <c r="BA220" s="50">
        <v>0</v>
      </c>
      <c r="BB220" s="41">
        <v>0</v>
      </c>
      <c r="BC220" s="41">
        <f t="shared" si="90"/>
        <v>0</v>
      </c>
      <c r="BD220" s="41">
        <v>0</v>
      </c>
      <c r="BF220" s="41">
        <v>0</v>
      </c>
      <c r="BG220" s="50">
        <v>0</v>
      </c>
      <c r="BH220" s="41">
        <v>0</v>
      </c>
      <c r="BI220" s="50">
        <v>0</v>
      </c>
      <c r="BJ220" s="41">
        <v>0</v>
      </c>
      <c r="BK220" s="41">
        <f t="shared" si="89"/>
        <v>0</v>
      </c>
      <c r="BL220" s="41">
        <v>0</v>
      </c>
      <c r="BM220" s="55"/>
      <c r="BN220" s="41">
        <v>0</v>
      </c>
      <c r="BO220" s="50">
        <v>0</v>
      </c>
      <c r="BP220" s="50">
        <v>0</v>
      </c>
      <c r="BQ220" s="41">
        <v>0</v>
      </c>
      <c r="BR220" s="41">
        <v>0</v>
      </c>
      <c r="BS220" s="41">
        <f t="shared" si="81"/>
        <v>0</v>
      </c>
      <c r="BT220" s="41">
        <v>0</v>
      </c>
      <c r="BV220" s="41">
        <v>0</v>
      </c>
      <c r="BW220" s="50">
        <v>0</v>
      </c>
      <c r="BX220" s="41">
        <f t="shared" si="83"/>
        <v>0</v>
      </c>
      <c r="BY220" s="41">
        <v>0</v>
      </c>
      <c r="CA220" s="41">
        <v>0</v>
      </c>
      <c r="CB220" s="50">
        <v>0</v>
      </c>
      <c r="CC220" s="41">
        <f t="shared" si="84"/>
        <v>0</v>
      </c>
      <c r="CD220" s="41">
        <v>0</v>
      </c>
      <c r="CF220" s="41">
        <v>0</v>
      </c>
      <c r="CG220" s="50">
        <v>0</v>
      </c>
      <c r="CH220" s="41">
        <v>0</v>
      </c>
      <c r="CI220" s="41">
        <f t="shared" si="82"/>
        <v>0</v>
      </c>
      <c r="CJ220" s="41">
        <v>0</v>
      </c>
      <c r="CK220" s="50">
        <v>0</v>
      </c>
      <c r="CL220" s="41">
        <f t="shared" si="92"/>
        <v>0</v>
      </c>
      <c r="CM220" s="41">
        <v>0</v>
      </c>
      <c r="CN220" s="50">
        <v>0</v>
      </c>
      <c r="CO220" s="41">
        <v>0</v>
      </c>
      <c r="CP220" s="41">
        <f t="shared" si="80"/>
        <v>0</v>
      </c>
      <c r="CQ220" s="41">
        <v>0</v>
      </c>
      <c r="CR220" s="50">
        <v>0</v>
      </c>
      <c r="CS220" s="41">
        <f t="shared" si="78"/>
        <v>0</v>
      </c>
    </row>
    <row r="221" spans="1:99" hidden="1">
      <c r="A221" s="39" t="s">
        <v>246</v>
      </c>
      <c r="B221" s="39" t="s">
        <v>253</v>
      </c>
      <c r="C221" s="39" t="s">
        <v>254</v>
      </c>
      <c r="D221" s="56"/>
      <c r="E221" s="39" t="s">
        <v>255</v>
      </c>
      <c r="H221" s="51">
        <v>2</v>
      </c>
      <c r="I221" s="49">
        <v>0</v>
      </c>
      <c r="J221" s="49">
        <v>0</v>
      </c>
      <c r="K221" s="51">
        <f t="shared" si="85"/>
        <v>2</v>
      </c>
      <c r="L221" s="51">
        <f t="shared" si="77"/>
        <v>0</v>
      </c>
      <c r="M221" s="51">
        <v>2</v>
      </c>
      <c r="N221" s="52"/>
      <c r="O221" s="41">
        <v>0</v>
      </c>
      <c r="P221" s="50">
        <v>0</v>
      </c>
      <c r="Q221" s="50">
        <v>0</v>
      </c>
      <c r="R221" s="50">
        <v>0</v>
      </c>
      <c r="S221" s="41">
        <v>0</v>
      </c>
      <c r="T221" s="41">
        <v>0</v>
      </c>
      <c r="U221" s="41"/>
      <c r="V221" s="41">
        <v>0</v>
      </c>
      <c r="W221" s="50">
        <v>0</v>
      </c>
      <c r="X221" s="50">
        <v>0</v>
      </c>
      <c r="Y221" s="41">
        <f t="shared" si="86"/>
        <v>0</v>
      </c>
      <c r="Z221" s="41">
        <v>0</v>
      </c>
      <c r="AA221" s="41"/>
      <c r="AB221" s="41">
        <v>0</v>
      </c>
      <c r="AC221" s="41">
        <v>0</v>
      </c>
      <c r="AD221" s="50">
        <v>0</v>
      </c>
      <c r="AE221" s="41">
        <v>0</v>
      </c>
      <c r="AF221" s="41">
        <v>0</v>
      </c>
      <c r="AG221" s="41">
        <f t="shared" si="91"/>
        <v>0</v>
      </c>
      <c r="AH221" s="41">
        <v>0</v>
      </c>
      <c r="AI221" s="41"/>
      <c r="AJ221" s="41">
        <v>0</v>
      </c>
      <c r="AK221" s="50">
        <v>0</v>
      </c>
      <c r="AL221" s="41">
        <v>0</v>
      </c>
      <c r="AM221" s="50">
        <v>0</v>
      </c>
      <c r="AN221" s="41">
        <f t="shared" si="87"/>
        <v>0</v>
      </c>
      <c r="AO221" s="41">
        <v>0</v>
      </c>
      <c r="AP221" s="41"/>
      <c r="AQ221" s="53">
        <v>0</v>
      </c>
      <c r="AR221" s="54">
        <v>0</v>
      </c>
      <c r="AS221" s="54">
        <v>0</v>
      </c>
      <c r="AT221" s="53">
        <v>0</v>
      </c>
      <c r="AU221" s="41">
        <f t="shared" si="88"/>
        <v>0</v>
      </c>
      <c r="AV221" s="41">
        <v>0</v>
      </c>
      <c r="AW221" s="41"/>
      <c r="AX221" s="41">
        <v>0</v>
      </c>
      <c r="AY221" s="54">
        <v>0</v>
      </c>
      <c r="AZ221" s="50">
        <v>0</v>
      </c>
      <c r="BA221" s="50">
        <v>0</v>
      </c>
      <c r="BB221" s="41">
        <v>0</v>
      </c>
      <c r="BC221" s="41">
        <f t="shared" si="90"/>
        <v>0</v>
      </c>
      <c r="BD221" s="41">
        <v>0</v>
      </c>
      <c r="BF221" s="41">
        <v>0</v>
      </c>
      <c r="BG221" s="50">
        <v>0</v>
      </c>
      <c r="BH221" s="41">
        <v>0</v>
      </c>
      <c r="BI221" s="50">
        <v>0</v>
      </c>
      <c r="BJ221" s="41">
        <v>0</v>
      </c>
      <c r="BK221" s="41">
        <f t="shared" si="89"/>
        <v>0</v>
      </c>
      <c r="BL221" s="41">
        <v>0</v>
      </c>
      <c r="BM221" s="55"/>
      <c r="BN221" s="41">
        <v>0</v>
      </c>
      <c r="BO221" s="50">
        <v>0</v>
      </c>
      <c r="BP221" s="50">
        <v>0</v>
      </c>
      <c r="BQ221" s="41">
        <v>0</v>
      </c>
      <c r="BR221" s="41">
        <v>0</v>
      </c>
      <c r="BS221" s="41">
        <f t="shared" si="81"/>
        <v>0</v>
      </c>
      <c r="BT221" s="41">
        <v>0</v>
      </c>
      <c r="BV221" s="41">
        <v>0</v>
      </c>
      <c r="BW221" s="50">
        <v>0</v>
      </c>
      <c r="BX221" s="41">
        <f t="shared" si="83"/>
        <v>0</v>
      </c>
      <c r="BY221" s="41">
        <v>0</v>
      </c>
      <c r="CA221" s="41">
        <v>0</v>
      </c>
      <c r="CB221" s="50">
        <v>0</v>
      </c>
      <c r="CC221" s="41">
        <f t="shared" si="84"/>
        <v>0</v>
      </c>
      <c r="CD221" s="41">
        <v>0</v>
      </c>
      <c r="CF221" s="41">
        <v>0</v>
      </c>
      <c r="CG221" s="50">
        <v>0</v>
      </c>
      <c r="CH221" s="41">
        <v>0</v>
      </c>
      <c r="CI221" s="41">
        <f t="shared" si="82"/>
        <v>0</v>
      </c>
      <c r="CJ221" s="41">
        <v>0</v>
      </c>
      <c r="CK221" s="50">
        <v>0</v>
      </c>
      <c r="CL221" s="41">
        <f t="shared" si="92"/>
        <v>0</v>
      </c>
      <c r="CM221" s="41">
        <v>0</v>
      </c>
      <c r="CN221" s="50">
        <v>0</v>
      </c>
      <c r="CO221" s="41">
        <v>0</v>
      </c>
      <c r="CP221" s="41">
        <f t="shared" si="80"/>
        <v>0</v>
      </c>
      <c r="CQ221" s="41">
        <v>0</v>
      </c>
      <c r="CR221" s="50">
        <v>0</v>
      </c>
      <c r="CS221" s="41">
        <f t="shared" si="78"/>
        <v>0</v>
      </c>
    </row>
    <row r="222" spans="1:99" hidden="1">
      <c r="A222" s="39" t="s">
        <v>246</v>
      </c>
      <c r="B222" s="39" t="s">
        <v>253</v>
      </c>
      <c r="C222" s="39" t="s">
        <v>254</v>
      </c>
      <c r="D222" s="56">
        <v>15033301054</v>
      </c>
      <c r="E222" s="39" t="s">
        <v>256</v>
      </c>
      <c r="H222" s="51">
        <v>0</v>
      </c>
      <c r="I222" s="49">
        <v>0</v>
      </c>
      <c r="J222" s="49">
        <v>0</v>
      </c>
      <c r="K222" s="51">
        <v>0</v>
      </c>
      <c r="L222" s="51">
        <v>0</v>
      </c>
      <c r="M222" s="51">
        <v>0</v>
      </c>
      <c r="N222" s="52"/>
      <c r="O222" s="41">
        <v>0</v>
      </c>
      <c r="P222" s="50">
        <v>0</v>
      </c>
      <c r="Q222" s="50">
        <v>0</v>
      </c>
      <c r="R222" s="50">
        <v>0</v>
      </c>
      <c r="S222" s="41">
        <v>0</v>
      </c>
      <c r="T222" s="41">
        <v>0</v>
      </c>
      <c r="U222" s="41"/>
      <c r="V222" s="41">
        <v>0</v>
      </c>
      <c r="W222" s="50">
        <v>0</v>
      </c>
      <c r="X222" s="50">
        <v>0</v>
      </c>
      <c r="Y222" s="41">
        <v>0</v>
      </c>
      <c r="Z222" s="41">
        <v>0</v>
      </c>
      <c r="AA222" s="41"/>
      <c r="AB222" s="41">
        <v>0</v>
      </c>
      <c r="AC222" s="41">
        <v>0</v>
      </c>
      <c r="AD222" s="50">
        <v>0</v>
      </c>
      <c r="AE222" s="41">
        <v>0</v>
      </c>
      <c r="AF222" s="41">
        <v>0</v>
      </c>
      <c r="AG222" s="41">
        <f t="shared" si="91"/>
        <v>27</v>
      </c>
      <c r="AH222" s="41">
        <v>27</v>
      </c>
      <c r="AI222" s="41"/>
      <c r="AJ222" s="41">
        <v>0</v>
      </c>
      <c r="AK222" s="50">
        <v>0</v>
      </c>
      <c r="AL222" s="41">
        <v>0</v>
      </c>
      <c r="AM222" s="50">
        <v>0</v>
      </c>
      <c r="AN222" s="41">
        <f t="shared" si="87"/>
        <v>0</v>
      </c>
      <c r="AO222" s="41">
        <v>0</v>
      </c>
      <c r="AP222" s="41"/>
      <c r="AQ222" s="53">
        <v>0</v>
      </c>
      <c r="AR222" s="54">
        <v>0</v>
      </c>
      <c r="AS222" s="54">
        <v>0</v>
      </c>
      <c r="AT222" s="53">
        <v>0</v>
      </c>
      <c r="AU222" s="41">
        <f t="shared" si="88"/>
        <v>0</v>
      </c>
      <c r="AV222" s="41">
        <v>0</v>
      </c>
      <c r="AW222" s="41"/>
      <c r="AX222" s="41">
        <v>0</v>
      </c>
      <c r="AY222" s="54">
        <v>0</v>
      </c>
      <c r="AZ222" s="50">
        <v>0</v>
      </c>
      <c r="BA222" s="50">
        <v>0</v>
      </c>
      <c r="BB222" s="41">
        <v>0</v>
      </c>
      <c r="BC222" s="41">
        <f t="shared" si="90"/>
        <v>0</v>
      </c>
      <c r="BD222" s="41">
        <v>0</v>
      </c>
      <c r="BF222" s="41">
        <v>0</v>
      </c>
      <c r="BG222" s="50">
        <v>0</v>
      </c>
      <c r="BH222" s="41">
        <v>0</v>
      </c>
      <c r="BI222" s="50">
        <v>0</v>
      </c>
      <c r="BJ222" s="41">
        <v>0</v>
      </c>
      <c r="BK222" s="41">
        <f t="shared" si="89"/>
        <v>0</v>
      </c>
      <c r="BL222" s="41">
        <v>0</v>
      </c>
      <c r="BM222" s="55"/>
      <c r="BN222" s="41">
        <v>0</v>
      </c>
      <c r="BO222" s="50">
        <v>0</v>
      </c>
      <c r="BP222" s="50">
        <v>0</v>
      </c>
      <c r="BQ222" s="41">
        <v>0</v>
      </c>
      <c r="BR222" s="41">
        <v>0</v>
      </c>
      <c r="BS222" s="41">
        <f t="shared" si="81"/>
        <v>0</v>
      </c>
      <c r="BT222" s="41">
        <v>0</v>
      </c>
      <c r="BV222" s="41">
        <v>0</v>
      </c>
      <c r="BW222" s="50">
        <v>0</v>
      </c>
      <c r="BX222" s="41">
        <f t="shared" si="83"/>
        <v>0</v>
      </c>
      <c r="BY222" s="41">
        <v>0</v>
      </c>
      <c r="CA222" s="41">
        <v>0</v>
      </c>
      <c r="CB222" s="50">
        <v>0</v>
      </c>
      <c r="CC222" s="41">
        <f t="shared" si="84"/>
        <v>0</v>
      </c>
      <c r="CD222" s="41">
        <v>0</v>
      </c>
      <c r="CF222" s="41">
        <v>0</v>
      </c>
      <c r="CG222" s="50">
        <v>0</v>
      </c>
      <c r="CH222" s="41">
        <v>0</v>
      </c>
      <c r="CI222" s="41">
        <f t="shared" si="82"/>
        <v>0</v>
      </c>
      <c r="CJ222" s="41">
        <v>0</v>
      </c>
      <c r="CK222" s="50">
        <v>0</v>
      </c>
      <c r="CL222" s="41">
        <f t="shared" si="92"/>
        <v>0</v>
      </c>
      <c r="CM222" s="41">
        <v>0</v>
      </c>
      <c r="CN222" s="50">
        <v>0</v>
      </c>
      <c r="CO222" s="41">
        <v>0</v>
      </c>
      <c r="CP222" s="41">
        <f t="shared" si="80"/>
        <v>0</v>
      </c>
      <c r="CQ222" s="41">
        <v>0</v>
      </c>
      <c r="CR222" s="50">
        <v>0</v>
      </c>
      <c r="CS222" s="41">
        <f t="shared" si="78"/>
        <v>0</v>
      </c>
      <c r="CU222" s="39" t="s">
        <v>565</v>
      </c>
    </row>
    <row r="223" spans="1:99" hidden="1">
      <c r="A223" s="39" t="s">
        <v>246</v>
      </c>
      <c r="B223" s="39" t="s">
        <v>253</v>
      </c>
      <c r="C223" s="39" t="s">
        <v>254</v>
      </c>
      <c r="D223" s="56">
        <v>15811607054</v>
      </c>
      <c r="E223" s="39" t="s">
        <v>257</v>
      </c>
      <c r="H223" s="51">
        <v>0</v>
      </c>
      <c r="I223" s="49">
        <v>0</v>
      </c>
      <c r="J223" s="49">
        <v>0</v>
      </c>
      <c r="K223" s="51">
        <f t="shared" si="85"/>
        <v>0</v>
      </c>
      <c r="L223" s="51">
        <f t="shared" si="77"/>
        <v>0</v>
      </c>
      <c r="M223" s="51">
        <v>0</v>
      </c>
      <c r="N223" s="52"/>
      <c r="O223" s="41">
        <v>0</v>
      </c>
      <c r="P223" s="50">
        <v>0</v>
      </c>
      <c r="Q223" s="50">
        <v>0</v>
      </c>
      <c r="R223" s="50">
        <v>0</v>
      </c>
      <c r="S223" s="41">
        <v>0</v>
      </c>
      <c r="T223" s="41">
        <v>0</v>
      </c>
      <c r="U223" s="41"/>
      <c r="V223" s="41">
        <v>0</v>
      </c>
      <c r="W223" s="50">
        <v>0</v>
      </c>
      <c r="X223" s="50">
        <v>0</v>
      </c>
      <c r="Y223" s="41">
        <f t="shared" si="86"/>
        <v>0</v>
      </c>
      <c r="Z223" s="41">
        <v>0</v>
      </c>
      <c r="AA223" s="41"/>
      <c r="AB223" s="41">
        <v>28</v>
      </c>
      <c r="AC223" s="41">
        <v>0</v>
      </c>
      <c r="AD223" s="50">
        <v>0</v>
      </c>
      <c r="AE223" s="41">
        <v>0</v>
      </c>
      <c r="AF223" s="41">
        <v>0</v>
      </c>
      <c r="AG223" s="41">
        <f t="shared" si="91"/>
        <v>-28</v>
      </c>
      <c r="AH223" s="41">
        <v>0</v>
      </c>
      <c r="AI223" s="41"/>
      <c r="AJ223" s="41">
        <v>0</v>
      </c>
      <c r="AK223" s="50">
        <v>0</v>
      </c>
      <c r="AL223" s="41">
        <v>0</v>
      </c>
      <c r="AM223" s="50">
        <v>0</v>
      </c>
      <c r="AN223" s="41">
        <f t="shared" si="87"/>
        <v>0</v>
      </c>
      <c r="AO223" s="41">
        <v>0</v>
      </c>
      <c r="AP223" s="41"/>
      <c r="AQ223" s="53">
        <v>0</v>
      </c>
      <c r="AR223" s="54">
        <v>0</v>
      </c>
      <c r="AS223" s="54">
        <v>0</v>
      </c>
      <c r="AT223" s="53">
        <v>0</v>
      </c>
      <c r="AU223" s="41">
        <f t="shared" si="88"/>
        <v>0</v>
      </c>
      <c r="AV223" s="41">
        <v>0</v>
      </c>
      <c r="AW223" s="41"/>
      <c r="AX223" s="41">
        <v>0</v>
      </c>
      <c r="AY223" s="54">
        <v>0</v>
      </c>
      <c r="AZ223" s="50">
        <v>0</v>
      </c>
      <c r="BA223" s="50">
        <v>0</v>
      </c>
      <c r="BB223" s="41">
        <v>0</v>
      </c>
      <c r="BC223" s="41">
        <f t="shared" si="90"/>
        <v>0</v>
      </c>
      <c r="BD223" s="41">
        <v>0</v>
      </c>
      <c r="BF223" s="41">
        <v>0</v>
      </c>
      <c r="BG223" s="50">
        <v>0</v>
      </c>
      <c r="BH223" s="41">
        <v>0</v>
      </c>
      <c r="BI223" s="50">
        <v>0</v>
      </c>
      <c r="BJ223" s="41">
        <v>0</v>
      </c>
      <c r="BK223" s="41">
        <f t="shared" si="89"/>
        <v>0</v>
      </c>
      <c r="BL223" s="41">
        <v>0</v>
      </c>
      <c r="BM223" s="55"/>
      <c r="BN223" s="41">
        <v>0</v>
      </c>
      <c r="BO223" s="50">
        <v>0</v>
      </c>
      <c r="BP223" s="50">
        <v>0</v>
      </c>
      <c r="BQ223" s="41">
        <v>0</v>
      </c>
      <c r="BR223" s="41">
        <v>0</v>
      </c>
      <c r="BS223" s="41">
        <f t="shared" si="81"/>
        <v>0</v>
      </c>
      <c r="BT223" s="41">
        <v>0</v>
      </c>
      <c r="BV223" s="41">
        <v>0</v>
      </c>
      <c r="BW223" s="50">
        <v>0</v>
      </c>
      <c r="BX223" s="41">
        <f t="shared" si="83"/>
        <v>0</v>
      </c>
      <c r="BY223" s="41">
        <v>0</v>
      </c>
      <c r="CA223" s="41">
        <v>0</v>
      </c>
      <c r="CB223" s="50">
        <v>0</v>
      </c>
      <c r="CC223" s="41">
        <f t="shared" si="84"/>
        <v>0</v>
      </c>
      <c r="CD223" s="41">
        <v>0</v>
      </c>
      <c r="CF223" s="41">
        <v>0</v>
      </c>
      <c r="CG223" s="50">
        <v>0</v>
      </c>
      <c r="CH223" s="41">
        <v>0</v>
      </c>
      <c r="CI223" s="41">
        <f t="shared" si="82"/>
        <v>0</v>
      </c>
      <c r="CJ223" s="41">
        <v>0</v>
      </c>
      <c r="CK223" s="50">
        <v>0</v>
      </c>
      <c r="CL223" s="41">
        <f t="shared" si="92"/>
        <v>0</v>
      </c>
      <c r="CM223" s="41">
        <v>0</v>
      </c>
      <c r="CN223" s="50">
        <v>0</v>
      </c>
      <c r="CO223" s="41">
        <v>0</v>
      </c>
      <c r="CP223" s="41">
        <f t="shared" si="80"/>
        <v>0</v>
      </c>
      <c r="CQ223" s="41">
        <v>0</v>
      </c>
      <c r="CR223" s="50">
        <v>0</v>
      </c>
      <c r="CS223" s="41">
        <f t="shared" si="78"/>
        <v>0</v>
      </c>
      <c r="CU223" s="39" t="s">
        <v>566</v>
      </c>
    </row>
    <row r="224" spans="1:99" hidden="1">
      <c r="A224" s="39" t="s">
        <v>246</v>
      </c>
      <c r="B224" s="39" t="s">
        <v>258</v>
      </c>
      <c r="C224" s="39" t="s">
        <v>259</v>
      </c>
      <c r="D224" s="56">
        <v>15020001054</v>
      </c>
      <c r="E224" s="39" t="s">
        <v>241</v>
      </c>
      <c r="H224" s="51">
        <v>459</v>
      </c>
      <c r="I224" s="49">
        <v>0</v>
      </c>
      <c r="J224" s="49">
        <v>0</v>
      </c>
      <c r="K224" s="51">
        <f t="shared" si="85"/>
        <v>459</v>
      </c>
      <c r="L224" s="51">
        <f t="shared" si="77"/>
        <v>0</v>
      </c>
      <c r="M224" s="51">
        <v>459</v>
      </c>
      <c r="N224" s="52"/>
      <c r="O224" s="41">
        <v>470</v>
      </c>
      <c r="P224" s="50">
        <v>0</v>
      </c>
      <c r="Q224" s="50">
        <v>0</v>
      </c>
      <c r="R224" s="50">
        <v>0</v>
      </c>
      <c r="S224" s="41">
        <v>0</v>
      </c>
      <c r="T224" s="41">
        <v>470</v>
      </c>
      <c r="U224" s="41"/>
      <c r="V224" s="41">
        <v>490</v>
      </c>
      <c r="W224" s="50">
        <v>0</v>
      </c>
      <c r="X224" s="50">
        <v>0</v>
      </c>
      <c r="Y224" s="41">
        <f t="shared" si="86"/>
        <v>0</v>
      </c>
      <c r="Z224" s="41">
        <v>490</v>
      </c>
      <c r="AA224" s="41"/>
      <c r="AB224" s="41">
        <v>1167</v>
      </c>
      <c r="AC224" s="41">
        <v>0</v>
      </c>
      <c r="AD224" s="50">
        <v>73</v>
      </c>
      <c r="AE224" s="41">
        <v>0</v>
      </c>
      <c r="AF224" s="41">
        <v>0</v>
      </c>
      <c r="AG224" s="41">
        <f t="shared" ref="AG224:AG247" si="93">AH224-SUM(AB224:AF224)</f>
        <v>0</v>
      </c>
      <c r="AH224" s="41">
        <v>1240</v>
      </c>
      <c r="AI224" s="41"/>
      <c r="AJ224" s="41">
        <v>2260</v>
      </c>
      <c r="AK224" s="50">
        <v>0</v>
      </c>
      <c r="AL224" s="41">
        <v>16</v>
      </c>
      <c r="AM224" s="50">
        <v>0</v>
      </c>
      <c r="AN224" s="41">
        <f t="shared" si="87"/>
        <v>13</v>
      </c>
      <c r="AO224" s="41">
        <v>2289</v>
      </c>
      <c r="AP224" s="41"/>
      <c r="AQ224" s="53">
        <v>2488</v>
      </c>
      <c r="AR224" s="54">
        <v>0</v>
      </c>
      <c r="AS224" s="54">
        <v>0</v>
      </c>
      <c r="AT224" s="53">
        <v>257</v>
      </c>
      <c r="AU224" s="41">
        <f t="shared" si="88"/>
        <v>519</v>
      </c>
      <c r="AV224" s="41">
        <v>3264</v>
      </c>
      <c r="AW224" s="41"/>
      <c r="AX224" s="41">
        <v>3330</v>
      </c>
      <c r="AY224" s="54">
        <v>0</v>
      </c>
      <c r="AZ224" s="50">
        <v>0</v>
      </c>
      <c r="BA224" s="50">
        <v>106</v>
      </c>
      <c r="BB224" s="41">
        <v>0</v>
      </c>
      <c r="BC224" s="41">
        <f t="shared" si="90"/>
        <v>-1127</v>
      </c>
      <c r="BD224" s="41">
        <v>2309</v>
      </c>
      <c r="BF224" s="41">
        <v>3755</v>
      </c>
      <c r="BG224" s="50">
        <v>83</v>
      </c>
      <c r="BH224" s="41">
        <v>0</v>
      </c>
      <c r="BI224" s="50">
        <v>0</v>
      </c>
      <c r="BJ224" s="41">
        <v>0</v>
      </c>
      <c r="BK224" s="41">
        <f t="shared" si="89"/>
        <v>344</v>
      </c>
      <c r="BL224" s="41">
        <v>4182</v>
      </c>
      <c r="BM224" s="55"/>
      <c r="BN224" s="41">
        <v>4342</v>
      </c>
      <c r="BO224" s="50">
        <v>101</v>
      </c>
      <c r="BP224" s="50">
        <v>0</v>
      </c>
      <c r="BQ224" s="41">
        <v>0</v>
      </c>
      <c r="BR224" s="41">
        <v>0</v>
      </c>
      <c r="BS224" s="41">
        <f t="shared" si="81"/>
        <v>-15</v>
      </c>
      <c r="BT224" s="41">
        <v>4428</v>
      </c>
      <c r="BV224" s="41">
        <v>4342</v>
      </c>
      <c r="BW224" s="50">
        <v>101</v>
      </c>
      <c r="BX224" s="41">
        <f t="shared" si="83"/>
        <v>91</v>
      </c>
      <c r="BY224" s="41">
        <v>4534</v>
      </c>
      <c r="CA224" s="41">
        <v>4736</v>
      </c>
      <c r="CB224" s="50">
        <v>0</v>
      </c>
      <c r="CC224" s="41">
        <f t="shared" si="84"/>
        <v>0</v>
      </c>
      <c r="CD224" s="41">
        <v>4736</v>
      </c>
      <c r="CF224" s="41">
        <v>4377</v>
      </c>
      <c r="CG224" s="50">
        <v>0</v>
      </c>
      <c r="CH224" s="41">
        <v>0</v>
      </c>
      <c r="CI224" s="41">
        <f t="shared" si="82"/>
        <v>4377</v>
      </c>
      <c r="CJ224" s="41">
        <v>4900</v>
      </c>
      <c r="CK224" s="50">
        <v>0</v>
      </c>
      <c r="CL224" s="41">
        <f t="shared" si="92"/>
        <v>4900</v>
      </c>
      <c r="CM224" s="41">
        <v>4948</v>
      </c>
      <c r="CN224" s="50">
        <v>0</v>
      </c>
      <c r="CO224" s="41">
        <v>0</v>
      </c>
      <c r="CP224" s="41">
        <f t="shared" si="80"/>
        <v>4948</v>
      </c>
      <c r="CQ224" s="41">
        <v>4997</v>
      </c>
      <c r="CR224" s="50">
        <v>0</v>
      </c>
      <c r="CS224" s="41">
        <f t="shared" si="78"/>
        <v>4997</v>
      </c>
      <c r="CU224" s="39" t="s">
        <v>567</v>
      </c>
    </row>
    <row r="225" spans="1:99" hidden="1">
      <c r="A225" s="39" t="s">
        <v>246</v>
      </c>
      <c r="B225" s="39" t="s">
        <v>258</v>
      </c>
      <c r="C225" s="39" t="s">
        <v>259</v>
      </c>
      <c r="D225" s="57"/>
      <c r="E225" s="39" t="s">
        <v>260</v>
      </c>
      <c r="H225" s="51">
        <v>0</v>
      </c>
      <c r="I225" s="49">
        <v>0</v>
      </c>
      <c r="J225" s="49">
        <v>0</v>
      </c>
      <c r="K225" s="51">
        <f t="shared" si="85"/>
        <v>0</v>
      </c>
      <c r="L225" s="51">
        <f t="shared" si="77"/>
        <v>-172</v>
      </c>
      <c r="M225" s="51">
        <v>-172</v>
      </c>
      <c r="N225" s="52"/>
      <c r="O225" s="41">
        <v>0</v>
      </c>
      <c r="P225" s="50">
        <v>0</v>
      </c>
      <c r="Q225" s="50">
        <v>0</v>
      </c>
      <c r="R225" s="50">
        <v>0</v>
      </c>
      <c r="S225" s="41">
        <v>0</v>
      </c>
      <c r="T225" s="41">
        <v>0</v>
      </c>
      <c r="U225" s="41"/>
      <c r="V225" s="41">
        <v>0</v>
      </c>
      <c r="W225" s="50">
        <v>0</v>
      </c>
      <c r="X225" s="50">
        <v>0</v>
      </c>
      <c r="Y225" s="41">
        <f t="shared" si="86"/>
        <v>0</v>
      </c>
      <c r="Z225" s="41">
        <v>0</v>
      </c>
      <c r="AA225" s="41"/>
      <c r="AB225" s="41">
        <v>0</v>
      </c>
      <c r="AC225" s="41">
        <v>0</v>
      </c>
      <c r="AD225" s="50">
        <v>0</v>
      </c>
      <c r="AE225" s="41">
        <v>0</v>
      </c>
      <c r="AF225" s="41">
        <v>0</v>
      </c>
      <c r="AG225" s="41">
        <f t="shared" si="93"/>
        <v>0</v>
      </c>
      <c r="AH225" s="41">
        <v>0</v>
      </c>
      <c r="AI225" s="41"/>
      <c r="AJ225" s="41">
        <v>0</v>
      </c>
      <c r="AK225" s="50">
        <v>0</v>
      </c>
      <c r="AL225" s="41">
        <v>0</v>
      </c>
      <c r="AM225" s="50">
        <v>0</v>
      </c>
      <c r="AN225" s="41">
        <f t="shared" si="87"/>
        <v>0</v>
      </c>
      <c r="AO225" s="41">
        <v>0</v>
      </c>
      <c r="AP225" s="41"/>
      <c r="AQ225" s="53">
        <v>0</v>
      </c>
      <c r="AR225" s="54">
        <v>0</v>
      </c>
      <c r="AS225" s="54">
        <v>0</v>
      </c>
      <c r="AT225" s="53">
        <v>0</v>
      </c>
      <c r="AU225" s="41">
        <f t="shared" si="88"/>
        <v>0</v>
      </c>
      <c r="AV225" s="41">
        <v>0</v>
      </c>
      <c r="AW225" s="41"/>
      <c r="AX225" s="41">
        <v>0</v>
      </c>
      <c r="AY225" s="54">
        <v>0</v>
      </c>
      <c r="AZ225" s="50">
        <v>0</v>
      </c>
      <c r="BA225" s="50">
        <v>0</v>
      </c>
      <c r="BB225" s="41">
        <v>0</v>
      </c>
      <c r="BC225" s="41">
        <f t="shared" si="90"/>
        <v>0</v>
      </c>
      <c r="BD225" s="41">
        <v>0</v>
      </c>
      <c r="BF225" s="41">
        <v>0</v>
      </c>
      <c r="BG225" s="50">
        <v>0</v>
      </c>
      <c r="BH225" s="41">
        <v>0</v>
      </c>
      <c r="BI225" s="50">
        <v>0</v>
      </c>
      <c r="BJ225" s="41">
        <v>0</v>
      </c>
      <c r="BK225" s="41">
        <f t="shared" si="89"/>
        <v>0</v>
      </c>
      <c r="BL225" s="41">
        <v>0</v>
      </c>
      <c r="BM225" s="55"/>
      <c r="BN225" s="41">
        <v>0</v>
      </c>
      <c r="BO225" s="50">
        <v>0</v>
      </c>
      <c r="BP225" s="50">
        <v>0</v>
      </c>
      <c r="BQ225" s="41">
        <v>0</v>
      </c>
      <c r="BR225" s="41">
        <v>0</v>
      </c>
      <c r="BS225" s="41">
        <f t="shared" si="81"/>
        <v>0</v>
      </c>
      <c r="BT225" s="41">
        <v>0</v>
      </c>
      <c r="BV225" s="41">
        <v>0</v>
      </c>
      <c r="BW225" s="50">
        <v>0</v>
      </c>
      <c r="BX225" s="41">
        <f t="shared" si="83"/>
        <v>0</v>
      </c>
      <c r="BY225" s="41">
        <v>0</v>
      </c>
      <c r="CA225" s="41">
        <v>0</v>
      </c>
      <c r="CB225" s="50">
        <v>0</v>
      </c>
      <c r="CC225" s="41">
        <f t="shared" si="84"/>
        <v>0</v>
      </c>
      <c r="CD225" s="41">
        <v>0</v>
      </c>
      <c r="CF225" s="41">
        <v>0</v>
      </c>
      <c r="CG225" s="50">
        <v>0</v>
      </c>
      <c r="CH225" s="41">
        <v>0</v>
      </c>
      <c r="CI225" s="41">
        <f t="shared" si="82"/>
        <v>0</v>
      </c>
      <c r="CJ225" s="41">
        <v>0</v>
      </c>
      <c r="CK225" s="50">
        <v>0</v>
      </c>
      <c r="CL225" s="41">
        <f t="shared" si="92"/>
        <v>0</v>
      </c>
      <c r="CM225" s="41">
        <v>0</v>
      </c>
      <c r="CN225" s="50">
        <v>0</v>
      </c>
      <c r="CO225" s="41">
        <v>0</v>
      </c>
      <c r="CP225" s="41">
        <f t="shared" si="80"/>
        <v>0</v>
      </c>
      <c r="CQ225" s="41">
        <v>0</v>
      </c>
      <c r="CR225" s="50">
        <v>0</v>
      </c>
      <c r="CS225" s="41">
        <f t="shared" si="78"/>
        <v>0</v>
      </c>
      <c r="CU225" s="44"/>
    </row>
    <row r="226" spans="1:99" hidden="1">
      <c r="A226" s="39" t="s">
        <v>246</v>
      </c>
      <c r="B226" s="39" t="s">
        <v>261</v>
      </c>
      <c r="C226" s="39" t="s">
        <v>262</v>
      </c>
      <c r="D226" s="56"/>
      <c r="E226" s="39" t="s">
        <v>263</v>
      </c>
      <c r="H226" s="51">
        <v>440</v>
      </c>
      <c r="I226" s="49">
        <v>0</v>
      </c>
      <c r="J226" s="49">
        <v>0</v>
      </c>
      <c r="K226" s="51">
        <f t="shared" si="85"/>
        <v>440</v>
      </c>
      <c r="L226" s="51">
        <f t="shared" si="77"/>
        <v>-440</v>
      </c>
      <c r="M226" s="51">
        <v>0</v>
      </c>
      <c r="N226" s="52"/>
      <c r="O226" s="41">
        <v>0</v>
      </c>
      <c r="P226" s="50">
        <v>0</v>
      </c>
      <c r="Q226" s="50">
        <v>0</v>
      </c>
      <c r="R226" s="50">
        <v>0</v>
      </c>
      <c r="S226" s="41">
        <v>0</v>
      </c>
      <c r="T226" s="41">
        <v>0</v>
      </c>
      <c r="U226" s="41"/>
      <c r="V226" s="41">
        <v>0</v>
      </c>
      <c r="W226" s="50">
        <v>0</v>
      </c>
      <c r="X226" s="50">
        <v>0</v>
      </c>
      <c r="Y226" s="41">
        <f t="shared" si="86"/>
        <v>0</v>
      </c>
      <c r="Z226" s="41">
        <v>0</v>
      </c>
      <c r="AA226" s="41"/>
      <c r="AB226" s="41">
        <v>0</v>
      </c>
      <c r="AC226" s="41">
        <v>0</v>
      </c>
      <c r="AD226" s="50">
        <v>0</v>
      </c>
      <c r="AE226" s="41">
        <v>0</v>
      </c>
      <c r="AF226" s="41">
        <v>0</v>
      </c>
      <c r="AG226" s="41">
        <f t="shared" si="93"/>
        <v>0</v>
      </c>
      <c r="AH226" s="41">
        <v>0</v>
      </c>
      <c r="AI226" s="41"/>
      <c r="AJ226" s="41">
        <v>0</v>
      </c>
      <c r="AK226" s="50">
        <v>0</v>
      </c>
      <c r="AL226" s="41">
        <v>0</v>
      </c>
      <c r="AM226" s="50">
        <v>0</v>
      </c>
      <c r="AN226" s="41">
        <f t="shared" si="87"/>
        <v>0</v>
      </c>
      <c r="AO226" s="41">
        <v>0</v>
      </c>
      <c r="AP226" s="41"/>
      <c r="AQ226" s="53">
        <v>0</v>
      </c>
      <c r="AR226" s="54">
        <v>0</v>
      </c>
      <c r="AS226" s="54">
        <v>0</v>
      </c>
      <c r="AT226" s="53">
        <v>0</v>
      </c>
      <c r="AU226" s="41">
        <f t="shared" si="88"/>
        <v>0</v>
      </c>
      <c r="AV226" s="41">
        <v>0</v>
      </c>
      <c r="AW226" s="41"/>
      <c r="AX226" s="41">
        <v>0</v>
      </c>
      <c r="AY226" s="54">
        <v>0</v>
      </c>
      <c r="AZ226" s="50">
        <v>0</v>
      </c>
      <c r="BA226" s="50">
        <v>0</v>
      </c>
      <c r="BB226" s="41">
        <v>0</v>
      </c>
      <c r="BC226" s="41">
        <f t="shared" si="90"/>
        <v>0</v>
      </c>
      <c r="BD226" s="41">
        <v>0</v>
      </c>
      <c r="BF226" s="41">
        <v>0</v>
      </c>
      <c r="BG226" s="50">
        <v>0</v>
      </c>
      <c r="BH226" s="41">
        <v>0</v>
      </c>
      <c r="BI226" s="50">
        <v>0</v>
      </c>
      <c r="BJ226" s="41">
        <v>0</v>
      </c>
      <c r="BK226" s="41">
        <f t="shared" si="89"/>
        <v>0</v>
      </c>
      <c r="BL226" s="41">
        <v>0</v>
      </c>
      <c r="BM226" s="55"/>
      <c r="BN226" s="41">
        <v>0</v>
      </c>
      <c r="BO226" s="50">
        <v>0</v>
      </c>
      <c r="BP226" s="50">
        <v>0</v>
      </c>
      <c r="BQ226" s="41">
        <v>0</v>
      </c>
      <c r="BR226" s="41">
        <v>0</v>
      </c>
      <c r="BS226" s="41">
        <f t="shared" si="81"/>
        <v>0</v>
      </c>
      <c r="BT226" s="41">
        <v>0</v>
      </c>
      <c r="BV226" s="41">
        <v>0</v>
      </c>
      <c r="BW226" s="50">
        <v>0</v>
      </c>
      <c r="BX226" s="41">
        <f t="shared" si="83"/>
        <v>0</v>
      </c>
      <c r="BY226" s="41">
        <v>0</v>
      </c>
      <c r="CA226" s="41">
        <v>0</v>
      </c>
      <c r="CB226" s="50">
        <v>0</v>
      </c>
      <c r="CC226" s="41">
        <f t="shared" si="84"/>
        <v>0</v>
      </c>
      <c r="CD226" s="41">
        <v>0</v>
      </c>
      <c r="CF226" s="41">
        <v>0</v>
      </c>
      <c r="CG226" s="50">
        <v>0</v>
      </c>
      <c r="CH226" s="41">
        <v>0</v>
      </c>
      <c r="CI226" s="41">
        <f t="shared" si="82"/>
        <v>0</v>
      </c>
      <c r="CJ226" s="41">
        <v>0</v>
      </c>
      <c r="CK226" s="50">
        <v>0</v>
      </c>
      <c r="CL226" s="41">
        <f t="shared" si="92"/>
        <v>0</v>
      </c>
      <c r="CM226" s="41">
        <v>0</v>
      </c>
      <c r="CN226" s="50">
        <v>0</v>
      </c>
      <c r="CO226" s="41">
        <v>0</v>
      </c>
      <c r="CP226" s="41">
        <f t="shared" si="80"/>
        <v>0</v>
      </c>
      <c r="CQ226" s="41">
        <v>0</v>
      </c>
      <c r="CR226" s="50">
        <v>0</v>
      </c>
      <c r="CS226" s="41">
        <f t="shared" si="78"/>
        <v>0</v>
      </c>
    </row>
    <row r="227" spans="1:99" hidden="1">
      <c r="A227" s="39" t="s">
        <v>246</v>
      </c>
      <c r="B227" s="39" t="s">
        <v>264</v>
      </c>
      <c r="C227" s="39" t="s">
        <v>265</v>
      </c>
      <c r="D227" s="56">
        <v>69171001054</v>
      </c>
      <c r="E227" s="39" t="s">
        <v>266</v>
      </c>
      <c r="H227" s="51">
        <v>0</v>
      </c>
      <c r="I227" s="49">
        <v>0</v>
      </c>
      <c r="J227" s="49">
        <v>0</v>
      </c>
      <c r="K227" s="51">
        <f t="shared" si="85"/>
        <v>0</v>
      </c>
      <c r="L227" s="51">
        <f t="shared" si="77"/>
        <v>0</v>
      </c>
      <c r="M227" s="51">
        <v>0</v>
      </c>
      <c r="N227" s="52"/>
      <c r="O227" s="41">
        <v>0</v>
      </c>
      <c r="P227" s="50">
        <v>0</v>
      </c>
      <c r="Q227" s="50">
        <v>0</v>
      </c>
      <c r="R227" s="50">
        <v>0</v>
      </c>
      <c r="S227" s="41">
        <v>0</v>
      </c>
      <c r="T227" s="41">
        <v>0</v>
      </c>
      <c r="U227" s="41"/>
      <c r="V227" s="41">
        <v>0</v>
      </c>
      <c r="W227" s="50">
        <v>0</v>
      </c>
      <c r="X227" s="50">
        <v>0</v>
      </c>
      <c r="Y227" s="41">
        <f t="shared" si="86"/>
        <v>0</v>
      </c>
      <c r="Z227" s="41">
        <v>0</v>
      </c>
      <c r="AA227" s="41"/>
      <c r="AB227" s="41">
        <v>0</v>
      </c>
      <c r="AC227" s="41">
        <v>0</v>
      </c>
      <c r="AD227" s="50">
        <v>0</v>
      </c>
      <c r="AE227" s="41">
        <v>0</v>
      </c>
      <c r="AF227" s="41">
        <v>0</v>
      </c>
      <c r="AG227" s="41">
        <f t="shared" si="93"/>
        <v>0</v>
      </c>
      <c r="AH227" s="41">
        <v>0</v>
      </c>
      <c r="AI227" s="41"/>
      <c r="AJ227" s="41">
        <v>0</v>
      </c>
      <c r="AK227" s="50">
        <v>0</v>
      </c>
      <c r="AL227" s="41">
        <v>0</v>
      </c>
      <c r="AM227" s="50">
        <v>0</v>
      </c>
      <c r="AN227" s="41">
        <f t="shared" si="87"/>
        <v>0</v>
      </c>
      <c r="AO227" s="41">
        <v>0</v>
      </c>
      <c r="AP227" s="41"/>
      <c r="AQ227" s="53">
        <v>0</v>
      </c>
      <c r="AR227" s="54">
        <v>0</v>
      </c>
      <c r="AS227" s="54">
        <v>0</v>
      </c>
      <c r="AT227" s="53">
        <v>0</v>
      </c>
      <c r="AU227" s="41">
        <f t="shared" si="88"/>
        <v>0</v>
      </c>
      <c r="AV227" s="41">
        <v>0</v>
      </c>
      <c r="AW227" s="41"/>
      <c r="AX227" s="41">
        <v>0</v>
      </c>
      <c r="AY227" s="54">
        <v>0</v>
      </c>
      <c r="AZ227" s="50">
        <v>0</v>
      </c>
      <c r="BA227" s="50">
        <v>0</v>
      </c>
      <c r="BB227" s="41">
        <v>0</v>
      </c>
      <c r="BC227" s="41">
        <f t="shared" si="90"/>
        <v>0</v>
      </c>
      <c r="BD227" s="41">
        <v>0</v>
      </c>
      <c r="BF227" s="41">
        <v>0</v>
      </c>
      <c r="BG227" s="50">
        <v>0</v>
      </c>
      <c r="BH227" s="41">
        <v>0</v>
      </c>
      <c r="BI227" s="50">
        <v>0</v>
      </c>
      <c r="BJ227" s="41">
        <v>0</v>
      </c>
      <c r="BK227" s="41">
        <f t="shared" si="89"/>
        <v>0</v>
      </c>
      <c r="BL227" s="41">
        <v>0</v>
      </c>
      <c r="BM227" s="55"/>
      <c r="BN227" s="41">
        <v>0</v>
      </c>
      <c r="BO227" s="50">
        <v>0</v>
      </c>
      <c r="BP227" s="50">
        <v>0</v>
      </c>
      <c r="BQ227" s="41">
        <v>0</v>
      </c>
      <c r="BR227" s="41">
        <v>0</v>
      </c>
      <c r="BS227" s="41">
        <f t="shared" si="81"/>
        <v>0</v>
      </c>
      <c r="BT227" s="41">
        <v>0</v>
      </c>
      <c r="BV227" s="41">
        <v>0</v>
      </c>
      <c r="BW227" s="50">
        <v>0</v>
      </c>
      <c r="BX227" s="41">
        <f t="shared" si="83"/>
        <v>0</v>
      </c>
      <c r="BY227" s="41">
        <v>0</v>
      </c>
      <c r="CA227" s="41">
        <v>0</v>
      </c>
      <c r="CB227" s="50">
        <v>0</v>
      </c>
      <c r="CC227" s="41">
        <f t="shared" si="84"/>
        <v>0</v>
      </c>
      <c r="CD227" s="41">
        <v>0</v>
      </c>
      <c r="CF227" s="41">
        <v>0</v>
      </c>
      <c r="CG227" s="50">
        <v>0</v>
      </c>
      <c r="CH227" s="41">
        <v>0</v>
      </c>
      <c r="CI227" s="41">
        <f t="shared" si="82"/>
        <v>0</v>
      </c>
      <c r="CJ227" s="41">
        <v>0</v>
      </c>
      <c r="CK227" s="50">
        <v>0</v>
      </c>
      <c r="CL227" s="41">
        <f t="shared" si="92"/>
        <v>0</v>
      </c>
      <c r="CM227" s="41">
        <v>0</v>
      </c>
      <c r="CN227" s="50">
        <v>0</v>
      </c>
      <c r="CO227" s="41">
        <v>0</v>
      </c>
      <c r="CP227" s="41">
        <f t="shared" si="80"/>
        <v>0</v>
      </c>
      <c r="CQ227" s="41">
        <v>0</v>
      </c>
      <c r="CR227" s="50">
        <v>0</v>
      </c>
      <c r="CS227" s="41">
        <f t="shared" si="78"/>
        <v>0</v>
      </c>
      <c r="CU227" s="39" t="s">
        <v>568</v>
      </c>
    </row>
    <row r="228" spans="1:99" hidden="1">
      <c r="A228" s="39" t="s">
        <v>246</v>
      </c>
      <c r="B228" s="39" t="s">
        <v>264</v>
      </c>
      <c r="C228" s="39" t="s">
        <v>265</v>
      </c>
      <c r="D228" s="56">
        <v>69171101054</v>
      </c>
      <c r="E228" s="39" t="s">
        <v>267</v>
      </c>
      <c r="H228" s="51">
        <v>99</v>
      </c>
      <c r="I228" s="49">
        <v>0</v>
      </c>
      <c r="J228" s="49">
        <v>0</v>
      </c>
      <c r="K228" s="51">
        <f t="shared" si="85"/>
        <v>99</v>
      </c>
      <c r="L228" s="51">
        <f t="shared" si="77"/>
        <v>0</v>
      </c>
      <c r="M228" s="51">
        <v>99</v>
      </c>
      <c r="N228" s="52"/>
      <c r="O228" s="41">
        <v>98</v>
      </c>
      <c r="P228" s="50">
        <v>0</v>
      </c>
      <c r="Q228" s="50">
        <v>0</v>
      </c>
      <c r="R228" s="50">
        <v>0</v>
      </c>
      <c r="S228" s="41">
        <v>0</v>
      </c>
      <c r="T228" s="41">
        <v>98</v>
      </c>
      <c r="U228" s="41"/>
      <c r="V228" s="41">
        <v>98</v>
      </c>
      <c r="W228" s="50">
        <v>0</v>
      </c>
      <c r="X228" s="50">
        <v>0</v>
      </c>
      <c r="Y228" s="41">
        <f t="shared" si="86"/>
        <v>0</v>
      </c>
      <c r="Z228" s="41">
        <v>98</v>
      </c>
      <c r="AA228" s="41"/>
      <c r="AB228" s="41">
        <v>98</v>
      </c>
      <c r="AC228" s="41">
        <v>0</v>
      </c>
      <c r="AD228" s="50">
        <v>0</v>
      </c>
      <c r="AE228" s="41">
        <v>0</v>
      </c>
      <c r="AF228" s="41">
        <v>0</v>
      </c>
      <c r="AG228" s="41">
        <f t="shared" si="93"/>
        <v>0</v>
      </c>
      <c r="AH228" s="41">
        <v>98</v>
      </c>
      <c r="AI228" s="41"/>
      <c r="AJ228" s="41">
        <v>154</v>
      </c>
      <c r="AK228" s="50">
        <v>0</v>
      </c>
      <c r="AL228" s="41">
        <v>0</v>
      </c>
      <c r="AM228" s="50">
        <v>0</v>
      </c>
      <c r="AN228" s="41">
        <f t="shared" si="87"/>
        <v>0</v>
      </c>
      <c r="AO228" s="41">
        <v>154</v>
      </c>
      <c r="AP228" s="41"/>
      <c r="AQ228" s="53">
        <v>154</v>
      </c>
      <c r="AR228" s="54">
        <v>0</v>
      </c>
      <c r="AS228" s="54">
        <v>0</v>
      </c>
      <c r="AT228" s="53">
        <v>0</v>
      </c>
      <c r="AU228" s="41">
        <f t="shared" si="88"/>
        <v>0</v>
      </c>
      <c r="AV228" s="41">
        <v>154</v>
      </c>
      <c r="AW228" s="41"/>
      <c r="AX228" s="41">
        <v>156</v>
      </c>
      <c r="AY228" s="54">
        <v>0</v>
      </c>
      <c r="AZ228" s="50">
        <v>0</v>
      </c>
      <c r="BA228" s="50">
        <v>0</v>
      </c>
      <c r="BB228" s="41">
        <v>0</v>
      </c>
      <c r="BC228" s="41">
        <f t="shared" si="90"/>
        <v>0</v>
      </c>
      <c r="BD228" s="41">
        <v>156</v>
      </c>
      <c r="BF228" s="41">
        <v>174</v>
      </c>
      <c r="BG228" s="50">
        <v>0</v>
      </c>
      <c r="BH228" s="41">
        <v>0</v>
      </c>
      <c r="BI228" s="50">
        <v>0</v>
      </c>
      <c r="BJ228" s="41">
        <v>0</v>
      </c>
      <c r="BK228" s="41">
        <f t="shared" si="89"/>
        <v>0</v>
      </c>
      <c r="BL228" s="41">
        <v>174</v>
      </c>
      <c r="BM228" s="55"/>
      <c r="BN228" s="41">
        <v>174</v>
      </c>
      <c r="BO228" s="50">
        <v>0</v>
      </c>
      <c r="BP228" s="50">
        <v>0</v>
      </c>
      <c r="BQ228" s="41">
        <v>0</v>
      </c>
      <c r="BR228" s="41">
        <v>0</v>
      </c>
      <c r="BS228" s="41">
        <f t="shared" si="81"/>
        <v>0</v>
      </c>
      <c r="BT228" s="41">
        <v>174</v>
      </c>
      <c r="BV228" s="41">
        <v>174</v>
      </c>
      <c r="BW228" s="50">
        <v>0</v>
      </c>
      <c r="BX228" s="41">
        <f t="shared" si="83"/>
        <v>0</v>
      </c>
      <c r="BY228" s="41">
        <v>174</v>
      </c>
      <c r="CA228" s="41">
        <v>174</v>
      </c>
      <c r="CB228" s="50">
        <v>0</v>
      </c>
      <c r="CC228" s="41">
        <f t="shared" si="84"/>
        <v>0</v>
      </c>
      <c r="CD228" s="41">
        <v>174</v>
      </c>
      <c r="CF228" s="41">
        <v>160</v>
      </c>
      <c r="CG228" s="50">
        <v>0</v>
      </c>
      <c r="CH228" s="41">
        <v>0</v>
      </c>
      <c r="CI228" s="41">
        <f t="shared" si="82"/>
        <v>160</v>
      </c>
      <c r="CJ228" s="41">
        <v>186</v>
      </c>
      <c r="CK228" s="50">
        <v>0</v>
      </c>
      <c r="CL228" s="41">
        <f t="shared" si="92"/>
        <v>186</v>
      </c>
      <c r="CM228" s="41">
        <v>186</v>
      </c>
      <c r="CN228" s="50">
        <v>0</v>
      </c>
      <c r="CO228" s="41">
        <v>0</v>
      </c>
      <c r="CP228" s="41">
        <f t="shared" si="80"/>
        <v>186</v>
      </c>
      <c r="CQ228" s="41">
        <v>210</v>
      </c>
      <c r="CR228" s="50">
        <v>0</v>
      </c>
      <c r="CS228" s="41">
        <f t="shared" si="78"/>
        <v>210</v>
      </c>
      <c r="CU228" s="39" t="s">
        <v>569</v>
      </c>
    </row>
    <row r="229" spans="1:99" hidden="1">
      <c r="A229" s="39" t="s">
        <v>246</v>
      </c>
      <c r="B229" s="39" t="s">
        <v>268</v>
      </c>
      <c r="C229" s="39" t="s">
        <v>269</v>
      </c>
      <c r="D229" s="56"/>
      <c r="E229" s="39" t="s">
        <v>270</v>
      </c>
      <c r="H229" s="51">
        <v>0</v>
      </c>
      <c r="I229" s="49">
        <v>0</v>
      </c>
      <c r="J229" s="49">
        <v>0</v>
      </c>
      <c r="K229" s="51">
        <f t="shared" si="85"/>
        <v>0</v>
      </c>
      <c r="L229" s="51">
        <f t="shared" si="77"/>
        <v>0</v>
      </c>
      <c r="M229" s="51">
        <v>0</v>
      </c>
      <c r="N229" s="52"/>
      <c r="O229" s="41">
        <v>338</v>
      </c>
      <c r="P229" s="50">
        <v>0</v>
      </c>
      <c r="Q229" s="50">
        <v>0</v>
      </c>
      <c r="R229" s="50">
        <v>0</v>
      </c>
      <c r="S229" s="41">
        <v>-338</v>
      </c>
      <c r="T229" s="41">
        <v>0</v>
      </c>
      <c r="U229" s="41"/>
      <c r="V229" s="41">
        <v>0</v>
      </c>
      <c r="W229" s="50">
        <v>0</v>
      </c>
      <c r="X229" s="50">
        <v>0</v>
      </c>
      <c r="Y229" s="41">
        <f t="shared" si="86"/>
        <v>0</v>
      </c>
      <c r="Z229" s="41">
        <v>0</v>
      </c>
      <c r="AA229" s="41"/>
      <c r="AB229" s="41">
        <v>0</v>
      </c>
      <c r="AC229" s="41">
        <v>0</v>
      </c>
      <c r="AD229" s="50">
        <v>0</v>
      </c>
      <c r="AE229" s="41">
        <v>0</v>
      </c>
      <c r="AF229" s="41">
        <v>0</v>
      </c>
      <c r="AG229" s="41">
        <f t="shared" si="93"/>
        <v>0</v>
      </c>
      <c r="AH229" s="41">
        <v>0</v>
      </c>
      <c r="AI229" s="41"/>
      <c r="AJ229" s="41">
        <v>0</v>
      </c>
      <c r="AK229" s="50">
        <v>0</v>
      </c>
      <c r="AL229" s="41">
        <v>0</v>
      </c>
      <c r="AM229" s="50">
        <v>0</v>
      </c>
      <c r="AN229" s="41">
        <f t="shared" si="87"/>
        <v>0</v>
      </c>
      <c r="AO229" s="41">
        <v>0</v>
      </c>
      <c r="AP229" s="41"/>
      <c r="AQ229" s="53">
        <v>0</v>
      </c>
      <c r="AR229" s="54">
        <v>0</v>
      </c>
      <c r="AS229" s="54">
        <v>0</v>
      </c>
      <c r="AT229" s="53">
        <v>0</v>
      </c>
      <c r="AU229" s="41">
        <f t="shared" si="88"/>
        <v>0</v>
      </c>
      <c r="AV229" s="41">
        <v>0</v>
      </c>
      <c r="AW229" s="41"/>
      <c r="AX229" s="41">
        <v>0</v>
      </c>
      <c r="AY229" s="54">
        <v>0</v>
      </c>
      <c r="AZ229" s="50">
        <v>0</v>
      </c>
      <c r="BA229" s="50">
        <v>0</v>
      </c>
      <c r="BB229" s="41">
        <v>0</v>
      </c>
      <c r="BC229" s="41">
        <f t="shared" si="90"/>
        <v>0</v>
      </c>
      <c r="BD229" s="41">
        <v>0</v>
      </c>
      <c r="BF229" s="41">
        <v>0</v>
      </c>
      <c r="BG229" s="50">
        <v>0</v>
      </c>
      <c r="BH229" s="41">
        <v>0</v>
      </c>
      <c r="BI229" s="50">
        <v>0</v>
      </c>
      <c r="BJ229" s="41">
        <v>0</v>
      </c>
      <c r="BK229" s="41">
        <f t="shared" si="89"/>
        <v>0</v>
      </c>
      <c r="BL229" s="41">
        <v>0</v>
      </c>
      <c r="BM229" s="55"/>
      <c r="BN229" s="41">
        <v>0</v>
      </c>
      <c r="BO229" s="50">
        <v>0</v>
      </c>
      <c r="BP229" s="50">
        <v>0</v>
      </c>
      <c r="BQ229" s="41">
        <v>0</v>
      </c>
      <c r="BR229" s="41">
        <v>0</v>
      </c>
      <c r="BS229" s="41">
        <f t="shared" si="81"/>
        <v>0</v>
      </c>
      <c r="BT229" s="41">
        <v>0</v>
      </c>
      <c r="BV229" s="41">
        <v>0</v>
      </c>
      <c r="BW229" s="50">
        <v>0</v>
      </c>
      <c r="BX229" s="41">
        <f t="shared" si="83"/>
        <v>0</v>
      </c>
      <c r="BY229" s="41">
        <v>0</v>
      </c>
      <c r="CA229" s="41">
        <v>0</v>
      </c>
      <c r="CB229" s="50">
        <v>0</v>
      </c>
      <c r="CC229" s="41">
        <f t="shared" si="84"/>
        <v>0</v>
      </c>
      <c r="CD229" s="41">
        <v>0</v>
      </c>
      <c r="CF229" s="41">
        <v>0</v>
      </c>
      <c r="CG229" s="50">
        <v>0</v>
      </c>
      <c r="CH229" s="41">
        <v>0</v>
      </c>
      <c r="CI229" s="41">
        <f t="shared" si="82"/>
        <v>0</v>
      </c>
      <c r="CJ229" s="41">
        <v>0</v>
      </c>
      <c r="CK229" s="50">
        <v>0</v>
      </c>
      <c r="CL229" s="41">
        <f t="shared" si="92"/>
        <v>0</v>
      </c>
      <c r="CM229" s="41">
        <v>0</v>
      </c>
      <c r="CN229" s="50">
        <v>0</v>
      </c>
      <c r="CO229" s="41">
        <v>0</v>
      </c>
      <c r="CP229" s="41">
        <f t="shared" si="80"/>
        <v>0</v>
      </c>
      <c r="CQ229" s="41">
        <v>0</v>
      </c>
      <c r="CR229" s="50">
        <v>0</v>
      </c>
      <c r="CS229" s="41">
        <f t="shared" si="78"/>
        <v>0</v>
      </c>
    </row>
    <row r="230" spans="1:99" hidden="1">
      <c r="A230" s="39" t="s">
        <v>246</v>
      </c>
      <c r="B230" s="39" t="s">
        <v>268</v>
      </c>
      <c r="C230" s="39" t="s">
        <v>269</v>
      </c>
      <c r="D230" s="56">
        <v>70061001054</v>
      </c>
      <c r="E230" s="39" t="s">
        <v>263</v>
      </c>
      <c r="H230" s="51">
        <v>0</v>
      </c>
      <c r="I230" s="49">
        <v>0</v>
      </c>
      <c r="J230" s="49">
        <v>0</v>
      </c>
      <c r="K230" s="51">
        <f t="shared" si="85"/>
        <v>0</v>
      </c>
      <c r="L230" s="51">
        <f t="shared" si="77"/>
        <v>440</v>
      </c>
      <c r="M230" s="51">
        <v>440</v>
      </c>
      <c r="N230" s="52"/>
      <c r="O230" s="41">
        <v>0</v>
      </c>
      <c r="P230" s="50">
        <v>0</v>
      </c>
      <c r="Q230" s="50">
        <v>0</v>
      </c>
      <c r="R230" s="50">
        <v>0</v>
      </c>
      <c r="S230" s="41">
        <v>340</v>
      </c>
      <c r="T230" s="41">
        <v>340</v>
      </c>
      <c r="U230" s="41"/>
      <c r="V230" s="41">
        <v>340</v>
      </c>
      <c r="W230" s="50">
        <v>0</v>
      </c>
      <c r="X230" s="50">
        <v>100</v>
      </c>
      <c r="Y230" s="41">
        <f t="shared" si="86"/>
        <v>-20</v>
      </c>
      <c r="Z230" s="41">
        <v>420</v>
      </c>
      <c r="AA230" s="41"/>
      <c r="AB230" s="41">
        <v>1204</v>
      </c>
      <c r="AC230" s="41">
        <v>0</v>
      </c>
      <c r="AD230" s="50">
        <v>0</v>
      </c>
      <c r="AE230" s="41">
        <v>0</v>
      </c>
      <c r="AF230" s="41">
        <v>0</v>
      </c>
      <c r="AG230" s="41">
        <f t="shared" si="93"/>
        <v>0</v>
      </c>
      <c r="AH230" s="41">
        <v>1204</v>
      </c>
      <c r="AI230" s="41"/>
      <c r="AJ230" s="41">
        <v>1200</v>
      </c>
      <c r="AK230" s="50">
        <v>100</v>
      </c>
      <c r="AL230" s="41">
        <v>0</v>
      </c>
      <c r="AM230" s="50">
        <v>102</v>
      </c>
      <c r="AN230" s="41">
        <f t="shared" si="87"/>
        <v>0</v>
      </c>
      <c r="AO230" s="41">
        <v>1402</v>
      </c>
      <c r="AP230" s="41"/>
      <c r="AQ230" s="53">
        <v>340</v>
      </c>
      <c r="AR230" s="54">
        <v>90</v>
      </c>
      <c r="AS230" s="54">
        <v>120</v>
      </c>
      <c r="AT230" s="53">
        <v>-26</v>
      </c>
      <c r="AU230" s="41">
        <f t="shared" si="88"/>
        <v>25</v>
      </c>
      <c r="AV230" s="41">
        <v>549</v>
      </c>
      <c r="AW230" s="41"/>
      <c r="AX230" s="41">
        <v>340</v>
      </c>
      <c r="AY230" s="54">
        <v>0</v>
      </c>
      <c r="AZ230" s="50">
        <v>110</v>
      </c>
      <c r="BA230" s="50">
        <v>113</v>
      </c>
      <c r="BB230" s="41">
        <v>0</v>
      </c>
      <c r="BC230" s="41">
        <f t="shared" si="90"/>
        <v>-1</v>
      </c>
      <c r="BD230" s="41">
        <v>562</v>
      </c>
      <c r="BF230" s="41">
        <v>340</v>
      </c>
      <c r="BG230" s="50">
        <v>112</v>
      </c>
      <c r="BH230" s="41">
        <v>0</v>
      </c>
      <c r="BI230" s="50">
        <v>130</v>
      </c>
      <c r="BJ230" s="41">
        <v>10</v>
      </c>
      <c r="BK230" s="41">
        <f t="shared" si="89"/>
        <v>0</v>
      </c>
      <c r="BL230" s="41">
        <v>592</v>
      </c>
      <c r="BM230" s="55"/>
      <c r="BN230" s="41">
        <v>340</v>
      </c>
      <c r="BO230" s="50">
        <v>242</v>
      </c>
      <c r="BP230" s="50">
        <v>0</v>
      </c>
      <c r="BQ230" s="41">
        <v>0</v>
      </c>
      <c r="BR230" s="41">
        <v>0</v>
      </c>
      <c r="BS230" s="41">
        <f t="shared" si="81"/>
        <v>0</v>
      </c>
      <c r="BT230" s="41">
        <v>582</v>
      </c>
      <c r="BV230" s="41">
        <v>340</v>
      </c>
      <c r="BW230" s="50">
        <v>254</v>
      </c>
      <c r="BX230" s="41">
        <f t="shared" si="83"/>
        <v>-340</v>
      </c>
      <c r="BY230" s="41">
        <v>254</v>
      </c>
      <c r="CA230" s="41">
        <v>340</v>
      </c>
      <c r="CB230" s="50">
        <v>258</v>
      </c>
      <c r="CC230" s="41">
        <f t="shared" si="84"/>
        <v>0</v>
      </c>
      <c r="CD230" s="41">
        <v>598</v>
      </c>
      <c r="CF230" s="41">
        <v>317</v>
      </c>
      <c r="CG230" s="50">
        <v>236</v>
      </c>
      <c r="CH230" s="41">
        <v>0</v>
      </c>
      <c r="CI230" s="41">
        <f t="shared" si="82"/>
        <v>553</v>
      </c>
      <c r="CJ230" s="41">
        <v>340</v>
      </c>
      <c r="CK230" s="50">
        <v>227</v>
      </c>
      <c r="CL230" s="41">
        <f t="shared" si="92"/>
        <v>567</v>
      </c>
      <c r="CM230" s="41">
        <v>340</v>
      </c>
      <c r="CN230" s="50">
        <v>227</v>
      </c>
      <c r="CO230" s="41">
        <v>0</v>
      </c>
      <c r="CP230" s="41">
        <f t="shared" si="80"/>
        <v>567</v>
      </c>
      <c r="CQ230" s="41">
        <v>340</v>
      </c>
      <c r="CR230" s="50">
        <v>160</v>
      </c>
      <c r="CS230" s="41">
        <f t="shared" si="78"/>
        <v>500</v>
      </c>
      <c r="CU230" s="39" t="s">
        <v>570</v>
      </c>
    </row>
    <row r="231" spans="1:99" hidden="1">
      <c r="A231" s="39" t="s">
        <v>246</v>
      </c>
      <c r="B231" s="39" t="s">
        <v>268</v>
      </c>
      <c r="C231" s="39" t="s">
        <v>269</v>
      </c>
      <c r="D231" s="56"/>
      <c r="E231" s="39" t="s">
        <v>271</v>
      </c>
      <c r="H231" s="51">
        <v>0</v>
      </c>
      <c r="I231" s="49">
        <v>0</v>
      </c>
      <c r="J231" s="49">
        <v>0</v>
      </c>
      <c r="K231" s="51">
        <f t="shared" si="85"/>
        <v>0</v>
      </c>
      <c r="L231" s="51">
        <f t="shared" si="77"/>
        <v>0</v>
      </c>
      <c r="M231" s="51">
        <v>0</v>
      </c>
      <c r="N231" s="52"/>
      <c r="O231" s="41">
        <v>0</v>
      </c>
      <c r="P231" s="50">
        <v>0</v>
      </c>
      <c r="Q231" s="50">
        <v>0</v>
      </c>
      <c r="R231" s="50">
        <v>0</v>
      </c>
      <c r="S231" s="41">
        <v>0</v>
      </c>
      <c r="T231" s="41">
        <v>0</v>
      </c>
      <c r="U231" s="41"/>
      <c r="V231" s="41">
        <v>60</v>
      </c>
      <c r="W231" s="50">
        <v>0</v>
      </c>
      <c r="X231" s="50">
        <v>0</v>
      </c>
      <c r="Y231" s="41">
        <f t="shared" si="86"/>
        <v>0</v>
      </c>
      <c r="Z231" s="41">
        <v>60</v>
      </c>
      <c r="AA231" s="41"/>
      <c r="AB231" s="41">
        <v>34</v>
      </c>
      <c r="AC231" s="41">
        <v>0</v>
      </c>
      <c r="AD231" s="50">
        <v>0</v>
      </c>
      <c r="AE231" s="41">
        <v>0</v>
      </c>
      <c r="AF231" s="41">
        <v>0</v>
      </c>
      <c r="AG231" s="41">
        <f t="shared" si="93"/>
        <v>0</v>
      </c>
      <c r="AH231" s="41">
        <v>34</v>
      </c>
      <c r="AI231" s="41"/>
      <c r="AJ231" s="41">
        <v>0</v>
      </c>
      <c r="AK231" s="50">
        <v>0</v>
      </c>
      <c r="AL231" s="41">
        <v>0</v>
      </c>
      <c r="AM231" s="50">
        <v>0</v>
      </c>
      <c r="AN231" s="41">
        <f t="shared" si="87"/>
        <v>0</v>
      </c>
      <c r="AO231" s="41">
        <v>0</v>
      </c>
      <c r="AP231" s="41"/>
      <c r="AQ231" s="53">
        <v>0</v>
      </c>
      <c r="AR231" s="54">
        <v>0</v>
      </c>
      <c r="AS231" s="54">
        <v>0</v>
      </c>
      <c r="AT231" s="53">
        <v>30</v>
      </c>
      <c r="AU231" s="41">
        <f t="shared" si="88"/>
        <v>-30</v>
      </c>
      <c r="AV231" s="41">
        <v>0</v>
      </c>
      <c r="AW231" s="41"/>
      <c r="AX231" s="41">
        <v>0</v>
      </c>
      <c r="AY231" s="54">
        <v>0</v>
      </c>
      <c r="AZ231" s="50">
        <v>0</v>
      </c>
      <c r="BA231" s="50">
        <v>0</v>
      </c>
      <c r="BB231" s="41">
        <v>0</v>
      </c>
      <c r="BC231" s="41">
        <f t="shared" si="90"/>
        <v>0</v>
      </c>
      <c r="BD231" s="41">
        <v>0</v>
      </c>
      <c r="BF231" s="41">
        <v>0</v>
      </c>
      <c r="BG231" s="50">
        <v>0</v>
      </c>
      <c r="BH231" s="41">
        <v>0</v>
      </c>
      <c r="BI231" s="50">
        <v>0</v>
      </c>
      <c r="BJ231" s="41">
        <v>0</v>
      </c>
      <c r="BK231" s="41">
        <f t="shared" si="89"/>
        <v>0</v>
      </c>
      <c r="BL231" s="41">
        <v>0</v>
      </c>
      <c r="BM231" s="55"/>
      <c r="BN231" s="41">
        <v>0</v>
      </c>
      <c r="BO231" s="50">
        <v>0</v>
      </c>
      <c r="BP231" s="50">
        <v>0</v>
      </c>
      <c r="BQ231" s="41">
        <v>0</v>
      </c>
      <c r="BR231" s="41">
        <v>0</v>
      </c>
      <c r="BS231" s="41">
        <f t="shared" si="81"/>
        <v>0</v>
      </c>
      <c r="BT231" s="41">
        <v>0</v>
      </c>
      <c r="BV231" s="41">
        <v>0</v>
      </c>
      <c r="BW231" s="50">
        <v>0</v>
      </c>
      <c r="BX231" s="41">
        <f t="shared" si="83"/>
        <v>0</v>
      </c>
      <c r="BY231" s="41">
        <v>0</v>
      </c>
      <c r="CA231" s="41">
        <v>0</v>
      </c>
      <c r="CB231" s="50">
        <v>0</v>
      </c>
      <c r="CC231" s="41">
        <f t="shared" si="84"/>
        <v>0</v>
      </c>
      <c r="CD231" s="41">
        <v>0</v>
      </c>
      <c r="CF231" s="41">
        <v>0</v>
      </c>
      <c r="CG231" s="50">
        <v>0</v>
      </c>
      <c r="CH231" s="41">
        <v>0</v>
      </c>
      <c r="CI231" s="41">
        <f t="shared" si="82"/>
        <v>0</v>
      </c>
      <c r="CJ231" s="41">
        <v>0</v>
      </c>
      <c r="CK231" s="50">
        <v>0</v>
      </c>
      <c r="CL231" s="41">
        <f t="shared" si="92"/>
        <v>0</v>
      </c>
      <c r="CM231" s="41">
        <v>0</v>
      </c>
      <c r="CN231" s="50">
        <v>0</v>
      </c>
      <c r="CO231" s="41">
        <v>0</v>
      </c>
      <c r="CP231" s="41">
        <f t="shared" si="80"/>
        <v>0</v>
      </c>
      <c r="CQ231" s="41">
        <v>0</v>
      </c>
      <c r="CR231" s="50">
        <v>0</v>
      </c>
      <c r="CS231" s="41">
        <f t="shared" si="78"/>
        <v>0</v>
      </c>
    </row>
    <row r="232" spans="1:99" hidden="1">
      <c r="A232" s="39" t="s">
        <v>246</v>
      </c>
      <c r="B232" s="39" t="s">
        <v>272</v>
      </c>
      <c r="C232" s="39" t="s">
        <v>273</v>
      </c>
      <c r="D232" s="56">
        <v>70056501054</v>
      </c>
      <c r="E232" s="39" t="s">
        <v>274</v>
      </c>
      <c r="H232" s="51">
        <v>0</v>
      </c>
      <c r="I232" s="49">
        <v>0</v>
      </c>
      <c r="J232" s="49">
        <v>0</v>
      </c>
      <c r="K232" s="51">
        <f t="shared" si="85"/>
        <v>0</v>
      </c>
      <c r="L232" s="51">
        <f t="shared" si="77"/>
        <v>0</v>
      </c>
      <c r="M232" s="51">
        <v>0</v>
      </c>
      <c r="N232" s="52"/>
      <c r="O232" s="41">
        <v>0</v>
      </c>
      <c r="P232" s="50">
        <v>0</v>
      </c>
      <c r="Q232" s="50">
        <v>0</v>
      </c>
      <c r="R232" s="50">
        <v>0</v>
      </c>
      <c r="S232" s="41">
        <v>0</v>
      </c>
      <c r="T232" s="41">
        <v>0</v>
      </c>
      <c r="U232" s="41"/>
      <c r="V232" s="41">
        <v>0</v>
      </c>
      <c r="W232" s="50">
        <v>0</v>
      </c>
      <c r="X232" s="50">
        <v>0</v>
      </c>
      <c r="Y232" s="41">
        <f t="shared" si="86"/>
        <v>0</v>
      </c>
      <c r="Z232" s="41">
        <v>0</v>
      </c>
      <c r="AA232" s="41"/>
      <c r="AB232" s="41">
        <v>0</v>
      </c>
      <c r="AC232" s="41">
        <v>0</v>
      </c>
      <c r="AD232" s="50">
        <v>0</v>
      </c>
      <c r="AE232" s="41">
        <v>0</v>
      </c>
      <c r="AF232" s="41">
        <v>0</v>
      </c>
      <c r="AG232" s="41">
        <f t="shared" si="93"/>
        <v>0</v>
      </c>
      <c r="AH232" s="41">
        <v>0</v>
      </c>
      <c r="AI232" s="41"/>
      <c r="AJ232" s="41">
        <v>619</v>
      </c>
      <c r="AK232" s="50">
        <v>0</v>
      </c>
      <c r="AL232" s="41">
        <v>0</v>
      </c>
      <c r="AM232" s="50">
        <v>0</v>
      </c>
      <c r="AN232" s="41">
        <f t="shared" si="87"/>
        <v>0</v>
      </c>
      <c r="AO232" s="41">
        <v>619</v>
      </c>
      <c r="AP232" s="41"/>
      <c r="AQ232" s="53">
        <v>548</v>
      </c>
      <c r="AR232" s="54">
        <v>0</v>
      </c>
      <c r="AS232" s="54">
        <v>0</v>
      </c>
      <c r="AT232" s="53">
        <v>24</v>
      </c>
      <c r="AU232" s="41">
        <f t="shared" si="88"/>
        <v>0</v>
      </c>
      <c r="AV232" s="41">
        <v>572</v>
      </c>
      <c r="AW232" s="41"/>
      <c r="AX232" s="41">
        <v>653</v>
      </c>
      <c r="AY232" s="54">
        <v>0</v>
      </c>
      <c r="AZ232" s="50">
        <v>0</v>
      </c>
      <c r="BA232" s="50">
        <v>0</v>
      </c>
      <c r="BB232" s="41">
        <v>0</v>
      </c>
      <c r="BC232" s="41">
        <f t="shared" si="90"/>
        <v>-2</v>
      </c>
      <c r="BD232" s="41">
        <v>651</v>
      </c>
      <c r="BF232" s="41">
        <v>807</v>
      </c>
      <c r="BG232" s="50">
        <v>0</v>
      </c>
      <c r="BH232" s="41">
        <v>0</v>
      </c>
      <c r="BI232" s="50">
        <v>0</v>
      </c>
      <c r="BJ232" s="41">
        <v>0</v>
      </c>
      <c r="BK232" s="41">
        <f t="shared" si="89"/>
        <v>30</v>
      </c>
      <c r="BL232" s="41">
        <v>837</v>
      </c>
      <c r="BM232" s="55"/>
      <c r="BN232" s="41">
        <v>891</v>
      </c>
      <c r="BO232" s="50">
        <v>0</v>
      </c>
      <c r="BP232" s="50">
        <v>0</v>
      </c>
      <c r="BQ232" s="41">
        <v>0</v>
      </c>
      <c r="BR232" s="41">
        <v>0</v>
      </c>
      <c r="BS232" s="41">
        <f t="shared" si="81"/>
        <v>-3</v>
      </c>
      <c r="BT232" s="41">
        <v>888</v>
      </c>
      <c r="BV232" s="41">
        <v>823</v>
      </c>
      <c r="BW232" s="50">
        <v>0</v>
      </c>
      <c r="BX232" s="41">
        <f t="shared" si="83"/>
        <v>-3</v>
      </c>
      <c r="BY232" s="41">
        <v>820</v>
      </c>
      <c r="CA232" s="41">
        <v>888</v>
      </c>
      <c r="CB232" s="50">
        <v>0</v>
      </c>
      <c r="CC232" s="41">
        <f t="shared" si="84"/>
        <v>0</v>
      </c>
      <c r="CD232" s="41">
        <v>888</v>
      </c>
      <c r="CF232" s="41">
        <v>1064</v>
      </c>
      <c r="CG232" s="50">
        <v>0</v>
      </c>
      <c r="CH232" s="41">
        <v>0</v>
      </c>
      <c r="CI232" s="41">
        <f t="shared" si="82"/>
        <v>1064</v>
      </c>
      <c r="CJ232" s="41">
        <v>1187</v>
      </c>
      <c r="CK232" s="50">
        <v>0</v>
      </c>
      <c r="CL232" s="41">
        <f t="shared" si="92"/>
        <v>1187</v>
      </c>
      <c r="CM232" s="41">
        <v>1187</v>
      </c>
      <c r="CN232" s="50">
        <v>0</v>
      </c>
      <c r="CO232" s="41">
        <v>0</v>
      </c>
      <c r="CP232" s="41">
        <f t="shared" si="80"/>
        <v>1187</v>
      </c>
      <c r="CQ232" s="41">
        <v>1291</v>
      </c>
      <c r="CR232" s="50">
        <v>0</v>
      </c>
      <c r="CS232" s="41">
        <f t="shared" si="78"/>
        <v>1291</v>
      </c>
      <c r="CU232" s="39" t="s">
        <v>571</v>
      </c>
    </row>
    <row r="233" spans="1:99" hidden="1">
      <c r="A233" s="39" t="s">
        <v>246</v>
      </c>
      <c r="B233" s="39" t="s">
        <v>275</v>
      </c>
      <c r="C233" s="39" t="s">
        <v>276</v>
      </c>
      <c r="D233" s="57">
        <v>70070001054</v>
      </c>
      <c r="E233" s="39" t="s">
        <v>263</v>
      </c>
      <c r="H233" s="51">
        <v>0</v>
      </c>
      <c r="I233" s="49">
        <v>0</v>
      </c>
      <c r="J233" s="49">
        <v>0</v>
      </c>
      <c r="K233" s="51">
        <f t="shared" si="85"/>
        <v>0</v>
      </c>
      <c r="L233" s="51">
        <f t="shared" si="77"/>
        <v>50</v>
      </c>
      <c r="M233" s="51">
        <v>50</v>
      </c>
      <c r="N233" s="52"/>
      <c r="O233" s="41">
        <v>50</v>
      </c>
      <c r="P233" s="50">
        <v>0</v>
      </c>
      <c r="Q233" s="50">
        <v>0</v>
      </c>
      <c r="R233" s="50">
        <v>0</v>
      </c>
      <c r="S233" s="41">
        <v>0</v>
      </c>
      <c r="T233" s="41">
        <v>50</v>
      </c>
      <c r="U233" s="41"/>
      <c r="V233" s="41">
        <v>0</v>
      </c>
      <c r="W233" s="50">
        <v>0</v>
      </c>
      <c r="X233" s="50">
        <v>0</v>
      </c>
      <c r="Y233" s="41">
        <f t="shared" si="86"/>
        <v>0</v>
      </c>
      <c r="Z233" s="41">
        <v>0</v>
      </c>
      <c r="AA233" s="41"/>
      <c r="AB233" s="41">
        <v>0</v>
      </c>
      <c r="AC233" s="41">
        <v>0</v>
      </c>
      <c r="AD233" s="50">
        <v>0</v>
      </c>
      <c r="AE233" s="41">
        <v>0</v>
      </c>
      <c r="AF233" s="41">
        <v>0</v>
      </c>
      <c r="AG233" s="41">
        <f t="shared" si="93"/>
        <v>0</v>
      </c>
      <c r="AH233" s="41">
        <v>0</v>
      </c>
      <c r="AI233" s="41"/>
      <c r="AJ233" s="41">
        <v>0</v>
      </c>
      <c r="AK233" s="50">
        <v>0</v>
      </c>
      <c r="AL233" s="41">
        <v>0</v>
      </c>
      <c r="AM233" s="50">
        <v>0</v>
      </c>
      <c r="AN233" s="41">
        <f t="shared" si="87"/>
        <v>0</v>
      </c>
      <c r="AO233" s="41">
        <v>0</v>
      </c>
      <c r="AP233" s="41"/>
      <c r="AQ233" s="53">
        <v>0</v>
      </c>
      <c r="AR233" s="54">
        <v>0</v>
      </c>
      <c r="AS233" s="54">
        <v>0</v>
      </c>
      <c r="AT233" s="53">
        <v>0</v>
      </c>
      <c r="AU233" s="41">
        <f t="shared" si="88"/>
        <v>0</v>
      </c>
      <c r="AV233" s="41">
        <v>0</v>
      </c>
      <c r="AW233" s="41"/>
      <c r="AX233" s="41">
        <v>253</v>
      </c>
      <c r="AY233" s="54">
        <v>0</v>
      </c>
      <c r="AZ233" s="50">
        <v>0</v>
      </c>
      <c r="BA233" s="50">
        <v>0</v>
      </c>
      <c r="BB233" s="41">
        <v>0</v>
      </c>
      <c r="BC233" s="41">
        <f t="shared" si="90"/>
        <v>-159</v>
      </c>
      <c r="BD233" s="41">
        <v>94</v>
      </c>
      <c r="BF233" s="41">
        <v>94</v>
      </c>
      <c r="BG233" s="50">
        <v>0</v>
      </c>
      <c r="BH233" s="41">
        <v>0</v>
      </c>
      <c r="BI233" s="50">
        <v>0</v>
      </c>
      <c r="BJ233" s="41">
        <v>0</v>
      </c>
      <c r="BK233" s="41">
        <f t="shared" si="89"/>
        <v>13</v>
      </c>
      <c r="BL233" s="41">
        <v>107</v>
      </c>
      <c r="BM233" s="55"/>
      <c r="BN233" s="41">
        <v>104</v>
      </c>
      <c r="BO233" s="50">
        <v>0</v>
      </c>
      <c r="BP233" s="50">
        <v>0</v>
      </c>
      <c r="BQ233" s="41">
        <v>0</v>
      </c>
      <c r="BR233" s="41">
        <v>0</v>
      </c>
      <c r="BS233" s="41">
        <f t="shared" si="81"/>
        <v>-39</v>
      </c>
      <c r="BT233" s="41">
        <v>65</v>
      </c>
      <c r="BV233" s="41">
        <v>104</v>
      </c>
      <c r="BW233" s="50">
        <v>0</v>
      </c>
      <c r="BX233" s="41">
        <f t="shared" si="83"/>
        <v>-5</v>
      </c>
      <c r="BY233" s="41">
        <v>99</v>
      </c>
      <c r="CA233" s="41">
        <v>75</v>
      </c>
      <c r="CB233" s="50">
        <v>0</v>
      </c>
      <c r="CC233" s="41">
        <f t="shared" si="84"/>
        <v>0</v>
      </c>
      <c r="CD233" s="41">
        <v>75</v>
      </c>
      <c r="CF233" s="41">
        <v>51</v>
      </c>
      <c r="CG233" s="50">
        <v>0</v>
      </c>
      <c r="CH233" s="41">
        <v>0</v>
      </c>
      <c r="CI233" s="41">
        <f t="shared" si="82"/>
        <v>51</v>
      </c>
      <c r="CJ233" s="41">
        <v>74</v>
      </c>
      <c r="CK233" s="50">
        <v>0</v>
      </c>
      <c r="CL233" s="41">
        <f t="shared" si="92"/>
        <v>74</v>
      </c>
      <c r="CM233" s="41">
        <v>74</v>
      </c>
      <c r="CN233" s="50">
        <v>0</v>
      </c>
      <c r="CO233" s="41">
        <v>0</v>
      </c>
      <c r="CP233" s="41">
        <f t="shared" si="80"/>
        <v>74</v>
      </c>
      <c r="CQ233" s="41">
        <v>74</v>
      </c>
      <c r="CR233" s="50">
        <v>0</v>
      </c>
      <c r="CS233" s="41">
        <f t="shared" si="78"/>
        <v>74</v>
      </c>
      <c r="CU233" s="44" t="s">
        <v>572</v>
      </c>
    </row>
    <row r="234" spans="1:99" hidden="1">
      <c r="A234" s="39" t="s">
        <v>246</v>
      </c>
      <c r="B234" s="39" t="s">
        <v>275</v>
      </c>
      <c r="C234" s="39" t="s">
        <v>276</v>
      </c>
      <c r="D234" s="56"/>
      <c r="E234" s="39" t="s">
        <v>277</v>
      </c>
      <c r="H234" s="51">
        <v>0</v>
      </c>
      <c r="I234" s="49">
        <v>0</v>
      </c>
      <c r="J234" s="49">
        <v>0</v>
      </c>
      <c r="K234" s="51">
        <f t="shared" si="85"/>
        <v>0</v>
      </c>
      <c r="L234" s="51">
        <f t="shared" si="77"/>
        <v>0</v>
      </c>
      <c r="M234" s="51">
        <v>0</v>
      </c>
      <c r="N234" s="52"/>
      <c r="O234" s="41">
        <v>0</v>
      </c>
      <c r="P234" s="50">
        <v>0</v>
      </c>
      <c r="Q234" s="50">
        <v>0</v>
      </c>
      <c r="R234" s="50">
        <v>0</v>
      </c>
      <c r="S234" s="41">
        <v>0</v>
      </c>
      <c r="T234" s="41">
        <v>0</v>
      </c>
      <c r="U234" s="41"/>
      <c r="V234" s="41">
        <v>50</v>
      </c>
      <c r="W234" s="50">
        <v>0</v>
      </c>
      <c r="X234" s="50">
        <v>0</v>
      </c>
      <c r="Y234" s="41">
        <f t="shared" si="86"/>
        <v>-30</v>
      </c>
      <c r="Z234" s="41">
        <v>20</v>
      </c>
      <c r="AA234" s="41"/>
      <c r="AB234" s="41">
        <v>39</v>
      </c>
      <c r="AC234" s="41">
        <v>0</v>
      </c>
      <c r="AD234" s="50">
        <v>0</v>
      </c>
      <c r="AE234" s="41">
        <v>0</v>
      </c>
      <c r="AF234" s="41">
        <v>0</v>
      </c>
      <c r="AG234" s="41">
        <f t="shared" si="93"/>
        <v>0</v>
      </c>
      <c r="AH234" s="41">
        <v>39</v>
      </c>
      <c r="AI234" s="41"/>
      <c r="AJ234" s="41">
        <v>49</v>
      </c>
      <c r="AK234" s="50">
        <v>0</v>
      </c>
      <c r="AL234" s="41">
        <v>0</v>
      </c>
      <c r="AM234" s="50">
        <v>0</v>
      </c>
      <c r="AN234" s="41">
        <f t="shared" si="87"/>
        <v>60</v>
      </c>
      <c r="AO234" s="41">
        <v>109</v>
      </c>
      <c r="AP234" s="41"/>
      <c r="AQ234" s="53">
        <v>49</v>
      </c>
      <c r="AR234" s="54">
        <v>0</v>
      </c>
      <c r="AS234" s="54">
        <v>0</v>
      </c>
      <c r="AT234" s="53">
        <v>0</v>
      </c>
      <c r="AU234" s="41">
        <f t="shared" si="88"/>
        <v>-10</v>
      </c>
      <c r="AV234" s="41">
        <v>39</v>
      </c>
      <c r="AW234" s="41"/>
      <c r="AX234" s="41">
        <v>0</v>
      </c>
      <c r="AY234" s="54">
        <v>0</v>
      </c>
      <c r="AZ234" s="50">
        <v>0</v>
      </c>
      <c r="BA234" s="50">
        <v>0</v>
      </c>
      <c r="BB234" s="41">
        <v>0</v>
      </c>
      <c r="BC234" s="41">
        <f t="shared" si="90"/>
        <v>0</v>
      </c>
      <c r="BD234" s="41">
        <v>0</v>
      </c>
      <c r="BF234" s="41">
        <v>0</v>
      </c>
      <c r="BG234" s="50">
        <v>0</v>
      </c>
      <c r="BH234" s="41">
        <v>0</v>
      </c>
      <c r="BI234" s="50">
        <v>0</v>
      </c>
      <c r="BJ234" s="41">
        <v>0</v>
      </c>
      <c r="BK234" s="41">
        <f t="shared" si="89"/>
        <v>0</v>
      </c>
      <c r="BL234" s="41">
        <v>0</v>
      </c>
      <c r="BM234" s="55"/>
      <c r="BN234" s="41">
        <v>0</v>
      </c>
      <c r="BO234" s="50">
        <v>0</v>
      </c>
      <c r="BP234" s="50">
        <v>0</v>
      </c>
      <c r="BQ234" s="41">
        <v>0</v>
      </c>
      <c r="BR234" s="41">
        <v>0</v>
      </c>
      <c r="BS234" s="41">
        <f t="shared" si="81"/>
        <v>0</v>
      </c>
      <c r="BT234" s="41">
        <v>0</v>
      </c>
      <c r="BV234" s="41">
        <v>0</v>
      </c>
      <c r="BW234" s="50">
        <v>0</v>
      </c>
      <c r="BX234" s="41">
        <f t="shared" si="83"/>
        <v>0</v>
      </c>
      <c r="BY234" s="41">
        <v>0</v>
      </c>
      <c r="CA234" s="41">
        <v>0</v>
      </c>
      <c r="CB234" s="50">
        <v>0</v>
      </c>
      <c r="CC234" s="41">
        <f t="shared" si="84"/>
        <v>0</v>
      </c>
      <c r="CD234" s="41">
        <v>0</v>
      </c>
      <c r="CF234" s="41">
        <v>0</v>
      </c>
      <c r="CG234" s="50">
        <v>0</v>
      </c>
      <c r="CH234" s="41">
        <v>0</v>
      </c>
      <c r="CI234" s="41">
        <f t="shared" si="82"/>
        <v>0</v>
      </c>
      <c r="CJ234" s="41">
        <v>0</v>
      </c>
      <c r="CK234" s="50">
        <v>0</v>
      </c>
      <c r="CL234" s="41">
        <f t="shared" si="92"/>
        <v>0</v>
      </c>
      <c r="CM234" s="41">
        <v>0</v>
      </c>
      <c r="CN234" s="50">
        <v>0</v>
      </c>
      <c r="CO234" s="41">
        <v>0</v>
      </c>
      <c r="CP234" s="41">
        <f t="shared" si="80"/>
        <v>0</v>
      </c>
      <c r="CQ234" s="41">
        <v>0</v>
      </c>
      <c r="CR234" s="50">
        <v>0</v>
      </c>
      <c r="CS234" s="41">
        <f t="shared" si="78"/>
        <v>0</v>
      </c>
    </row>
    <row r="235" spans="1:99" hidden="1">
      <c r="A235" s="39" t="s">
        <v>246</v>
      </c>
      <c r="B235" s="39" t="s">
        <v>275</v>
      </c>
      <c r="C235" s="39" t="s">
        <v>276</v>
      </c>
      <c r="D235" s="56"/>
      <c r="E235" s="39" t="s">
        <v>278</v>
      </c>
      <c r="H235" s="51">
        <v>0</v>
      </c>
      <c r="I235" s="49">
        <v>0</v>
      </c>
      <c r="J235" s="49">
        <v>0</v>
      </c>
      <c r="K235" s="51">
        <f t="shared" si="85"/>
        <v>0</v>
      </c>
      <c r="L235" s="51">
        <f t="shared" si="77"/>
        <v>0</v>
      </c>
      <c r="M235" s="51">
        <v>0</v>
      </c>
      <c r="N235" s="52"/>
      <c r="O235" s="41">
        <v>0</v>
      </c>
      <c r="P235" s="50">
        <v>0</v>
      </c>
      <c r="Q235" s="50">
        <v>0</v>
      </c>
      <c r="R235" s="50">
        <v>0</v>
      </c>
      <c r="S235" s="41">
        <v>0</v>
      </c>
      <c r="T235" s="41">
        <v>0</v>
      </c>
      <c r="U235" s="41"/>
      <c r="V235" s="41">
        <v>0</v>
      </c>
      <c r="W235" s="50">
        <v>0</v>
      </c>
      <c r="X235" s="50">
        <v>0</v>
      </c>
      <c r="Y235" s="41">
        <f t="shared" si="86"/>
        <v>0</v>
      </c>
      <c r="Z235" s="41">
        <v>0</v>
      </c>
      <c r="AA235" s="41"/>
      <c r="AB235" s="41">
        <v>0</v>
      </c>
      <c r="AC235" s="41">
        <v>0</v>
      </c>
      <c r="AD235" s="50">
        <v>0</v>
      </c>
      <c r="AE235" s="41">
        <v>0</v>
      </c>
      <c r="AF235" s="41">
        <v>0</v>
      </c>
      <c r="AG235" s="41">
        <f t="shared" si="93"/>
        <v>0</v>
      </c>
      <c r="AH235" s="41">
        <v>0</v>
      </c>
      <c r="AI235" s="41"/>
      <c r="AJ235" s="41">
        <v>0</v>
      </c>
      <c r="AK235" s="50">
        <v>0</v>
      </c>
      <c r="AL235" s="41">
        <v>0</v>
      </c>
      <c r="AM235" s="50">
        <v>0</v>
      </c>
      <c r="AN235" s="41">
        <f t="shared" si="87"/>
        <v>0</v>
      </c>
      <c r="AO235" s="41">
        <v>0</v>
      </c>
      <c r="AP235" s="41"/>
      <c r="AQ235" s="53">
        <v>0</v>
      </c>
      <c r="AR235" s="54">
        <v>0</v>
      </c>
      <c r="AS235" s="54">
        <v>0</v>
      </c>
      <c r="AT235" s="53">
        <v>0</v>
      </c>
      <c r="AU235" s="41">
        <f t="shared" si="88"/>
        <v>0</v>
      </c>
      <c r="AV235" s="41">
        <v>0</v>
      </c>
      <c r="AW235" s="41"/>
      <c r="AX235" s="41">
        <v>0</v>
      </c>
      <c r="AY235" s="54">
        <v>0</v>
      </c>
      <c r="AZ235" s="50">
        <v>0</v>
      </c>
      <c r="BA235" s="50">
        <v>0</v>
      </c>
      <c r="BB235" s="41">
        <v>0</v>
      </c>
      <c r="BC235" s="41">
        <f t="shared" si="90"/>
        <v>0</v>
      </c>
      <c r="BD235" s="41">
        <v>0</v>
      </c>
      <c r="BF235" s="41">
        <v>0</v>
      </c>
      <c r="BG235" s="50">
        <v>0</v>
      </c>
      <c r="BH235" s="41">
        <v>0</v>
      </c>
      <c r="BI235" s="50">
        <v>0</v>
      </c>
      <c r="BJ235" s="41">
        <v>0</v>
      </c>
      <c r="BK235" s="41">
        <f t="shared" si="89"/>
        <v>190</v>
      </c>
      <c r="BL235" s="41">
        <v>190</v>
      </c>
      <c r="BM235" s="55"/>
      <c r="BN235" s="41">
        <v>48</v>
      </c>
      <c r="BO235" s="50">
        <v>0</v>
      </c>
      <c r="BP235" s="50">
        <v>0</v>
      </c>
      <c r="BQ235" s="41">
        <v>0</v>
      </c>
      <c r="BR235" s="41">
        <v>0</v>
      </c>
      <c r="BS235" s="41">
        <f t="shared" si="81"/>
        <v>63</v>
      </c>
      <c r="BT235" s="41">
        <v>111</v>
      </c>
      <c r="BV235" s="41">
        <v>0</v>
      </c>
      <c r="BW235" s="50">
        <v>0</v>
      </c>
      <c r="BX235" s="41">
        <f t="shared" si="83"/>
        <v>375</v>
      </c>
      <c r="BY235" s="41">
        <v>375</v>
      </c>
      <c r="CA235" s="41">
        <v>50</v>
      </c>
      <c r="CB235" s="50">
        <v>0</v>
      </c>
      <c r="CC235" s="41">
        <f t="shared" si="84"/>
        <v>0</v>
      </c>
      <c r="CD235" s="41">
        <v>50</v>
      </c>
      <c r="CF235" s="41">
        <v>0</v>
      </c>
      <c r="CG235" s="50">
        <v>0</v>
      </c>
      <c r="CH235" s="41">
        <v>0</v>
      </c>
      <c r="CI235" s="41">
        <f t="shared" si="82"/>
        <v>0</v>
      </c>
      <c r="CJ235" s="41">
        <v>0</v>
      </c>
      <c r="CK235" s="50">
        <v>0</v>
      </c>
      <c r="CL235" s="41">
        <f t="shared" si="92"/>
        <v>0</v>
      </c>
      <c r="CM235" s="41">
        <v>0</v>
      </c>
      <c r="CN235" s="50">
        <v>0</v>
      </c>
      <c r="CO235" s="41">
        <v>0</v>
      </c>
      <c r="CP235" s="41">
        <f t="shared" si="80"/>
        <v>0</v>
      </c>
      <c r="CQ235" s="41">
        <v>0</v>
      </c>
      <c r="CR235" s="50">
        <v>0</v>
      </c>
      <c r="CS235" s="41">
        <f t="shared" si="78"/>
        <v>0</v>
      </c>
    </row>
    <row r="236" spans="1:99" hidden="1">
      <c r="A236" s="39" t="s">
        <v>246</v>
      </c>
      <c r="B236" s="39" t="s">
        <v>242</v>
      </c>
      <c r="C236" s="39" t="s">
        <v>243</v>
      </c>
      <c r="D236" s="56"/>
      <c r="E236" s="39" t="s">
        <v>244</v>
      </c>
      <c r="H236" s="51">
        <v>0</v>
      </c>
      <c r="I236" s="49">
        <v>0</v>
      </c>
      <c r="J236" s="49">
        <v>0</v>
      </c>
      <c r="K236" s="51">
        <f t="shared" si="85"/>
        <v>0</v>
      </c>
      <c r="L236" s="51">
        <f t="shared" si="77"/>
        <v>109</v>
      </c>
      <c r="M236" s="51">
        <v>109</v>
      </c>
      <c r="N236" s="52"/>
      <c r="O236" s="41">
        <v>420</v>
      </c>
      <c r="P236" s="50">
        <v>0</v>
      </c>
      <c r="Q236" s="50">
        <v>0</v>
      </c>
      <c r="R236" s="50">
        <v>0</v>
      </c>
      <c r="S236" s="41">
        <v>-57</v>
      </c>
      <c r="T236" s="41">
        <v>363</v>
      </c>
      <c r="U236" s="41"/>
      <c r="V236" s="41">
        <v>287</v>
      </c>
      <c r="W236" s="50">
        <v>0</v>
      </c>
      <c r="X236" s="50">
        <v>0</v>
      </c>
      <c r="Y236" s="41">
        <f t="shared" si="86"/>
        <v>-90</v>
      </c>
      <c r="Z236" s="41">
        <v>197</v>
      </c>
      <c r="AA236" s="41"/>
      <c r="AB236" s="41">
        <v>328</v>
      </c>
      <c r="AC236" s="41">
        <v>0</v>
      </c>
      <c r="AD236" s="50">
        <v>0</v>
      </c>
      <c r="AE236" s="41">
        <v>0</v>
      </c>
      <c r="AF236" s="41">
        <v>0</v>
      </c>
      <c r="AG236" s="41">
        <f t="shared" si="93"/>
        <v>35</v>
      </c>
      <c r="AH236" s="41">
        <v>363</v>
      </c>
      <c r="AI236" s="41"/>
      <c r="AJ236" s="41">
        <v>353</v>
      </c>
      <c r="AK236" s="50">
        <v>0</v>
      </c>
      <c r="AL236" s="41">
        <v>0</v>
      </c>
      <c r="AM236" s="50">
        <v>0</v>
      </c>
      <c r="AN236" s="41">
        <f t="shared" si="87"/>
        <v>23</v>
      </c>
      <c r="AO236" s="41">
        <v>376</v>
      </c>
      <c r="AP236" s="41"/>
      <c r="AQ236" s="53">
        <v>296</v>
      </c>
      <c r="AR236" s="54">
        <v>0</v>
      </c>
      <c r="AS236" s="54">
        <v>0</v>
      </c>
      <c r="AT236" s="53">
        <v>5</v>
      </c>
      <c r="AU236" s="41">
        <f t="shared" si="88"/>
        <v>-301</v>
      </c>
      <c r="AV236" s="41">
        <v>0</v>
      </c>
      <c r="AW236" s="41"/>
      <c r="AX236" s="41">
        <v>0</v>
      </c>
      <c r="AY236" s="54">
        <v>0</v>
      </c>
      <c r="AZ236" s="50">
        <v>0</v>
      </c>
      <c r="BA236" s="50">
        <v>0</v>
      </c>
      <c r="BB236" s="41">
        <v>0</v>
      </c>
      <c r="BC236" s="41">
        <f t="shared" si="90"/>
        <v>0</v>
      </c>
      <c r="BD236" s="41">
        <v>0</v>
      </c>
      <c r="BF236" s="41">
        <v>0</v>
      </c>
      <c r="BG236" s="50">
        <v>0</v>
      </c>
      <c r="BH236" s="41">
        <v>0</v>
      </c>
      <c r="BI236" s="50">
        <v>0</v>
      </c>
      <c r="BJ236" s="41">
        <v>0</v>
      </c>
      <c r="BK236" s="41">
        <f t="shared" si="89"/>
        <v>0</v>
      </c>
      <c r="BL236" s="41">
        <v>0</v>
      </c>
      <c r="BM236" s="55"/>
      <c r="BN236" s="41">
        <v>0</v>
      </c>
      <c r="BO236" s="50">
        <v>0</v>
      </c>
      <c r="BP236" s="50">
        <v>0</v>
      </c>
      <c r="BQ236" s="41">
        <v>0</v>
      </c>
      <c r="BR236" s="41">
        <v>0</v>
      </c>
      <c r="BS236" s="41">
        <f t="shared" si="81"/>
        <v>0</v>
      </c>
      <c r="BT236" s="41">
        <v>0</v>
      </c>
      <c r="BV236" s="41">
        <v>0</v>
      </c>
      <c r="BW236" s="50">
        <v>0</v>
      </c>
      <c r="BX236" s="41">
        <f t="shared" si="83"/>
        <v>0</v>
      </c>
      <c r="BY236" s="41">
        <v>0</v>
      </c>
      <c r="CA236" s="41">
        <v>0</v>
      </c>
      <c r="CB236" s="50">
        <v>0</v>
      </c>
      <c r="CC236" s="41">
        <f t="shared" si="84"/>
        <v>0</v>
      </c>
      <c r="CD236" s="41">
        <v>0</v>
      </c>
      <c r="CF236" s="41">
        <v>0</v>
      </c>
      <c r="CG236" s="50">
        <v>0</v>
      </c>
      <c r="CH236" s="41">
        <v>0</v>
      </c>
      <c r="CI236" s="41">
        <f t="shared" si="82"/>
        <v>0</v>
      </c>
      <c r="CJ236" s="41">
        <v>0</v>
      </c>
      <c r="CK236" s="50">
        <v>0</v>
      </c>
      <c r="CL236" s="41">
        <f t="shared" si="92"/>
        <v>0</v>
      </c>
      <c r="CM236" s="41">
        <v>0</v>
      </c>
      <c r="CN236" s="50">
        <v>0</v>
      </c>
      <c r="CO236" s="41">
        <v>0</v>
      </c>
      <c r="CP236" s="41">
        <f t="shared" si="80"/>
        <v>0</v>
      </c>
      <c r="CQ236" s="41">
        <v>0</v>
      </c>
      <c r="CR236" s="50">
        <v>0</v>
      </c>
      <c r="CS236" s="41">
        <f t="shared" si="78"/>
        <v>0</v>
      </c>
    </row>
    <row r="237" spans="1:99" hidden="1">
      <c r="A237" s="39" t="s">
        <v>246</v>
      </c>
      <c r="B237" s="61" t="s">
        <v>279</v>
      </c>
      <c r="C237" s="60" t="s">
        <v>280</v>
      </c>
      <c r="D237" s="56"/>
      <c r="E237" s="60" t="s">
        <v>280</v>
      </c>
      <c r="H237" s="51">
        <v>0</v>
      </c>
      <c r="I237" s="49">
        <v>0</v>
      </c>
      <c r="J237" s="49">
        <v>0</v>
      </c>
      <c r="K237" s="51">
        <f t="shared" si="85"/>
        <v>0</v>
      </c>
      <c r="L237" s="51">
        <f t="shared" si="77"/>
        <v>0</v>
      </c>
      <c r="M237" s="51">
        <v>0</v>
      </c>
      <c r="N237" s="52"/>
      <c r="O237" s="41">
        <v>0</v>
      </c>
      <c r="P237" s="50">
        <v>0</v>
      </c>
      <c r="Q237" s="50">
        <v>0</v>
      </c>
      <c r="R237" s="50">
        <v>0</v>
      </c>
      <c r="S237" s="41">
        <v>0</v>
      </c>
      <c r="T237" s="41">
        <v>0</v>
      </c>
      <c r="U237" s="41"/>
      <c r="V237" s="41">
        <v>0</v>
      </c>
      <c r="W237" s="50">
        <v>0</v>
      </c>
      <c r="X237" s="50">
        <v>0</v>
      </c>
      <c r="Y237" s="41">
        <f t="shared" si="86"/>
        <v>0</v>
      </c>
      <c r="Z237" s="41">
        <v>0</v>
      </c>
      <c r="AA237" s="41"/>
      <c r="AB237" s="41">
        <v>0</v>
      </c>
      <c r="AC237" s="41">
        <v>0</v>
      </c>
      <c r="AD237" s="50">
        <v>0</v>
      </c>
      <c r="AE237" s="41">
        <v>0</v>
      </c>
      <c r="AF237" s="41">
        <v>0</v>
      </c>
      <c r="AG237" s="41">
        <f t="shared" si="93"/>
        <v>0</v>
      </c>
      <c r="AH237" s="41">
        <v>0</v>
      </c>
      <c r="AI237" s="41"/>
      <c r="AJ237" s="41">
        <v>0</v>
      </c>
      <c r="AK237" s="50">
        <v>0</v>
      </c>
      <c r="AL237" s="41">
        <v>0</v>
      </c>
      <c r="AM237" s="50">
        <v>0</v>
      </c>
      <c r="AN237" s="41">
        <f t="shared" si="87"/>
        <v>0</v>
      </c>
      <c r="AO237" s="41">
        <v>0</v>
      </c>
      <c r="AP237" s="41"/>
      <c r="AQ237" s="53">
        <v>0</v>
      </c>
      <c r="AR237" s="54">
        <v>0</v>
      </c>
      <c r="AS237" s="54">
        <v>0</v>
      </c>
      <c r="AT237" s="53">
        <v>35</v>
      </c>
      <c r="AU237" s="41">
        <f t="shared" si="88"/>
        <v>-35</v>
      </c>
      <c r="AV237" s="41">
        <v>0</v>
      </c>
      <c r="AW237" s="41"/>
      <c r="AX237" s="41">
        <v>0</v>
      </c>
      <c r="AY237" s="54">
        <v>0</v>
      </c>
      <c r="AZ237" s="50">
        <v>0</v>
      </c>
      <c r="BA237" s="50">
        <v>0</v>
      </c>
      <c r="BB237" s="41">
        <v>0</v>
      </c>
      <c r="BC237" s="41">
        <f t="shared" si="90"/>
        <v>0</v>
      </c>
      <c r="BD237" s="41">
        <v>0</v>
      </c>
      <c r="BF237" s="41">
        <v>0</v>
      </c>
      <c r="BG237" s="50">
        <v>0</v>
      </c>
      <c r="BH237" s="41">
        <v>0</v>
      </c>
      <c r="BI237" s="50">
        <v>0</v>
      </c>
      <c r="BJ237" s="41">
        <v>0</v>
      </c>
      <c r="BK237" s="41">
        <f t="shared" si="89"/>
        <v>0</v>
      </c>
      <c r="BL237" s="41">
        <v>0</v>
      </c>
      <c r="BM237" s="55"/>
      <c r="BN237" s="41">
        <v>0</v>
      </c>
      <c r="BO237" s="50">
        <v>0</v>
      </c>
      <c r="BP237" s="50">
        <v>0</v>
      </c>
      <c r="BQ237" s="41">
        <v>0</v>
      </c>
      <c r="BR237" s="41">
        <v>0</v>
      </c>
      <c r="BS237" s="41">
        <f t="shared" si="81"/>
        <v>0</v>
      </c>
      <c r="BT237" s="41">
        <v>0</v>
      </c>
      <c r="BV237" s="41">
        <v>0</v>
      </c>
      <c r="BW237" s="50">
        <v>0</v>
      </c>
      <c r="BX237" s="41">
        <f t="shared" si="83"/>
        <v>0</v>
      </c>
      <c r="BY237" s="41">
        <v>0</v>
      </c>
      <c r="CA237" s="41">
        <v>0</v>
      </c>
      <c r="CB237" s="50">
        <v>0</v>
      </c>
      <c r="CC237" s="41">
        <f t="shared" si="84"/>
        <v>0</v>
      </c>
      <c r="CD237" s="41">
        <v>0</v>
      </c>
      <c r="CF237" s="41">
        <v>0</v>
      </c>
      <c r="CG237" s="50">
        <v>0</v>
      </c>
      <c r="CH237" s="41">
        <v>0</v>
      </c>
      <c r="CI237" s="41">
        <f t="shared" si="82"/>
        <v>0</v>
      </c>
      <c r="CJ237" s="41">
        <v>0</v>
      </c>
      <c r="CK237" s="50">
        <v>0</v>
      </c>
      <c r="CL237" s="41">
        <f t="shared" si="92"/>
        <v>0</v>
      </c>
      <c r="CM237" s="41">
        <v>0</v>
      </c>
      <c r="CN237" s="50">
        <v>0</v>
      </c>
      <c r="CO237" s="41">
        <v>0</v>
      </c>
      <c r="CP237" s="41">
        <f t="shared" si="80"/>
        <v>0</v>
      </c>
      <c r="CQ237" s="41">
        <v>0</v>
      </c>
      <c r="CR237" s="50">
        <v>0</v>
      </c>
      <c r="CS237" s="41">
        <f t="shared" si="78"/>
        <v>0</v>
      </c>
      <c r="CT237" s="60"/>
    </row>
    <row r="238" spans="1:99" hidden="1">
      <c r="A238" s="39" t="s">
        <v>246</v>
      </c>
      <c r="B238" s="39" t="s">
        <v>281</v>
      </c>
      <c r="C238" s="39" t="s">
        <v>282</v>
      </c>
      <c r="D238" s="56"/>
      <c r="E238" s="39" t="s">
        <v>270</v>
      </c>
      <c r="H238" s="51">
        <v>0</v>
      </c>
      <c r="I238" s="49">
        <v>0</v>
      </c>
      <c r="J238" s="49">
        <v>0</v>
      </c>
      <c r="K238" s="51">
        <f t="shared" si="85"/>
        <v>0</v>
      </c>
      <c r="L238" s="51">
        <f t="shared" si="77"/>
        <v>96</v>
      </c>
      <c r="M238" s="51">
        <v>96</v>
      </c>
      <c r="N238" s="52"/>
      <c r="O238" s="41">
        <v>122</v>
      </c>
      <c r="P238" s="50">
        <v>0</v>
      </c>
      <c r="Q238" s="50">
        <v>0</v>
      </c>
      <c r="R238" s="50">
        <v>0</v>
      </c>
      <c r="S238" s="41">
        <v>-122</v>
      </c>
      <c r="T238" s="41">
        <v>0</v>
      </c>
      <c r="U238" s="41"/>
      <c r="V238" s="41">
        <v>0</v>
      </c>
      <c r="W238" s="50">
        <v>0</v>
      </c>
      <c r="X238" s="50">
        <v>0</v>
      </c>
      <c r="Y238" s="41">
        <f t="shared" si="86"/>
        <v>0</v>
      </c>
      <c r="Z238" s="41">
        <v>0</v>
      </c>
      <c r="AA238" s="41"/>
      <c r="AB238" s="41">
        <v>0</v>
      </c>
      <c r="AC238" s="41">
        <v>0</v>
      </c>
      <c r="AD238" s="50">
        <v>0</v>
      </c>
      <c r="AE238" s="41">
        <v>0</v>
      </c>
      <c r="AF238" s="41">
        <v>0</v>
      </c>
      <c r="AG238" s="41">
        <f t="shared" si="93"/>
        <v>0</v>
      </c>
      <c r="AH238" s="41">
        <v>0</v>
      </c>
      <c r="AI238" s="41"/>
      <c r="AJ238" s="41">
        <v>0</v>
      </c>
      <c r="AK238" s="50">
        <v>0</v>
      </c>
      <c r="AL238" s="41">
        <v>0</v>
      </c>
      <c r="AM238" s="50">
        <v>0</v>
      </c>
      <c r="AN238" s="41">
        <f t="shared" si="87"/>
        <v>0</v>
      </c>
      <c r="AO238" s="41">
        <v>0</v>
      </c>
      <c r="AP238" s="41"/>
      <c r="AQ238" s="53">
        <v>0</v>
      </c>
      <c r="AR238" s="54">
        <v>0</v>
      </c>
      <c r="AS238" s="54">
        <v>0</v>
      </c>
      <c r="AT238" s="53">
        <v>0</v>
      </c>
      <c r="AU238" s="41">
        <f t="shared" si="88"/>
        <v>0</v>
      </c>
      <c r="AV238" s="41">
        <v>0</v>
      </c>
      <c r="AW238" s="41"/>
      <c r="AX238" s="41">
        <v>0</v>
      </c>
      <c r="AY238" s="54">
        <v>0</v>
      </c>
      <c r="AZ238" s="50">
        <v>0</v>
      </c>
      <c r="BA238" s="50">
        <v>0</v>
      </c>
      <c r="BB238" s="41">
        <v>0</v>
      </c>
      <c r="BC238" s="41">
        <f t="shared" si="90"/>
        <v>0</v>
      </c>
      <c r="BD238" s="41">
        <v>0</v>
      </c>
      <c r="BF238" s="41">
        <v>0</v>
      </c>
      <c r="BG238" s="50">
        <v>0</v>
      </c>
      <c r="BH238" s="41">
        <v>0</v>
      </c>
      <c r="BI238" s="50">
        <v>0</v>
      </c>
      <c r="BJ238" s="41">
        <v>0</v>
      </c>
      <c r="BK238" s="41">
        <f t="shared" si="89"/>
        <v>0</v>
      </c>
      <c r="BL238" s="41">
        <v>0</v>
      </c>
      <c r="BM238" s="55"/>
      <c r="BN238" s="41">
        <v>0</v>
      </c>
      <c r="BO238" s="50">
        <v>0</v>
      </c>
      <c r="BP238" s="50">
        <v>0</v>
      </c>
      <c r="BQ238" s="41">
        <v>0</v>
      </c>
      <c r="BR238" s="41">
        <v>0</v>
      </c>
      <c r="BS238" s="41">
        <f t="shared" si="81"/>
        <v>0</v>
      </c>
      <c r="BT238" s="41">
        <v>0</v>
      </c>
      <c r="BV238" s="41">
        <v>0</v>
      </c>
      <c r="BW238" s="50">
        <v>0</v>
      </c>
      <c r="BX238" s="41">
        <f t="shared" si="83"/>
        <v>0</v>
      </c>
      <c r="BY238" s="41">
        <v>0</v>
      </c>
      <c r="CA238" s="41">
        <v>0</v>
      </c>
      <c r="CB238" s="50">
        <v>0</v>
      </c>
      <c r="CC238" s="41">
        <f t="shared" si="84"/>
        <v>0</v>
      </c>
      <c r="CD238" s="41">
        <v>0</v>
      </c>
      <c r="CF238" s="41">
        <v>0</v>
      </c>
      <c r="CG238" s="50">
        <v>0</v>
      </c>
      <c r="CH238" s="41">
        <v>0</v>
      </c>
      <c r="CI238" s="41">
        <f t="shared" si="82"/>
        <v>0</v>
      </c>
      <c r="CJ238" s="41">
        <v>0</v>
      </c>
      <c r="CK238" s="50">
        <v>0</v>
      </c>
      <c r="CL238" s="41">
        <f t="shared" si="92"/>
        <v>0</v>
      </c>
      <c r="CM238" s="41">
        <v>0</v>
      </c>
      <c r="CN238" s="50">
        <v>0</v>
      </c>
      <c r="CO238" s="41">
        <v>0</v>
      </c>
      <c r="CP238" s="41">
        <f t="shared" si="80"/>
        <v>0</v>
      </c>
      <c r="CQ238" s="41">
        <v>0</v>
      </c>
      <c r="CR238" s="50">
        <v>0</v>
      </c>
      <c r="CS238" s="41">
        <f t="shared" si="78"/>
        <v>0</v>
      </c>
    </row>
    <row r="239" spans="1:99" hidden="1">
      <c r="A239" s="39" t="s">
        <v>246</v>
      </c>
      <c r="B239" s="39" t="s">
        <v>281</v>
      </c>
      <c r="C239" s="39" t="s">
        <v>282</v>
      </c>
      <c r="D239" s="56"/>
      <c r="E239" s="39" t="s">
        <v>283</v>
      </c>
      <c r="H239" s="51">
        <v>0</v>
      </c>
      <c r="I239" s="49">
        <v>0</v>
      </c>
      <c r="J239" s="49">
        <v>0</v>
      </c>
      <c r="K239" s="51">
        <f t="shared" si="85"/>
        <v>0</v>
      </c>
      <c r="L239" s="51">
        <f t="shared" si="77"/>
        <v>0</v>
      </c>
      <c r="M239" s="51">
        <v>0</v>
      </c>
      <c r="N239" s="52"/>
      <c r="O239" s="41">
        <v>0</v>
      </c>
      <c r="P239" s="50">
        <v>0</v>
      </c>
      <c r="Q239" s="50">
        <v>0</v>
      </c>
      <c r="R239" s="50">
        <v>0</v>
      </c>
      <c r="S239" s="41">
        <v>0</v>
      </c>
      <c r="T239" s="41">
        <v>0</v>
      </c>
      <c r="U239" s="41"/>
      <c r="V239" s="41">
        <v>140</v>
      </c>
      <c r="W239" s="50">
        <v>0</v>
      </c>
      <c r="X239" s="50">
        <v>0</v>
      </c>
      <c r="Y239" s="41">
        <f t="shared" si="86"/>
        <v>-140</v>
      </c>
      <c r="Z239" s="41">
        <v>0</v>
      </c>
      <c r="AA239" s="41"/>
      <c r="AB239" s="41">
        <v>0</v>
      </c>
      <c r="AC239" s="41">
        <v>0</v>
      </c>
      <c r="AD239" s="50">
        <v>0</v>
      </c>
      <c r="AE239" s="41">
        <v>0</v>
      </c>
      <c r="AF239" s="41">
        <v>0</v>
      </c>
      <c r="AG239" s="41">
        <f t="shared" si="93"/>
        <v>0</v>
      </c>
      <c r="AH239" s="41">
        <v>0</v>
      </c>
      <c r="AI239" s="41"/>
      <c r="AJ239" s="41">
        <v>0</v>
      </c>
      <c r="AK239" s="50">
        <v>0</v>
      </c>
      <c r="AL239" s="41">
        <v>0</v>
      </c>
      <c r="AM239" s="50">
        <v>0</v>
      </c>
      <c r="AN239" s="41">
        <f t="shared" si="87"/>
        <v>0</v>
      </c>
      <c r="AO239" s="41">
        <v>0</v>
      </c>
      <c r="AP239" s="41"/>
      <c r="AQ239" s="53">
        <v>0</v>
      </c>
      <c r="AR239" s="54">
        <v>0</v>
      </c>
      <c r="AS239" s="54">
        <v>0</v>
      </c>
      <c r="AT239" s="53">
        <v>0</v>
      </c>
      <c r="AU239" s="41">
        <f t="shared" si="88"/>
        <v>0</v>
      </c>
      <c r="AV239" s="41">
        <v>0</v>
      </c>
      <c r="AW239" s="41"/>
      <c r="AX239" s="41">
        <v>0</v>
      </c>
      <c r="AY239" s="54">
        <v>0</v>
      </c>
      <c r="AZ239" s="50">
        <v>0</v>
      </c>
      <c r="BA239" s="50">
        <v>0</v>
      </c>
      <c r="BB239" s="41">
        <v>0</v>
      </c>
      <c r="BC239" s="41">
        <f t="shared" si="90"/>
        <v>0</v>
      </c>
      <c r="BD239" s="41">
        <v>0</v>
      </c>
      <c r="BF239" s="41">
        <v>0</v>
      </c>
      <c r="BG239" s="50">
        <v>0</v>
      </c>
      <c r="BH239" s="41">
        <v>0</v>
      </c>
      <c r="BI239" s="50">
        <v>0</v>
      </c>
      <c r="BJ239" s="41">
        <v>0</v>
      </c>
      <c r="BK239" s="41">
        <f t="shared" si="89"/>
        <v>0</v>
      </c>
      <c r="BL239" s="41">
        <v>0</v>
      </c>
      <c r="BM239" s="55"/>
      <c r="BN239" s="41">
        <v>0</v>
      </c>
      <c r="BO239" s="50">
        <v>0</v>
      </c>
      <c r="BP239" s="50">
        <v>0</v>
      </c>
      <c r="BQ239" s="41">
        <v>0</v>
      </c>
      <c r="BR239" s="41">
        <v>0</v>
      </c>
      <c r="BS239" s="41">
        <f t="shared" si="81"/>
        <v>0</v>
      </c>
      <c r="BT239" s="41">
        <v>0</v>
      </c>
      <c r="BV239" s="41">
        <v>0</v>
      </c>
      <c r="BW239" s="50">
        <v>0</v>
      </c>
      <c r="BX239" s="41">
        <f t="shared" si="83"/>
        <v>0</v>
      </c>
      <c r="BY239" s="41">
        <v>0</v>
      </c>
      <c r="CA239" s="41">
        <v>0</v>
      </c>
      <c r="CB239" s="50">
        <v>0</v>
      </c>
      <c r="CC239" s="41">
        <f t="shared" si="84"/>
        <v>0</v>
      </c>
      <c r="CD239" s="41">
        <v>0</v>
      </c>
      <c r="CF239" s="41">
        <v>0</v>
      </c>
      <c r="CG239" s="50">
        <v>0</v>
      </c>
      <c r="CH239" s="41">
        <v>0</v>
      </c>
      <c r="CI239" s="41">
        <f t="shared" si="82"/>
        <v>0</v>
      </c>
      <c r="CJ239" s="41">
        <v>0</v>
      </c>
      <c r="CK239" s="50">
        <v>0</v>
      </c>
      <c r="CL239" s="41">
        <f t="shared" si="92"/>
        <v>0</v>
      </c>
      <c r="CM239" s="41">
        <v>0</v>
      </c>
      <c r="CN239" s="50">
        <v>0</v>
      </c>
      <c r="CO239" s="41">
        <v>0</v>
      </c>
      <c r="CP239" s="41">
        <f t="shared" si="80"/>
        <v>0</v>
      </c>
      <c r="CQ239" s="41">
        <v>0</v>
      </c>
      <c r="CR239" s="50">
        <v>0</v>
      </c>
      <c r="CS239" s="41">
        <f t="shared" si="78"/>
        <v>0</v>
      </c>
    </row>
    <row r="240" spans="1:99" hidden="1">
      <c r="A240" s="39" t="s">
        <v>246</v>
      </c>
      <c r="B240" s="39" t="s">
        <v>236</v>
      </c>
      <c r="C240" s="39" t="s">
        <v>237</v>
      </c>
      <c r="D240" s="56"/>
      <c r="E240" s="39" t="s">
        <v>284</v>
      </c>
      <c r="H240" s="51">
        <v>0</v>
      </c>
      <c r="I240" s="49">
        <v>0</v>
      </c>
      <c r="J240" s="49">
        <v>0</v>
      </c>
      <c r="K240" s="51">
        <f t="shared" si="85"/>
        <v>0</v>
      </c>
      <c r="L240" s="51">
        <f t="shared" si="77"/>
        <v>0</v>
      </c>
      <c r="M240" s="51">
        <v>0</v>
      </c>
      <c r="N240" s="52"/>
      <c r="O240" s="41">
        <v>0</v>
      </c>
      <c r="P240" s="50">
        <v>0</v>
      </c>
      <c r="Q240" s="50">
        <v>0</v>
      </c>
      <c r="R240" s="50">
        <v>0</v>
      </c>
      <c r="S240" s="41">
        <v>0</v>
      </c>
      <c r="T240" s="41">
        <v>0</v>
      </c>
      <c r="U240" s="41"/>
      <c r="V240" s="41">
        <v>0</v>
      </c>
      <c r="W240" s="50">
        <v>0</v>
      </c>
      <c r="X240" s="50">
        <v>0</v>
      </c>
      <c r="Y240" s="41">
        <f t="shared" si="86"/>
        <v>0</v>
      </c>
      <c r="Z240" s="41">
        <v>0</v>
      </c>
      <c r="AA240" s="41"/>
      <c r="AB240" s="41">
        <v>4</v>
      </c>
      <c r="AC240" s="41">
        <v>0</v>
      </c>
      <c r="AD240" s="50">
        <v>0</v>
      </c>
      <c r="AE240" s="41">
        <v>0</v>
      </c>
      <c r="AF240" s="41">
        <v>0</v>
      </c>
      <c r="AG240" s="41">
        <f t="shared" si="93"/>
        <v>0</v>
      </c>
      <c r="AH240" s="41">
        <v>4</v>
      </c>
      <c r="AI240" s="41"/>
      <c r="AJ240" s="41">
        <v>4</v>
      </c>
      <c r="AK240" s="50">
        <v>0</v>
      </c>
      <c r="AL240" s="41">
        <v>0</v>
      </c>
      <c r="AM240" s="50">
        <v>0</v>
      </c>
      <c r="AN240" s="41">
        <f t="shared" si="87"/>
        <v>0</v>
      </c>
      <c r="AO240" s="41">
        <v>4</v>
      </c>
      <c r="AP240" s="41"/>
      <c r="AQ240" s="53">
        <v>4</v>
      </c>
      <c r="AR240" s="54">
        <v>0</v>
      </c>
      <c r="AS240" s="54">
        <v>0</v>
      </c>
      <c r="AT240" s="53">
        <v>0</v>
      </c>
      <c r="AU240" s="41">
        <f t="shared" si="88"/>
        <v>0</v>
      </c>
      <c r="AV240" s="41">
        <v>4</v>
      </c>
      <c r="AW240" s="41"/>
      <c r="AX240" s="41">
        <v>4</v>
      </c>
      <c r="AY240" s="54">
        <v>0</v>
      </c>
      <c r="AZ240" s="50">
        <v>0</v>
      </c>
      <c r="BA240" s="50">
        <v>0</v>
      </c>
      <c r="BB240" s="41">
        <v>0</v>
      </c>
      <c r="BC240" s="41">
        <f t="shared" si="90"/>
        <v>1</v>
      </c>
      <c r="BD240" s="41">
        <v>5</v>
      </c>
      <c r="BF240" s="41">
        <v>5</v>
      </c>
      <c r="BG240" s="50">
        <v>0</v>
      </c>
      <c r="BH240" s="41">
        <v>0</v>
      </c>
      <c r="BI240" s="50">
        <v>0</v>
      </c>
      <c r="BJ240" s="41">
        <v>0</v>
      </c>
      <c r="BK240" s="41">
        <f t="shared" si="89"/>
        <v>0</v>
      </c>
      <c r="BL240" s="41">
        <v>5</v>
      </c>
      <c r="BM240" s="55"/>
      <c r="BN240" s="41">
        <v>5</v>
      </c>
      <c r="BO240" s="50">
        <v>0</v>
      </c>
      <c r="BP240" s="50">
        <v>0</v>
      </c>
      <c r="BQ240" s="41">
        <v>0</v>
      </c>
      <c r="BR240" s="41">
        <v>0</v>
      </c>
      <c r="BS240" s="41">
        <f t="shared" si="81"/>
        <v>0</v>
      </c>
      <c r="BT240" s="41">
        <v>5</v>
      </c>
      <c r="BV240" s="41">
        <v>5</v>
      </c>
      <c r="BW240" s="50">
        <v>0</v>
      </c>
      <c r="BX240" s="41">
        <f t="shared" si="83"/>
        <v>0</v>
      </c>
      <c r="BY240" s="41">
        <v>5</v>
      </c>
      <c r="CA240" s="41">
        <v>5</v>
      </c>
      <c r="CB240" s="50">
        <v>0</v>
      </c>
      <c r="CC240" s="41">
        <f t="shared" si="84"/>
        <v>0</v>
      </c>
      <c r="CD240" s="41">
        <v>5</v>
      </c>
      <c r="CF240" s="41">
        <v>5</v>
      </c>
      <c r="CG240" s="50">
        <v>0</v>
      </c>
      <c r="CH240" s="41">
        <v>0</v>
      </c>
      <c r="CI240" s="41">
        <f t="shared" si="82"/>
        <v>5</v>
      </c>
      <c r="CJ240" s="41">
        <v>5</v>
      </c>
      <c r="CK240" s="50">
        <v>0</v>
      </c>
      <c r="CL240" s="41">
        <f t="shared" si="92"/>
        <v>5</v>
      </c>
      <c r="CM240" s="41">
        <v>0</v>
      </c>
      <c r="CN240" s="50">
        <v>0</v>
      </c>
      <c r="CO240" s="41">
        <v>0</v>
      </c>
      <c r="CP240" s="41">
        <f t="shared" si="80"/>
        <v>0</v>
      </c>
      <c r="CQ240" s="41">
        <v>0</v>
      </c>
      <c r="CR240" s="50">
        <v>0</v>
      </c>
      <c r="CS240" s="41">
        <f t="shared" si="78"/>
        <v>0</v>
      </c>
    </row>
    <row r="241" spans="1:99" hidden="1">
      <c r="A241" s="39" t="s">
        <v>246</v>
      </c>
      <c r="B241" s="59" t="s">
        <v>285</v>
      </c>
      <c r="C241" s="59" t="s">
        <v>286</v>
      </c>
      <c r="D241" s="57">
        <v>90040001054</v>
      </c>
      <c r="E241" s="59" t="s">
        <v>241</v>
      </c>
      <c r="H241" s="51">
        <v>25</v>
      </c>
      <c r="I241" s="49">
        <v>0</v>
      </c>
      <c r="J241" s="49">
        <v>0</v>
      </c>
      <c r="K241" s="51">
        <f t="shared" si="85"/>
        <v>25</v>
      </c>
      <c r="L241" s="51">
        <f t="shared" si="77"/>
        <v>0</v>
      </c>
      <c r="M241" s="51">
        <v>25</v>
      </c>
      <c r="N241" s="52"/>
      <c r="O241" s="41">
        <v>26</v>
      </c>
      <c r="P241" s="50">
        <v>0</v>
      </c>
      <c r="Q241" s="50">
        <v>0</v>
      </c>
      <c r="R241" s="50">
        <v>0</v>
      </c>
      <c r="S241" s="41">
        <v>0</v>
      </c>
      <c r="T241" s="41">
        <v>26</v>
      </c>
      <c r="U241" s="41"/>
      <c r="V241" s="41">
        <v>26</v>
      </c>
      <c r="W241" s="50">
        <v>0</v>
      </c>
      <c r="X241" s="50">
        <v>0</v>
      </c>
      <c r="Y241" s="41">
        <f t="shared" si="86"/>
        <v>0</v>
      </c>
      <c r="Z241" s="41">
        <v>26</v>
      </c>
      <c r="AA241" s="41"/>
      <c r="AB241" s="41">
        <v>26</v>
      </c>
      <c r="AC241" s="41">
        <v>0</v>
      </c>
      <c r="AD241" s="50">
        <v>0</v>
      </c>
      <c r="AE241" s="41">
        <v>0</v>
      </c>
      <c r="AF241" s="41">
        <v>0</v>
      </c>
      <c r="AG241" s="41">
        <f t="shared" si="93"/>
        <v>0</v>
      </c>
      <c r="AH241" s="41">
        <v>26</v>
      </c>
      <c r="AI241" s="41"/>
      <c r="AJ241" s="41">
        <v>25</v>
      </c>
      <c r="AK241" s="50">
        <v>0</v>
      </c>
      <c r="AL241" s="41">
        <v>0</v>
      </c>
      <c r="AM241" s="50">
        <v>0</v>
      </c>
      <c r="AN241" s="41">
        <f t="shared" si="87"/>
        <v>0</v>
      </c>
      <c r="AO241" s="41">
        <v>25</v>
      </c>
      <c r="AP241" s="41"/>
      <c r="AQ241" s="53">
        <v>25</v>
      </c>
      <c r="AR241" s="54">
        <v>0</v>
      </c>
      <c r="AS241" s="54">
        <v>0</v>
      </c>
      <c r="AT241" s="53">
        <v>0</v>
      </c>
      <c r="AU241" s="41">
        <f t="shared" si="88"/>
        <v>0</v>
      </c>
      <c r="AV241" s="41">
        <v>25</v>
      </c>
      <c r="AW241" s="41"/>
      <c r="AX241" s="41">
        <v>22</v>
      </c>
      <c r="AY241" s="54">
        <v>0</v>
      </c>
      <c r="AZ241" s="50">
        <v>0</v>
      </c>
      <c r="BA241" s="50">
        <v>0</v>
      </c>
      <c r="BB241" s="41">
        <v>0</v>
      </c>
      <c r="BC241" s="41">
        <f t="shared" si="90"/>
        <v>0</v>
      </c>
      <c r="BD241" s="41">
        <v>22</v>
      </c>
      <c r="BF241" s="41">
        <v>22</v>
      </c>
      <c r="BG241" s="50">
        <v>0</v>
      </c>
      <c r="BH241" s="41">
        <v>0</v>
      </c>
      <c r="BI241" s="50">
        <v>0</v>
      </c>
      <c r="BJ241" s="41">
        <v>0</v>
      </c>
      <c r="BK241" s="41">
        <f t="shared" si="89"/>
        <v>0</v>
      </c>
      <c r="BL241" s="41">
        <v>22</v>
      </c>
      <c r="BM241" s="55"/>
      <c r="BN241" s="41">
        <v>24</v>
      </c>
      <c r="BO241" s="50">
        <v>0</v>
      </c>
      <c r="BP241" s="50">
        <v>0</v>
      </c>
      <c r="BQ241" s="41">
        <v>0</v>
      </c>
      <c r="BR241" s="41">
        <v>0</v>
      </c>
      <c r="BS241" s="41">
        <f t="shared" si="81"/>
        <v>0</v>
      </c>
      <c r="BT241" s="41">
        <v>24</v>
      </c>
      <c r="BV241" s="41">
        <v>24</v>
      </c>
      <c r="BW241" s="50">
        <v>0</v>
      </c>
      <c r="BX241" s="41">
        <f t="shared" si="83"/>
        <v>0</v>
      </c>
      <c r="BY241" s="41">
        <v>24</v>
      </c>
      <c r="CA241" s="41">
        <v>24</v>
      </c>
      <c r="CB241" s="50">
        <v>0</v>
      </c>
      <c r="CC241" s="41">
        <f t="shared" si="84"/>
        <v>0</v>
      </c>
      <c r="CD241" s="41">
        <v>24</v>
      </c>
      <c r="CF241" s="41">
        <v>22</v>
      </c>
      <c r="CG241" s="50">
        <v>0</v>
      </c>
      <c r="CH241" s="41">
        <v>0</v>
      </c>
      <c r="CI241" s="41">
        <f t="shared" si="82"/>
        <v>22</v>
      </c>
      <c r="CJ241" s="41">
        <v>23</v>
      </c>
      <c r="CK241" s="50">
        <v>0</v>
      </c>
      <c r="CL241" s="41">
        <f t="shared" si="92"/>
        <v>23</v>
      </c>
      <c r="CM241" s="41">
        <v>23</v>
      </c>
      <c r="CN241" s="50">
        <v>0</v>
      </c>
      <c r="CO241" s="41">
        <v>0</v>
      </c>
      <c r="CP241" s="41">
        <f t="shared" si="80"/>
        <v>23</v>
      </c>
      <c r="CQ241" s="41">
        <v>23</v>
      </c>
      <c r="CR241" s="50">
        <v>0</v>
      </c>
      <c r="CS241" s="41">
        <f t="shared" si="78"/>
        <v>23</v>
      </c>
      <c r="CT241" s="59"/>
      <c r="CU241" s="44" t="s">
        <v>573</v>
      </c>
    </row>
    <row r="242" spans="1:99" hidden="1">
      <c r="A242" s="39" t="s">
        <v>246</v>
      </c>
      <c r="B242" s="39" t="s">
        <v>287</v>
      </c>
      <c r="C242" s="39" t="s">
        <v>288</v>
      </c>
      <c r="D242" s="56"/>
      <c r="E242" s="39" t="s">
        <v>241</v>
      </c>
      <c r="H242" s="51">
        <v>40</v>
      </c>
      <c r="I242" s="49">
        <v>0</v>
      </c>
      <c r="J242" s="49">
        <v>0</v>
      </c>
      <c r="K242" s="51">
        <f t="shared" si="85"/>
        <v>40</v>
      </c>
      <c r="L242" s="51">
        <f t="shared" si="77"/>
        <v>-40</v>
      </c>
      <c r="M242" s="51">
        <v>0</v>
      </c>
      <c r="N242" s="52"/>
      <c r="O242" s="41">
        <v>0</v>
      </c>
      <c r="P242" s="50">
        <v>0</v>
      </c>
      <c r="Q242" s="50">
        <v>0</v>
      </c>
      <c r="R242" s="50">
        <v>0</v>
      </c>
      <c r="S242" s="41">
        <v>0</v>
      </c>
      <c r="T242" s="41">
        <v>0</v>
      </c>
      <c r="U242" s="41"/>
      <c r="V242" s="41">
        <v>0</v>
      </c>
      <c r="W242" s="50">
        <v>0</v>
      </c>
      <c r="X242" s="50">
        <v>0</v>
      </c>
      <c r="Y242" s="41">
        <f t="shared" si="86"/>
        <v>0</v>
      </c>
      <c r="Z242" s="41">
        <v>0</v>
      </c>
      <c r="AA242" s="41"/>
      <c r="AB242" s="41">
        <v>0</v>
      </c>
      <c r="AC242" s="41">
        <v>0</v>
      </c>
      <c r="AD242" s="50">
        <v>0</v>
      </c>
      <c r="AE242" s="41">
        <v>0</v>
      </c>
      <c r="AF242" s="41">
        <v>0</v>
      </c>
      <c r="AG242" s="41">
        <f t="shared" si="93"/>
        <v>0</v>
      </c>
      <c r="AH242" s="41">
        <v>0</v>
      </c>
      <c r="AI242" s="41"/>
      <c r="AJ242" s="41">
        <v>0</v>
      </c>
      <c r="AK242" s="50">
        <v>0</v>
      </c>
      <c r="AL242" s="41">
        <v>0</v>
      </c>
      <c r="AM242" s="50">
        <v>0</v>
      </c>
      <c r="AN242" s="41">
        <f t="shared" si="87"/>
        <v>0</v>
      </c>
      <c r="AO242" s="41">
        <v>0</v>
      </c>
      <c r="AP242" s="41"/>
      <c r="AQ242" s="53">
        <v>0</v>
      </c>
      <c r="AR242" s="54">
        <v>0</v>
      </c>
      <c r="AS242" s="54">
        <v>0</v>
      </c>
      <c r="AT242" s="53">
        <v>0</v>
      </c>
      <c r="AU242" s="41">
        <f t="shared" si="88"/>
        <v>0</v>
      </c>
      <c r="AV242" s="41">
        <v>0</v>
      </c>
      <c r="AW242" s="41"/>
      <c r="AX242" s="41">
        <v>0</v>
      </c>
      <c r="AY242" s="54">
        <v>0</v>
      </c>
      <c r="AZ242" s="50">
        <v>0</v>
      </c>
      <c r="BA242" s="50">
        <v>0</v>
      </c>
      <c r="BB242" s="41">
        <v>0</v>
      </c>
      <c r="BC242" s="41">
        <f t="shared" si="90"/>
        <v>0</v>
      </c>
      <c r="BD242" s="41">
        <v>0</v>
      </c>
      <c r="BF242" s="41">
        <v>0</v>
      </c>
      <c r="BG242" s="50">
        <v>0</v>
      </c>
      <c r="BH242" s="41">
        <v>0</v>
      </c>
      <c r="BI242" s="50">
        <v>0</v>
      </c>
      <c r="BJ242" s="41">
        <v>0</v>
      </c>
      <c r="BK242" s="41">
        <f t="shared" si="89"/>
        <v>0</v>
      </c>
      <c r="BL242" s="41">
        <v>0</v>
      </c>
      <c r="BM242" s="55"/>
      <c r="BN242" s="41">
        <v>0</v>
      </c>
      <c r="BO242" s="50">
        <v>0</v>
      </c>
      <c r="BP242" s="50">
        <v>0</v>
      </c>
      <c r="BQ242" s="41">
        <v>0</v>
      </c>
      <c r="BR242" s="41">
        <v>0</v>
      </c>
      <c r="BS242" s="41">
        <f t="shared" si="81"/>
        <v>0</v>
      </c>
      <c r="BT242" s="41">
        <v>0</v>
      </c>
      <c r="BV242" s="41">
        <v>0</v>
      </c>
      <c r="BW242" s="50">
        <v>0</v>
      </c>
      <c r="BX242" s="41">
        <f t="shared" si="83"/>
        <v>0</v>
      </c>
      <c r="BY242" s="41">
        <v>0</v>
      </c>
      <c r="CA242" s="41">
        <v>0</v>
      </c>
      <c r="CB242" s="50">
        <v>0</v>
      </c>
      <c r="CC242" s="41">
        <f t="shared" si="84"/>
        <v>0</v>
      </c>
      <c r="CD242" s="41">
        <v>0</v>
      </c>
      <c r="CF242" s="41">
        <v>0</v>
      </c>
      <c r="CG242" s="50">
        <v>0</v>
      </c>
      <c r="CH242" s="41">
        <v>0</v>
      </c>
      <c r="CI242" s="41">
        <f t="shared" si="82"/>
        <v>0</v>
      </c>
      <c r="CJ242" s="41">
        <v>0</v>
      </c>
      <c r="CK242" s="50">
        <v>0</v>
      </c>
      <c r="CL242" s="41">
        <f t="shared" si="92"/>
        <v>0</v>
      </c>
      <c r="CM242" s="41">
        <v>0</v>
      </c>
      <c r="CN242" s="50">
        <v>0</v>
      </c>
      <c r="CO242" s="41">
        <v>0</v>
      </c>
      <c r="CP242" s="41">
        <f t="shared" si="80"/>
        <v>0</v>
      </c>
      <c r="CQ242" s="41">
        <v>0</v>
      </c>
      <c r="CR242" s="50">
        <v>0</v>
      </c>
      <c r="CS242" s="41">
        <f t="shared" si="78"/>
        <v>0</v>
      </c>
    </row>
    <row r="243" spans="1:99" hidden="1">
      <c r="A243" s="39" t="s">
        <v>246</v>
      </c>
      <c r="B243" s="39" t="s">
        <v>287</v>
      </c>
      <c r="C243" s="39" t="s">
        <v>288</v>
      </c>
      <c r="D243" s="56"/>
      <c r="E243" s="39" t="s">
        <v>289</v>
      </c>
      <c r="H243" s="51">
        <v>20</v>
      </c>
      <c r="I243" s="49">
        <v>0</v>
      </c>
      <c r="J243" s="49">
        <v>0</v>
      </c>
      <c r="K243" s="51">
        <f t="shared" si="85"/>
        <v>20</v>
      </c>
      <c r="L243" s="51">
        <f t="shared" si="77"/>
        <v>-20</v>
      </c>
      <c r="M243" s="51">
        <v>0</v>
      </c>
      <c r="N243" s="52"/>
      <c r="O243" s="41">
        <v>0</v>
      </c>
      <c r="P243" s="50">
        <v>0</v>
      </c>
      <c r="Q243" s="50">
        <v>0</v>
      </c>
      <c r="R243" s="50">
        <v>0</v>
      </c>
      <c r="S243" s="41">
        <v>0</v>
      </c>
      <c r="T243" s="41">
        <v>0</v>
      </c>
      <c r="U243" s="41"/>
      <c r="V243" s="41">
        <v>0</v>
      </c>
      <c r="W243" s="50">
        <v>0</v>
      </c>
      <c r="X243" s="50">
        <v>0</v>
      </c>
      <c r="Y243" s="41">
        <f t="shared" si="86"/>
        <v>0</v>
      </c>
      <c r="Z243" s="41">
        <v>0</v>
      </c>
      <c r="AA243" s="41"/>
      <c r="AB243" s="41">
        <v>0</v>
      </c>
      <c r="AC243" s="41">
        <v>0</v>
      </c>
      <c r="AD243" s="50">
        <v>0</v>
      </c>
      <c r="AE243" s="41">
        <v>0</v>
      </c>
      <c r="AF243" s="41">
        <v>0</v>
      </c>
      <c r="AG243" s="41">
        <f t="shared" si="93"/>
        <v>0</v>
      </c>
      <c r="AH243" s="41">
        <v>0</v>
      </c>
      <c r="AI243" s="41"/>
      <c r="AJ243" s="41">
        <v>0</v>
      </c>
      <c r="AK243" s="50">
        <v>0</v>
      </c>
      <c r="AL243" s="41">
        <v>0</v>
      </c>
      <c r="AM243" s="50">
        <v>0</v>
      </c>
      <c r="AN243" s="41">
        <f t="shared" si="87"/>
        <v>0</v>
      </c>
      <c r="AO243" s="41">
        <v>0</v>
      </c>
      <c r="AP243" s="41"/>
      <c r="AQ243" s="53">
        <v>0</v>
      </c>
      <c r="AR243" s="54">
        <v>0</v>
      </c>
      <c r="AS243" s="54">
        <v>0</v>
      </c>
      <c r="AT243" s="53">
        <v>0</v>
      </c>
      <c r="AU243" s="41">
        <f t="shared" si="88"/>
        <v>0</v>
      </c>
      <c r="AV243" s="41">
        <v>0</v>
      </c>
      <c r="AW243" s="41"/>
      <c r="AX243" s="41">
        <v>0</v>
      </c>
      <c r="AY243" s="54">
        <v>0</v>
      </c>
      <c r="AZ243" s="50">
        <v>0</v>
      </c>
      <c r="BA243" s="50">
        <v>0</v>
      </c>
      <c r="BB243" s="41">
        <v>0</v>
      </c>
      <c r="BC243" s="41">
        <f t="shared" si="90"/>
        <v>0</v>
      </c>
      <c r="BD243" s="41">
        <v>0</v>
      </c>
      <c r="BF243" s="41">
        <v>0</v>
      </c>
      <c r="BG243" s="50">
        <v>0</v>
      </c>
      <c r="BH243" s="41">
        <v>0</v>
      </c>
      <c r="BI243" s="50">
        <v>0</v>
      </c>
      <c r="BJ243" s="41">
        <v>0</v>
      </c>
      <c r="BK243" s="41">
        <f t="shared" si="89"/>
        <v>0</v>
      </c>
      <c r="BL243" s="41">
        <v>0</v>
      </c>
      <c r="BM243" s="55"/>
      <c r="BN243" s="41">
        <v>0</v>
      </c>
      <c r="BO243" s="50">
        <v>0</v>
      </c>
      <c r="BP243" s="50">
        <v>0</v>
      </c>
      <c r="BQ243" s="41">
        <v>0</v>
      </c>
      <c r="BR243" s="41">
        <v>0</v>
      </c>
      <c r="BS243" s="41">
        <f t="shared" si="81"/>
        <v>0</v>
      </c>
      <c r="BT243" s="41">
        <v>0</v>
      </c>
      <c r="BV243" s="41">
        <v>0</v>
      </c>
      <c r="BW243" s="50">
        <v>0</v>
      </c>
      <c r="BX243" s="41">
        <f t="shared" si="83"/>
        <v>0</v>
      </c>
      <c r="BY243" s="41">
        <v>0</v>
      </c>
      <c r="CA243" s="41">
        <v>0</v>
      </c>
      <c r="CB243" s="50">
        <v>0</v>
      </c>
      <c r="CC243" s="41">
        <f t="shared" si="84"/>
        <v>0</v>
      </c>
      <c r="CD243" s="41">
        <v>0</v>
      </c>
      <c r="CF243" s="41">
        <v>0</v>
      </c>
      <c r="CG243" s="50">
        <v>0</v>
      </c>
      <c r="CH243" s="41">
        <v>0</v>
      </c>
      <c r="CI243" s="41">
        <f t="shared" si="82"/>
        <v>0</v>
      </c>
      <c r="CJ243" s="41">
        <v>0</v>
      </c>
      <c r="CK243" s="50">
        <v>0</v>
      </c>
      <c r="CL243" s="41">
        <f t="shared" si="92"/>
        <v>0</v>
      </c>
      <c r="CM243" s="41">
        <v>0</v>
      </c>
      <c r="CN243" s="50">
        <v>0</v>
      </c>
      <c r="CO243" s="41">
        <v>0</v>
      </c>
      <c r="CP243" s="41">
        <f t="shared" si="80"/>
        <v>0</v>
      </c>
      <c r="CQ243" s="41">
        <v>0</v>
      </c>
      <c r="CR243" s="50">
        <v>0</v>
      </c>
      <c r="CS243" s="41">
        <f t="shared" si="78"/>
        <v>0</v>
      </c>
    </row>
    <row r="244" spans="1:99" hidden="1">
      <c r="A244" s="39" t="s">
        <v>246</v>
      </c>
      <c r="B244" s="39" t="s">
        <v>290</v>
      </c>
      <c r="C244" s="39" t="s">
        <v>291</v>
      </c>
      <c r="D244" s="56">
        <v>49010001054</v>
      </c>
      <c r="E244" s="39" t="s">
        <v>292</v>
      </c>
      <c r="H244" s="51">
        <v>68</v>
      </c>
      <c r="I244" s="49">
        <v>0</v>
      </c>
      <c r="J244" s="49">
        <v>0</v>
      </c>
      <c r="K244" s="51">
        <f t="shared" si="85"/>
        <v>68</v>
      </c>
      <c r="L244" s="51">
        <f t="shared" si="77"/>
        <v>2</v>
      </c>
      <c r="M244" s="51">
        <v>70</v>
      </c>
      <c r="N244" s="52"/>
      <c r="O244" s="41">
        <v>68</v>
      </c>
      <c r="P244" s="50">
        <v>0</v>
      </c>
      <c r="Q244" s="50">
        <v>0</v>
      </c>
      <c r="R244" s="50">
        <v>0</v>
      </c>
      <c r="S244" s="41">
        <v>1</v>
      </c>
      <c r="T244" s="41">
        <v>69</v>
      </c>
      <c r="U244" s="41"/>
      <c r="V244" s="41">
        <v>68</v>
      </c>
      <c r="W244" s="50">
        <v>0</v>
      </c>
      <c r="X244" s="50">
        <v>0</v>
      </c>
      <c r="Y244" s="41">
        <f t="shared" si="86"/>
        <v>0</v>
      </c>
      <c r="Z244" s="41">
        <v>68</v>
      </c>
      <c r="AA244" s="41"/>
      <c r="AB244" s="41">
        <v>68</v>
      </c>
      <c r="AC244" s="41">
        <v>0</v>
      </c>
      <c r="AD244" s="50">
        <v>0</v>
      </c>
      <c r="AE244" s="41">
        <v>0</v>
      </c>
      <c r="AF244" s="41">
        <v>0</v>
      </c>
      <c r="AG244" s="41">
        <f t="shared" si="93"/>
        <v>48</v>
      </c>
      <c r="AH244" s="41">
        <v>116</v>
      </c>
      <c r="AI244" s="41"/>
      <c r="AJ244" s="41">
        <v>67</v>
      </c>
      <c r="AK244" s="50">
        <v>0</v>
      </c>
      <c r="AL244" s="41">
        <v>0</v>
      </c>
      <c r="AM244" s="50">
        <v>0</v>
      </c>
      <c r="AN244" s="41">
        <f t="shared" si="87"/>
        <v>0</v>
      </c>
      <c r="AO244" s="41">
        <v>67</v>
      </c>
      <c r="AP244" s="41"/>
      <c r="AQ244" s="53">
        <v>67</v>
      </c>
      <c r="AR244" s="54">
        <v>0</v>
      </c>
      <c r="AS244" s="54">
        <v>0</v>
      </c>
      <c r="AT244" s="53">
        <v>0</v>
      </c>
      <c r="AU244" s="41">
        <f t="shared" si="88"/>
        <v>1</v>
      </c>
      <c r="AV244" s="41">
        <v>68</v>
      </c>
      <c r="AW244" s="41"/>
      <c r="AX244" s="41">
        <v>68</v>
      </c>
      <c r="AY244" s="54">
        <v>0</v>
      </c>
      <c r="AZ244" s="50">
        <v>0</v>
      </c>
      <c r="BA244" s="50">
        <v>0</v>
      </c>
      <c r="BB244" s="41">
        <v>0</v>
      </c>
      <c r="BC244" s="41">
        <f t="shared" si="90"/>
        <v>0</v>
      </c>
      <c r="BD244" s="41">
        <v>68</v>
      </c>
      <c r="BF244" s="41">
        <v>67</v>
      </c>
      <c r="BG244" s="50">
        <v>0</v>
      </c>
      <c r="BH244" s="41">
        <v>0</v>
      </c>
      <c r="BI244" s="50">
        <v>0</v>
      </c>
      <c r="BJ244" s="41">
        <v>0</v>
      </c>
      <c r="BK244" s="41">
        <f t="shared" si="89"/>
        <v>2</v>
      </c>
      <c r="BL244" s="41">
        <v>69</v>
      </c>
      <c r="BM244" s="55"/>
      <c r="BN244" s="41">
        <v>68</v>
      </c>
      <c r="BO244" s="50">
        <v>0</v>
      </c>
      <c r="BP244" s="50">
        <v>0</v>
      </c>
      <c r="BQ244" s="41">
        <v>0</v>
      </c>
      <c r="BR244" s="41">
        <v>0</v>
      </c>
      <c r="BS244" s="41">
        <f t="shared" si="81"/>
        <v>0</v>
      </c>
      <c r="BT244" s="41">
        <v>68</v>
      </c>
      <c r="BV244" s="41">
        <v>68</v>
      </c>
      <c r="BW244" s="50">
        <v>0</v>
      </c>
      <c r="BX244" s="41">
        <f t="shared" si="83"/>
        <v>0</v>
      </c>
      <c r="BY244" s="41">
        <v>68</v>
      </c>
      <c r="CA244" s="41">
        <v>68</v>
      </c>
      <c r="CB244" s="50">
        <v>0</v>
      </c>
      <c r="CC244" s="41">
        <f t="shared" si="84"/>
        <v>0</v>
      </c>
      <c r="CD244" s="41">
        <v>68</v>
      </c>
      <c r="CF244" s="41">
        <v>62</v>
      </c>
      <c r="CG244" s="50">
        <v>0</v>
      </c>
      <c r="CH244" s="41">
        <v>0</v>
      </c>
      <c r="CI244" s="41">
        <f t="shared" si="82"/>
        <v>62</v>
      </c>
      <c r="CJ244" s="41">
        <v>68</v>
      </c>
      <c r="CK244" s="50">
        <v>0</v>
      </c>
      <c r="CL244" s="41">
        <f t="shared" si="92"/>
        <v>68</v>
      </c>
      <c r="CM244" s="41">
        <v>68</v>
      </c>
      <c r="CN244" s="50">
        <v>0</v>
      </c>
      <c r="CO244" s="41">
        <v>0</v>
      </c>
      <c r="CP244" s="41">
        <f t="shared" si="80"/>
        <v>68</v>
      </c>
      <c r="CQ244" s="41">
        <v>68</v>
      </c>
      <c r="CR244" s="50">
        <v>0</v>
      </c>
      <c r="CS244" s="41">
        <f t="shared" si="78"/>
        <v>68</v>
      </c>
      <c r="CU244" s="39" t="s">
        <v>574</v>
      </c>
    </row>
    <row r="245" spans="1:99" hidden="1">
      <c r="A245" s="39" t="s">
        <v>246</v>
      </c>
      <c r="B245" s="39" t="s">
        <v>293</v>
      </c>
      <c r="C245" s="39" t="s">
        <v>294</v>
      </c>
      <c r="D245" s="56">
        <v>467040101054</v>
      </c>
      <c r="E245" s="39" t="s">
        <v>295</v>
      </c>
      <c r="H245" s="51">
        <v>118</v>
      </c>
      <c r="I245" s="49">
        <v>0</v>
      </c>
      <c r="J245" s="49">
        <v>0</v>
      </c>
      <c r="K245" s="51">
        <f t="shared" si="85"/>
        <v>118</v>
      </c>
      <c r="L245" s="51">
        <f t="shared" ref="L245:L247" si="94">M245-J245-I245-H245</f>
        <v>0</v>
      </c>
      <c r="M245" s="51">
        <v>118</v>
      </c>
      <c r="N245" s="52"/>
      <c r="O245" s="41">
        <v>126</v>
      </c>
      <c r="P245" s="50">
        <v>0</v>
      </c>
      <c r="Q245" s="50">
        <v>10</v>
      </c>
      <c r="R245" s="50">
        <v>0</v>
      </c>
      <c r="S245" s="41">
        <v>0</v>
      </c>
      <c r="T245" s="41">
        <v>136</v>
      </c>
      <c r="U245" s="41"/>
      <c r="V245" s="41">
        <v>131</v>
      </c>
      <c r="W245" s="50">
        <v>3</v>
      </c>
      <c r="X245" s="50">
        <v>0</v>
      </c>
      <c r="Y245" s="41">
        <f t="shared" si="86"/>
        <v>0</v>
      </c>
      <c r="Z245" s="41">
        <v>134</v>
      </c>
      <c r="AA245" s="41"/>
      <c r="AB245" s="41">
        <v>271</v>
      </c>
      <c r="AC245" s="41">
        <v>0</v>
      </c>
      <c r="AD245" s="50">
        <v>250</v>
      </c>
      <c r="AE245" s="41">
        <v>0</v>
      </c>
      <c r="AF245" s="41">
        <v>0</v>
      </c>
      <c r="AG245" s="41">
        <f t="shared" si="93"/>
        <v>1</v>
      </c>
      <c r="AH245" s="41">
        <v>522</v>
      </c>
      <c r="AI245" s="41"/>
      <c r="AJ245" s="41">
        <v>379</v>
      </c>
      <c r="AK245" s="50">
        <v>0</v>
      </c>
      <c r="AL245" s="41">
        <v>0</v>
      </c>
      <c r="AM245" s="50">
        <v>159</v>
      </c>
      <c r="AN245" s="41">
        <f t="shared" si="87"/>
        <v>0</v>
      </c>
      <c r="AO245" s="41">
        <v>538</v>
      </c>
      <c r="AP245" s="41"/>
      <c r="AQ245" s="53">
        <v>581</v>
      </c>
      <c r="AR245" s="54">
        <v>19</v>
      </c>
      <c r="AS245" s="54">
        <v>72</v>
      </c>
      <c r="AT245" s="53">
        <v>0</v>
      </c>
      <c r="AU245" s="41">
        <f t="shared" si="88"/>
        <v>2</v>
      </c>
      <c r="AV245" s="41">
        <v>674</v>
      </c>
      <c r="AW245" s="41"/>
      <c r="AX245" s="41">
        <v>686</v>
      </c>
      <c r="AY245" s="54">
        <v>0</v>
      </c>
      <c r="AZ245" s="50">
        <v>0</v>
      </c>
      <c r="BA245" s="50">
        <v>0</v>
      </c>
      <c r="BB245" s="41">
        <v>0</v>
      </c>
      <c r="BC245" s="41">
        <f t="shared" si="90"/>
        <v>-5</v>
      </c>
      <c r="BD245" s="41">
        <v>681</v>
      </c>
      <c r="BF245" s="41">
        <v>666</v>
      </c>
      <c r="BG245" s="50">
        <v>0</v>
      </c>
      <c r="BH245" s="41">
        <v>0</v>
      </c>
      <c r="BI245" s="50">
        <v>0</v>
      </c>
      <c r="BJ245" s="41">
        <v>0</v>
      </c>
      <c r="BK245" s="41">
        <f t="shared" si="89"/>
        <v>-4</v>
      </c>
      <c r="BL245" s="41">
        <v>662</v>
      </c>
      <c r="BM245" s="55"/>
      <c r="BN245" s="41">
        <v>708</v>
      </c>
      <c r="BO245" s="50">
        <v>0</v>
      </c>
      <c r="BP245" s="50">
        <v>0</v>
      </c>
      <c r="BQ245" s="41">
        <v>0</v>
      </c>
      <c r="BR245" s="41">
        <v>0</v>
      </c>
      <c r="BS245" s="41">
        <f t="shared" si="81"/>
        <v>-3</v>
      </c>
      <c r="BT245" s="41">
        <v>705</v>
      </c>
      <c r="BV245" s="41">
        <v>650</v>
      </c>
      <c r="BW245" s="50">
        <v>0</v>
      </c>
      <c r="BX245" s="41">
        <f t="shared" si="83"/>
        <v>23</v>
      </c>
      <c r="BY245" s="41">
        <v>673</v>
      </c>
      <c r="CA245" s="41">
        <v>548</v>
      </c>
      <c r="CB245" s="50">
        <v>0</v>
      </c>
      <c r="CC245" s="41">
        <f t="shared" si="84"/>
        <v>0</v>
      </c>
      <c r="CD245" s="41">
        <v>548</v>
      </c>
      <c r="CF245" s="41">
        <v>490</v>
      </c>
      <c r="CG245" s="50">
        <v>0</v>
      </c>
      <c r="CH245" s="41">
        <v>0</v>
      </c>
      <c r="CI245" s="41">
        <f t="shared" si="82"/>
        <v>490</v>
      </c>
      <c r="CJ245" s="41">
        <v>528</v>
      </c>
      <c r="CK245" s="50">
        <v>0</v>
      </c>
      <c r="CL245" s="41">
        <f t="shared" si="92"/>
        <v>528</v>
      </c>
      <c r="CM245" s="41">
        <v>508</v>
      </c>
      <c r="CN245" s="50">
        <v>0</v>
      </c>
      <c r="CO245" s="41">
        <v>0</v>
      </c>
      <c r="CP245" s="41">
        <f t="shared" si="80"/>
        <v>508</v>
      </c>
      <c r="CQ245" s="41">
        <v>505</v>
      </c>
      <c r="CR245" s="50">
        <v>0</v>
      </c>
      <c r="CS245" s="41">
        <f t="shared" si="78"/>
        <v>505</v>
      </c>
      <c r="CU245" s="39" t="s">
        <v>575</v>
      </c>
    </row>
    <row r="246" spans="1:99" hidden="1">
      <c r="A246" s="39" t="s">
        <v>246</v>
      </c>
      <c r="B246" s="39" t="s">
        <v>296</v>
      </c>
      <c r="C246" s="39" t="s">
        <v>297</v>
      </c>
      <c r="D246" s="56">
        <v>13030001054</v>
      </c>
      <c r="E246" s="39" t="s">
        <v>298</v>
      </c>
      <c r="H246" s="51">
        <v>0</v>
      </c>
      <c r="I246" s="49">
        <v>0</v>
      </c>
      <c r="J246" s="49">
        <v>0</v>
      </c>
      <c r="K246" s="51">
        <f t="shared" si="85"/>
        <v>0</v>
      </c>
      <c r="L246" s="51">
        <f t="shared" si="94"/>
        <v>7</v>
      </c>
      <c r="M246" s="51">
        <v>7</v>
      </c>
      <c r="N246" s="52"/>
      <c r="O246" s="41">
        <v>0</v>
      </c>
      <c r="P246" s="50">
        <v>0</v>
      </c>
      <c r="Q246" s="50">
        <v>0</v>
      </c>
      <c r="R246" s="50">
        <v>0</v>
      </c>
      <c r="S246" s="41">
        <v>7</v>
      </c>
      <c r="T246" s="41">
        <v>7</v>
      </c>
      <c r="U246" s="41"/>
      <c r="V246" s="41">
        <v>0</v>
      </c>
      <c r="W246" s="50">
        <v>0</v>
      </c>
      <c r="X246" s="50">
        <v>0</v>
      </c>
      <c r="Y246" s="41">
        <f t="shared" si="86"/>
        <v>7</v>
      </c>
      <c r="Z246" s="41">
        <v>7</v>
      </c>
      <c r="AA246" s="41"/>
      <c r="AB246" s="41">
        <v>0</v>
      </c>
      <c r="AC246" s="41">
        <v>0</v>
      </c>
      <c r="AD246" s="50">
        <v>0</v>
      </c>
      <c r="AE246" s="41">
        <v>0</v>
      </c>
      <c r="AF246" s="41">
        <v>0</v>
      </c>
      <c r="AG246" s="41">
        <f t="shared" si="93"/>
        <v>7</v>
      </c>
      <c r="AH246" s="41">
        <v>7</v>
      </c>
      <c r="AI246" s="41"/>
      <c r="AJ246" s="41">
        <v>0</v>
      </c>
      <c r="AK246" s="50">
        <v>0</v>
      </c>
      <c r="AL246" s="41">
        <v>0</v>
      </c>
      <c r="AM246" s="50">
        <v>0</v>
      </c>
      <c r="AN246" s="41">
        <f t="shared" si="87"/>
        <v>14</v>
      </c>
      <c r="AO246" s="41">
        <v>14</v>
      </c>
      <c r="AP246" s="41"/>
      <c r="AQ246" s="53">
        <v>14</v>
      </c>
      <c r="AR246" s="54">
        <v>0</v>
      </c>
      <c r="AS246" s="54">
        <v>0</v>
      </c>
      <c r="AT246" s="53">
        <v>0</v>
      </c>
      <c r="AU246" s="41">
        <f t="shared" si="88"/>
        <v>2</v>
      </c>
      <c r="AV246" s="41">
        <v>16</v>
      </c>
      <c r="AW246" s="41"/>
      <c r="AX246" s="41">
        <v>14</v>
      </c>
      <c r="AY246" s="54">
        <v>0</v>
      </c>
      <c r="AZ246" s="50">
        <v>0</v>
      </c>
      <c r="BA246" s="50">
        <v>0</v>
      </c>
      <c r="BB246" s="41">
        <v>0</v>
      </c>
      <c r="BC246" s="41">
        <f t="shared" si="90"/>
        <v>-1</v>
      </c>
      <c r="BD246" s="41">
        <v>13</v>
      </c>
      <c r="BF246" s="41">
        <v>15</v>
      </c>
      <c r="BG246" s="50">
        <v>0</v>
      </c>
      <c r="BH246" s="41">
        <v>0</v>
      </c>
      <c r="BI246" s="50">
        <v>0</v>
      </c>
      <c r="BJ246" s="41">
        <v>0</v>
      </c>
      <c r="BK246" s="41">
        <f t="shared" si="89"/>
        <v>4</v>
      </c>
      <c r="BL246" s="41">
        <v>19</v>
      </c>
      <c r="BM246" s="55"/>
      <c r="BN246" s="41">
        <v>31</v>
      </c>
      <c r="BO246" s="50">
        <v>0</v>
      </c>
      <c r="BP246" s="50">
        <v>0</v>
      </c>
      <c r="BQ246" s="41">
        <v>0</v>
      </c>
      <c r="BR246" s="41">
        <v>0</v>
      </c>
      <c r="BS246" s="41">
        <f t="shared" si="81"/>
        <v>-2</v>
      </c>
      <c r="BT246" s="41">
        <v>29</v>
      </c>
      <c r="BV246" s="41">
        <v>31</v>
      </c>
      <c r="BW246" s="50">
        <v>0</v>
      </c>
      <c r="BX246" s="41">
        <f t="shared" si="83"/>
        <v>2</v>
      </c>
      <c r="BY246" s="41">
        <v>33</v>
      </c>
      <c r="CA246" s="41">
        <v>34</v>
      </c>
      <c r="CB246" s="50">
        <v>0</v>
      </c>
      <c r="CC246" s="41">
        <f t="shared" si="84"/>
        <v>0</v>
      </c>
      <c r="CD246" s="41">
        <v>34</v>
      </c>
      <c r="CF246" s="41">
        <v>30</v>
      </c>
      <c r="CG246" s="50">
        <v>0</v>
      </c>
      <c r="CH246" s="41">
        <v>0</v>
      </c>
      <c r="CI246" s="41">
        <f t="shared" si="82"/>
        <v>30</v>
      </c>
      <c r="CJ246" s="41">
        <v>32</v>
      </c>
      <c r="CK246" s="50">
        <v>0</v>
      </c>
      <c r="CL246" s="41">
        <f t="shared" si="92"/>
        <v>32</v>
      </c>
      <c r="CM246" s="41">
        <v>36</v>
      </c>
      <c r="CN246" s="50">
        <v>0</v>
      </c>
      <c r="CO246" s="41">
        <v>0</v>
      </c>
      <c r="CP246" s="41">
        <f t="shared" si="80"/>
        <v>36</v>
      </c>
      <c r="CQ246" s="41">
        <v>36</v>
      </c>
      <c r="CR246" s="50">
        <v>0</v>
      </c>
      <c r="CS246" s="41">
        <f>SUM(CQ246:CR246)</f>
        <v>36</v>
      </c>
      <c r="CU246" s="39" t="s">
        <v>576</v>
      </c>
    </row>
    <row r="247" spans="1:99" ht="15" hidden="1">
      <c r="A247" s="39" t="s">
        <v>246</v>
      </c>
      <c r="B247" s="59" t="s">
        <v>299</v>
      </c>
      <c r="C247" s="39" t="s">
        <v>300</v>
      </c>
      <c r="D247" s="37">
        <v>535272401054</v>
      </c>
      <c r="E247" s="39" t="s">
        <v>301</v>
      </c>
      <c r="H247" s="51">
        <v>0</v>
      </c>
      <c r="I247" s="49">
        <v>0</v>
      </c>
      <c r="J247" s="49">
        <v>0</v>
      </c>
      <c r="K247" s="51">
        <f t="shared" si="85"/>
        <v>0</v>
      </c>
      <c r="L247" s="51">
        <f t="shared" si="94"/>
        <v>0</v>
      </c>
      <c r="M247" s="51">
        <v>0</v>
      </c>
      <c r="N247" s="52"/>
      <c r="O247" s="41">
        <v>0</v>
      </c>
      <c r="P247" s="50">
        <v>0</v>
      </c>
      <c r="Q247" s="50">
        <v>0</v>
      </c>
      <c r="R247" s="50">
        <v>0</v>
      </c>
      <c r="S247" s="41">
        <v>0</v>
      </c>
      <c r="T247" s="41">
        <v>0</v>
      </c>
      <c r="U247" s="41"/>
      <c r="V247" s="41">
        <v>0</v>
      </c>
      <c r="W247" s="50">
        <v>0</v>
      </c>
      <c r="X247" s="50">
        <v>0</v>
      </c>
      <c r="Y247" s="41">
        <f t="shared" si="86"/>
        <v>0</v>
      </c>
      <c r="Z247" s="41">
        <v>0</v>
      </c>
      <c r="AA247" s="41"/>
      <c r="AB247" s="41">
        <v>0</v>
      </c>
      <c r="AC247" s="41">
        <v>0</v>
      </c>
      <c r="AD247" s="50">
        <v>0</v>
      </c>
      <c r="AE247" s="41">
        <v>0</v>
      </c>
      <c r="AF247" s="41">
        <v>0</v>
      </c>
      <c r="AG247" s="41">
        <f t="shared" si="93"/>
        <v>0</v>
      </c>
      <c r="AH247" s="41">
        <v>0</v>
      </c>
      <c r="AI247" s="41"/>
      <c r="AJ247" s="41">
        <v>0</v>
      </c>
      <c r="AK247" s="50">
        <v>0</v>
      </c>
      <c r="AL247" s="41">
        <v>0</v>
      </c>
      <c r="AM247" s="50">
        <v>0</v>
      </c>
      <c r="AN247" s="41">
        <f t="shared" si="87"/>
        <v>0</v>
      </c>
      <c r="AO247" s="41">
        <v>0</v>
      </c>
      <c r="AP247" s="41"/>
      <c r="AQ247" s="53">
        <v>0</v>
      </c>
      <c r="AR247" s="54">
        <v>0</v>
      </c>
      <c r="AS247" s="54">
        <v>0</v>
      </c>
      <c r="AT247" s="53">
        <v>0</v>
      </c>
      <c r="AU247" s="41">
        <f t="shared" si="88"/>
        <v>0</v>
      </c>
      <c r="AV247" s="41">
        <v>0</v>
      </c>
      <c r="AW247" s="41"/>
      <c r="AX247" s="41">
        <v>2</v>
      </c>
      <c r="AY247" s="54">
        <v>0</v>
      </c>
      <c r="AZ247" s="50">
        <v>0</v>
      </c>
      <c r="BA247" s="50">
        <v>0</v>
      </c>
      <c r="BB247" s="41">
        <v>0</v>
      </c>
      <c r="BC247" s="41">
        <f t="shared" si="90"/>
        <v>-2</v>
      </c>
      <c r="BD247" s="41">
        <v>0</v>
      </c>
      <c r="BF247" s="41">
        <v>2</v>
      </c>
      <c r="BG247" s="50">
        <v>0</v>
      </c>
      <c r="BH247" s="41">
        <v>0</v>
      </c>
      <c r="BI247" s="50">
        <v>0</v>
      </c>
      <c r="BJ247" s="41">
        <v>0</v>
      </c>
      <c r="BK247" s="41">
        <f t="shared" si="89"/>
        <v>0</v>
      </c>
      <c r="BL247" s="41">
        <v>2</v>
      </c>
      <c r="BM247" s="55"/>
      <c r="BN247" s="41">
        <v>0</v>
      </c>
      <c r="BO247" s="50">
        <v>0</v>
      </c>
      <c r="BP247" s="50">
        <v>0</v>
      </c>
      <c r="BQ247" s="41">
        <v>0</v>
      </c>
      <c r="BR247" s="41">
        <v>0</v>
      </c>
      <c r="BS247" s="41">
        <f>BT247-SUM(BN247:BR247)</f>
        <v>0</v>
      </c>
      <c r="BT247" s="41">
        <v>0</v>
      </c>
      <c r="BV247" s="41">
        <v>-1</v>
      </c>
      <c r="BW247" s="50">
        <v>0</v>
      </c>
      <c r="BX247" s="41">
        <f t="shared" si="83"/>
        <v>2</v>
      </c>
      <c r="BY247" s="41">
        <v>1</v>
      </c>
      <c r="CA247" s="41">
        <v>0</v>
      </c>
      <c r="CB247" s="50">
        <v>0</v>
      </c>
      <c r="CC247" s="41">
        <f t="shared" si="84"/>
        <v>0</v>
      </c>
      <c r="CD247" s="41">
        <v>0</v>
      </c>
      <c r="CF247" s="41">
        <v>1</v>
      </c>
      <c r="CG247" s="50">
        <v>0</v>
      </c>
      <c r="CH247" s="41">
        <v>0</v>
      </c>
      <c r="CI247" s="41">
        <f t="shared" si="82"/>
        <v>1</v>
      </c>
      <c r="CJ247" s="41">
        <v>3</v>
      </c>
      <c r="CK247" s="50">
        <v>0</v>
      </c>
      <c r="CL247" s="41">
        <f>SUM(CJ247:CK247)</f>
        <v>3</v>
      </c>
      <c r="CM247" s="41">
        <v>8</v>
      </c>
      <c r="CN247" s="50">
        <v>0</v>
      </c>
      <c r="CO247" s="41" t="s">
        <v>384</v>
      </c>
      <c r="CP247" s="41">
        <f t="shared" si="80"/>
        <v>8</v>
      </c>
      <c r="CQ247" s="41">
        <v>21</v>
      </c>
      <c r="CR247" s="50">
        <v>0</v>
      </c>
      <c r="CS247" s="41">
        <f>SUM(CQ247:CR247)</f>
        <v>21</v>
      </c>
      <c r="CU247" s="44" t="s">
        <v>577</v>
      </c>
    </row>
    <row r="248" spans="1:99">
      <c r="J248" s="39"/>
      <c r="N248" s="39"/>
      <c r="P248" s="39"/>
      <c r="Q248" s="39"/>
      <c r="R248" s="39"/>
      <c r="W248" s="39"/>
      <c r="X248" s="39"/>
      <c r="AD248" s="39"/>
      <c r="AK248" s="39"/>
      <c r="AM248" s="39"/>
      <c r="AR248" s="39"/>
      <c r="AS248" s="39"/>
      <c r="AY248" s="39"/>
      <c r="AZ248" s="41"/>
      <c r="BA248" s="41"/>
      <c r="BG248" s="39"/>
      <c r="BI248" s="39"/>
      <c r="BO248" s="39"/>
      <c r="BP248" s="39"/>
      <c r="BW248" s="39"/>
      <c r="CB248" s="39"/>
      <c r="CG248" s="39"/>
      <c r="CK248" s="39"/>
      <c r="CN248" s="39"/>
      <c r="CR248" s="39"/>
    </row>
    <row r="249" spans="1:99">
      <c r="J249" s="39"/>
      <c r="N249" s="39"/>
      <c r="P249" s="39"/>
      <c r="Q249" s="39"/>
      <c r="R249" s="39"/>
      <c r="W249" s="39"/>
      <c r="X249" s="39"/>
      <c r="AD249" s="39"/>
      <c r="AK249" s="39"/>
      <c r="AM249" s="39"/>
      <c r="AR249" s="39"/>
      <c r="AS249" s="39"/>
      <c r="AY249" s="39"/>
      <c r="AZ249" s="41"/>
      <c r="BA249" s="41"/>
      <c r="BG249" s="39"/>
      <c r="BI249" s="39"/>
      <c r="BO249" s="39"/>
      <c r="BP249" s="39"/>
      <c r="BW249" s="39"/>
      <c r="CB249" s="39"/>
      <c r="CG249" s="39"/>
      <c r="CK249" s="39"/>
      <c r="CN249" s="39"/>
      <c r="CR249" s="39"/>
    </row>
    <row r="250" spans="1:99">
      <c r="J250" s="39"/>
      <c r="N250" s="39"/>
      <c r="P250" s="39"/>
      <c r="Q250" s="39"/>
      <c r="R250" s="39"/>
      <c r="W250" s="39"/>
      <c r="X250" s="39"/>
      <c r="AD250" s="39"/>
      <c r="AK250" s="39"/>
      <c r="AM250" s="39"/>
      <c r="AR250" s="39"/>
      <c r="AS250" s="39"/>
      <c r="AY250" s="39"/>
      <c r="AZ250" s="41"/>
      <c r="BA250" s="41"/>
      <c r="BG250" s="39"/>
      <c r="BI250" s="39"/>
      <c r="BO250" s="39"/>
      <c r="BP250" s="39"/>
      <c r="BW250" s="39"/>
      <c r="CB250" s="39"/>
      <c r="CG250" s="39"/>
      <c r="CK250" s="39"/>
      <c r="CN250" s="39"/>
      <c r="CR250" s="39"/>
    </row>
    <row r="251" spans="1:99">
      <c r="J251" s="39"/>
      <c r="N251" s="39"/>
      <c r="P251" s="39"/>
      <c r="Q251" s="39"/>
      <c r="R251" s="39"/>
      <c r="W251" s="39"/>
      <c r="X251" s="39"/>
      <c r="AD251" s="39"/>
      <c r="AK251" s="39"/>
      <c r="AM251" s="39"/>
      <c r="AR251" s="39"/>
      <c r="AS251" s="39"/>
      <c r="AY251" s="39"/>
      <c r="AZ251" s="41"/>
      <c r="BA251" s="41"/>
      <c r="BG251" s="39"/>
      <c r="BI251" s="39"/>
      <c r="BO251" s="39"/>
      <c r="BP251" s="39"/>
      <c r="BW251" s="39"/>
      <c r="CB251" s="39"/>
      <c r="CG251" s="39"/>
      <c r="CK251" s="39"/>
      <c r="CN251" s="39"/>
      <c r="CR251" s="39"/>
    </row>
    <row r="252" spans="1:99">
      <c r="J252" s="39"/>
      <c r="N252" s="39"/>
      <c r="P252" s="39"/>
      <c r="Q252" s="39"/>
      <c r="R252" s="39"/>
      <c r="W252" s="39"/>
      <c r="X252" s="39"/>
      <c r="AD252" s="39"/>
      <c r="AK252" s="39"/>
      <c r="AM252" s="39"/>
      <c r="AR252" s="39"/>
      <c r="AS252" s="39"/>
      <c r="AY252" s="39"/>
      <c r="AZ252" s="41"/>
      <c r="BA252" s="41"/>
      <c r="BG252" s="39"/>
      <c r="BI252" s="39"/>
      <c r="BO252" s="39"/>
      <c r="BP252" s="39"/>
      <c r="BW252" s="39"/>
      <c r="CB252" s="39"/>
      <c r="CG252" s="39"/>
      <c r="CK252" s="39"/>
      <c r="CN252" s="39"/>
      <c r="CR252" s="39"/>
    </row>
    <row r="253" spans="1:99">
      <c r="J253" s="39"/>
      <c r="N253" s="39"/>
      <c r="P253" s="39"/>
      <c r="Q253" s="39"/>
      <c r="R253" s="39"/>
      <c r="W253" s="39"/>
      <c r="X253" s="39"/>
      <c r="AD253" s="39"/>
      <c r="AK253" s="39"/>
      <c r="AM253" s="39"/>
      <c r="AR253" s="39"/>
      <c r="AS253" s="39"/>
      <c r="AY253" s="39"/>
      <c r="AZ253" s="41"/>
      <c r="BA253" s="41"/>
      <c r="BG253" s="39"/>
      <c r="BI253" s="39"/>
      <c r="BO253" s="39"/>
      <c r="BP253" s="39"/>
      <c r="BW253" s="39"/>
      <c r="CB253" s="39"/>
      <c r="CG253" s="39"/>
      <c r="CK253" s="39"/>
      <c r="CN253" s="39"/>
      <c r="CR253" s="39"/>
    </row>
    <row r="254" spans="1:99">
      <c r="J254" s="39"/>
      <c r="N254" s="39"/>
      <c r="P254" s="39"/>
      <c r="Q254" s="39"/>
      <c r="R254" s="39"/>
      <c r="W254" s="39"/>
      <c r="X254" s="39"/>
      <c r="AD254" s="39"/>
      <c r="AK254" s="39"/>
      <c r="AM254" s="39"/>
      <c r="AR254" s="39"/>
      <c r="AS254" s="39"/>
      <c r="AY254" s="39"/>
      <c r="AZ254" s="41"/>
      <c r="BA254" s="41"/>
      <c r="BG254" s="39"/>
      <c r="BI254" s="39"/>
      <c r="BO254" s="39"/>
      <c r="BP254" s="39"/>
      <c r="BW254" s="39"/>
      <c r="CB254" s="39"/>
      <c r="CG254" s="39"/>
      <c r="CK254" s="39"/>
      <c r="CN254" s="39"/>
      <c r="CR254" s="39"/>
    </row>
    <row r="255" spans="1:99">
      <c r="J255" s="39"/>
      <c r="N255" s="39"/>
      <c r="P255" s="39"/>
      <c r="Q255" s="39"/>
      <c r="R255" s="39"/>
      <c r="W255" s="39"/>
      <c r="X255" s="39"/>
      <c r="AD255" s="39"/>
      <c r="AK255" s="39"/>
      <c r="AM255" s="39"/>
      <c r="AR255" s="39"/>
      <c r="AS255" s="39"/>
      <c r="AY255" s="39"/>
      <c r="AZ255" s="41"/>
      <c r="BA255" s="41"/>
      <c r="BG255" s="39"/>
      <c r="BI255" s="39"/>
      <c r="BO255" s="39"/>
      <c r="BP255" s="39"/>
      <c r="BW255" s="39"/>
      <c r="CB255" s="39"/>
      <c r="CG255" s="39"/>
      <c r="CK255" s="39"/>
      <c r="CN255" s="39"/>
      <c r="CR255" s="39"/>
    </row>
    <row r="256" spans="1:99">
      <c r="J256" s="39"/>
      <c r="N256" s="39"/>
      <c r="P256" s="39"/>
      <c r="Q256" s="39"/>
      <c r="R256" s="39"/>
      <c r="W256" s="39"/>
      <c r="X256" s="39"/>
      <c r="AD256" s="39"/>
      <c r="AK256" s="39"/>
      <c r="AM256" s="39"/>
      <c r="AR256" s="39"/>
      <c r="AS256" s="39"/>
      <c r="AY256" s="39"/>
      <c r="AZ256" s="41"/>
      <c r="BA256" s="41"/>
      <c r="BG256" s="39"/>
      <c r="BI256" s="39"/>
      <c r="BO256" s="39"/>
      <c r="BP256" s="39"/>
      <c r="BW256" s="39"/>
      <c r="CB256" s="39"/>
      <c r="CG256" s="39"/>
      <c r="CK256" s="39"/>
      <c r="CN256" s="39"/>
      <c r="CR256" s="39"/>
    </row>
    <row r="257" spans="10:96">
      <c r="J257" s="39"/>
      <c r="N257" s="39"/>
      <c r="P257" s="39"/>
      <c r="Q257" s="39"/>
      <c r="R257" s="39"/>
      <c r="W257" s="39"/>
      <c r="X257" s="39"/>
      <c r="AD257" s="39"/>
      <c r="AK257" s="39"/>
      <c r="AM257" s="39"/>
      <c r="AR257" s="39"/>
      <c r="AS257" s="39"/>
      <c r="AY257" s="39"/>
      <c r="AZ257" s="41"/>
      <c r="BA257" s="41"/>
      <c r="BG257" s="39"/>
      <c r="BI257" s="39"/>
      <c r="BO257" s="39"/>
      <c r="BP257" s="39"/>
      <c r="BW257" s="39"/>
      <c r="CB257" s="39"/>
      <c r="CG257" s="39"/>
      <c r="CK257" s="39"/>
      <c r="CN257" s="39"/>
      <c r="CR257" s="39"/>
    </row>
    <row r="258" spans="10:96">
      <c r="J258" s="39"/>
      <c r="N258" s="39"/>
      <c r="P258" s="39"/>
      <c r="Q258" s="39"/>
      <c r="R258" s="39"/>
      <c r="W258" s="39"/>
      <c r="X258" s="39"/>
      <c r="AD258" s="39"/>
      <c r="AK258" s="39"/>
      <c r="AM258" s="39"/>
      <c r="AR258" s="39"/>
      <c r="AS258" s="39"/>
      <c r="AY258" s="39"/>
      <c r="AZ258" s="41"/>
      <c r="BA258" s="41"/>
      <c r="BG258" s="39"/>
      <c r="BI258" s="39"/>
      <c r="BO258" s="39"/>
      <c r="BP258" s="39"/>
      <c r="BW258" s="39"/>
      <c r="CB258" s="39"/>
      <c r="CG258" s="39"/>
      <c r="CK258" s="39"/>
      <c r="CN258" s="39"/>
      <c r="CR258" s="39"/>
    </row>
    <row r="259" spans="10:96">
      <c r="J259" s="39"/>
      <c r="N259" s="39"/>
      <c r="P259" s="39"/>
      <c r="Q259" s="39"/>
      <c r="R259" s="39"/>
      <c r="W259" s="39"/>
      <c r="X259" s="39"/>
      <c r="AD259" s="39"/>
      <c r="AK259" s="39"/>
      <c r="AM259" s="39"/>
      <c r="AR259" s="39"/>
      <c r="AS259" s="39"/>
      <c r="AY259" s="39"/>
      <c r="AZ259" s="41"/>
      <c r="BA259" s="41"/>
      <c r="BG259" s="39"/>
      <c r="BI259" s="39"/>
      <c r="BO259" s="39"/>
      <c r="BP259" s="39"/>
      <c r="BW259" s="39"/>
      <c r="CB259" s="39"/>
      <c r="CG259" s="39"/>
      <c r="CK259" s="39"/>
      <c r="CN259" s="39"/>
      <c r="CR259" s="39"/>
    </row>
    <row r="260" spans="10:96">
      <c r="J260" s="39"/>
      <c r="N260" s="39"/>
      <c r="P260" s="39"/>
      <c r="Q260" s="39"/>
      <c r="R260" s="39"/>
      <c r="W260" s="39"/>
      <c r="X260" s="39"/>
      <c r="AD260" s="39"/>
      <c r="AK260" s="39"/>
      <c r="AM260" s="39"/>
      <c r="AR260" s="39"/>
      <c r="AS260" s="39"/>
      <c r="AY260" s="39"/>
      <c r="AZ260" s="41"/>
      <c r="BA260" s="41"/>
      <c r="BG260" s="39"/>
      <c r="BI260" s="39"/>
      <c r="BO260" s="39"/>
      <c r="BP260" s="39"/>
      <c r="BW260" s="39"/>
      <c r="CB260" s="39"/>
      <c r="CG260" s="39"/>
      <c r="CK260" s="39"/>
      <c r="CN260" s="39"/>
      <c r="CR260" s="39"/>
    </row>
    <row r="261" spans="10:96">
      <c r="J261" s="39"/>
      <c r="N261" s="39"/>
      <c r="P261" s="39"/>
      <c r="Q261" s="39"/>
      <c r="R261" s="39"/>
      <c r="W261" s="39"/>
      <c r="X261" s="39"/>
      <c r="AD261" s="39"/>
      <c r="AK261" s="39"/>
      <c r="AM261" s="39"/>
      <c r="AR261" s="39"/>
      <c r="AS261" s="39"/>
      <c r="AY261" s="39"/>
      <c r="AZ261" s="41"/>
      <c r="BA261" s="41"/>
      <c r="BG261" s="39"/>
      <c r="BI261" s="39"/>
      <c r="BO261" s="39"/>
      <c r="BP261" s="39"/>
      <c r="BW261" s="39"/>
      <c r="CB261" s="39"/>
      <c r="CG261" s="39"/>
      <c r="CK261" s="39"/>
      <c r="CN261" s="39"/>
      <c r="CR261" s="39"/>
    </row>
  </sheetData>
  <autoFilter ref="A51:CU247" xr:uid="{00000000-0009-0000-0000-000008000000}">
    <filterColumn colId="0">
      <filters>
        <filter val="051"/>
      </filters>
    </filterColumn>
  </autoFilter>
  <pageMargins left="0.75" right="0.75" top="1" bottom="1" header="0.5" footer="0.5"/>
  <pageSetup scale="19" fitToHeight="4"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C75"/>
  <sheetViews>
    <sheetView zoomScalePageLayoutView="130" workbookViewId="0">
      <pane xSplit="1" ySplit="5" topLeftCell="BJ6" activePane="bottomRight" state="frozen"/>
      <selection pane="topRight" activeCell="D1" sqref="D1"/>
      <selection pane="bottomLeft" activeCell="A6" sqref="A6"/>
      <selection pane="bottomRight" activeCell="BT34" sqref="BT34"/>
    </sheetView>
  </sheetViews>
  <sheetFormatPr baseColWidth="10" defaultColWidth="7.6640625" defaultRowHeight="14"/>
  <cols>
    <col min="1" max="1" width="64" style="177" bestFit="1" customWidth="1"/>
    <col min="2" max="19" width="10.5" style="177" customWidth="1"/>
    <col min="20" max="20" width="9" style="177" customWidth="1"/>
    <col min="21" max="33" width="10.5" style="177" customWidth="1"/>
    <col min="34" max="34" width="10.5" style="178" bestFit="1" customWidth="1"/>
    <col min="35" max="35" width="9" style="177" bestFit="1" customWidth="1"/>
    <col min="36" max="57" width="10.5" style="177" bestFit="1" customWidth="1"/>
    <col min="58" max="58" width="9.6640625" style="177" bestFit="1" customWidth="1"/>
    <col min="59" max="68" width="10.5" style="177" bestFit="1" customWidth="1"/>
    <col min="69" max="69" width="9.6640625" style="177" bestFit="1" customWidth="1"/>
    <col min="70" max="70" width="10.5" style="177" bestFit="1" customWidth="1"/>
    <col min="71" max="71" width="11.1640625" style="177" bestFit="1" customWidth="1"/>
    <col min="72" max="72" width="11.1640625" style="179" bestFit="1" customWidth="1"/>
    <col min="73" max="73" width="11.1640625" style="177" bestFit="1" customWidth="1"/>
    <col min="74" max="77" width="12.1640625" style="177" bestFit="1" customWidth="1"/>
    <col min="78" max="78" width="8.1640625" style="177" bestFit="1" customWidth="1"/>
    <col min="79" max="16384" width="7.6640625" style="177"/>
  </cols>
  <sheetData>
    <row r="1" spans="1:81">
      <c r="A1" s="176" t="s">
        <v>337</v>
      </c>
      <c r="B1" s="176"/>
      <c r="C1" s="176"/>
      <c r="D1" s="176"/>
      <c r="E1" s="176"/>
      <c r="F1" s="176"/>
      <c r="G1" s="176"/>
      <c r="H1" s="176"/>
      <c r="I1" s="176"/>
      <c r="J1" s="176"/>
      <c r="K1" s="176"/>
      <c r="L1" s="176"/>
      <c r="AH1" s="232"/>
    </row>
    <row r="2" spans="1:81">
      <c r="A2" s="180" t="s">
        <v>338</v>
      </c>
      <c r="B2" s="180"/>
      <c r="C2" s="180"/>
      <c r="D2" s="180"/>
      <c r="E2" s="180"/>
      <c r="F2" s="180"/>
      <c r="G2" s="180"/>
      <c r="H2" s="180"/>
      <c r="I2" s="180"/>
      <c r="J2" s="180"/>
      <c r="K2" s="180"/>
      <c r="L2" s="180"/>
      <c r="AH2" s="232"/>
    </row>
    <row r="3" spans="1:81" ht="12.5" customHeight="1">
      <c r="A3" s="180"/>
      <c r="B3" s="180"/>
      <c r="C3" s="180"/>
      <c r="D3" s="180"/>
      <c r="E3" s="180"/>
      <c r="F3" s="180"/>
      <c r="G3" s="180"/>
      <c r="H3" s="180"/>
      <c r="I3" s="180"/>
      <c r="J3" s="180"/>
      <c r="K3" s="180"/>
      <c r="L3" s="180"/>
      <c r="AH3" s="232"/>
    </row>
    <row r="4" spans="1:81" s="184" customFormat="1" ht="12.5" customHeight="1">
      <c r="A4" s="181" t="s">
        <v>330</v>
      </c>
      <c r="B4" s="182">
        <v>0.1155809367415855</v>
      </c>
      <c r="C4" s="182">
        <v>0.1155809367415855</v>
      </c>
      <c r="D4" s="182">
        <f>pgdp!B3</f>
        <v>0.1154164285595575</v>
      </c>
      <c r="E4" s="182">
        <f>pgdp!C3</f>
        <v>0.1216125401799088</v>
      </c>
      <c r="F4" s="182">
        <f>pgdp!D3</f>
        <v>0.12647908727099641</v>
      </c>
      <c r="G4" s="182">
        <f>pgdp!E3</f>
        <v>0.12878451807334171</v>
      </c>
      <c r="H4" s="182">
        <f>pgdp!F3</f>
        <v>0.1303101081421765</v>
      </c>
      <c r="I4" s="182">
        <f>pgdp!G3</f>
        <v>0.1313264579506041</v>
      </c>
      <c r="J4" s="182">
        <f>pgdp!H3</f>
        <v>0.1347355977692293</v>
      </c>
      <c r="K4" s="182">
        <f>pgdp!I3</f>
        <v>0.1397640790017016</v>
      </c>
      <c r="L4" s="182">
        <f>pgdp!J3</f>
        <v>0.1439828895272503</v>
      </c>
      <c r="M4" s="182">
        <f>pgdp!K3</f>
        <v>0.14619456898458341</v>
      </c>
      <c r="N4" s="182">
        <f>pgdp!L3</f>
        <v>0.14822513788905209</v>
      </c>
      <c r="O4" s="182">
        <f>pgdp!M3</f>
        <v>0.15026209893068071</v>
      </c>
      <c r="P4" s="182">
        <f>pgdp!N3</f>
        <v>0.1518409568091815</v>
      </c>
      <c r="Q4" s="182">
        <f>pgdp!O3</f>
        <v>0.15365845447498611</v>
      </c>
      <c r="R4" s="182">
        <f>pgdp!P3</f>
        <v>0.15553774280000321</v>
      </c>
      <c r="S4" s="182">
        <f>pgdp!Q3</f>
        <v>0.1582501396681969</v>
      </c>
      <c r="T4" s="182">
        <f>pgdp!R3</f>
        <v>0.16168484803546179</v>
      </c>
      <c r="U4" s="182">
        <f>pgdp!S3</f>
        <v>0.1666089243609887</v>
      </c>
      <c r="V4" s="182">
        <f>pgdp!T3</f>
        <v>0.1723682399420787</v>
      </c>
      <c r="W4" s="182">
        <f>pgdp!U3</f>
        <v>0.18026466004696939</v>
      </c>
      <c r="X4" s="182">
        <f>pgdp!V3</f>
        <v>0.18993383285754531</v>
      </c>
      <c r="Y4" s="182">
        <f>pgdp!W3</f>
        <v>0.19956891426993481</v>
      </c>
      <c r="Z4" s="182">
        <f>pgdp!X3</f>
        <v>0.20907402222673929</v>
      </c>
      <c r="AA4" s="182">
        <f>pgdp!Y3</f>
        <v>0.21811463488325611</v>
      </c>
      <c r="AB4" s="182">
        <f>pgdp!Z3</f>
        <v>0.23358786823504141</v>
      </c>
      <c r="AC4" s="182">
        <f>pgdp!AA3</f>
        <v>0.25771392458897491</v>
      </c>
      <c r="AD4" s="182">
        <f>pgdp!AB3</f>
        <v>0.275620431486304</v>
      </c>
      <c r="AE4" s="182">
        <f>pgdp!AC3</f>
        <v>0.29546162523070291</v>
      </c>
      <c r="AF4" s="182">
        <f>pgdp!AD3</f>
        <v>0.31533691037328798</v>
      </c>
      <c r="AG4" s="182">
        <f>pgdp!AE3</f>
        <v>0.34064764281419369</v>
      </c>
      <c r="AH4" s="233">
        <f>pgdp!AF3</f>
        <v>0.37031142066100659</v>
      </c>
      <c r="AI4" s="182">
        <f>pgdp!AG3</f>
        <v>0.40657401476924587</v>
      </c>
      <c r="AJ4" s="182">
        <f>pgdp!AH3</f>
        <v>0.43447569347230691</v>
      </c>
      <c r="AK4" s="182">
        <f>pgdp!AI3</f>
        <v>0.45358392215570131</v>
      </c>
      <c r="AL4" s="182">
        <f>pgdp!AJ3</f>
        <v>0.46961327144039988</v>
      </c>
      <c r="AM4" s="182">
        <f>pgdp!AK3</f>
        <v>0.48516747186287762</v>
      </c>
      <c r="AN4" s="182">
        <f>pgdp!AL3</f>
        <v>0.49623226128670322</v>
      </c>
      <c r="AO4" s="182">
        <f>pgdp!AM3</f>
        <v>0.50731196569723513</v>
      </c>
      <c r="AP4" s="182">
        <f>pgdp!AN3</f>
        <v>0.52370140537527587</v>
      </c>
      <c r="AQ4" s="182">
        <f>pgdp!AO3</f>
        <v>0.54456321035287569</v>
      </c>
      <c r="AR4" s="182">
        <f>pgdp!AP3</f>
        <v>0.56428721491600942</v>
      </c>
      <c r="AS4" s="182">
        <f>pgdp!AQ3</f>
        <v>0.5843159113504327</v>
      </c>
      <c r="AT4" s="182">
        <f>pgdp!AR3</f>
        <v>0.59862364502672549</v>
      </c>
      <c r="AU4" s="182">
        <f>pgdp!AS3</f>
        <v>0.6128333659332329</v>
      </c>
      <c r="AV4" s="182">
        <f>pgdp!AT3</f>
        <v>0.62616736404883078</v>
      </c>
      <c r="AW4" s="182">
        <f>pgdp!AU3</f>
        <v>0.63943531008044285</v>
      </c>
      <c r="AX4" s="182">
        <f>pgdp!AV3</f>
        <v>0.65140139084381743</v>
      </c>
      <c r="AY4" s="182">
        <f>pgdp!AW3</f>
        <v>0.66290084559451767</v>
      </c>
      <c r="AZ4" s="182">
        <f>pgdp!AX3</f>
        <v>0.67108065044683163</v>
      </c>
      <c r="BA4" s="182">
        <f>pgdp!AY3</f>
        <v>0.6795949771438482</v>
      </c>
      <c r="BB4" s="182">
        <f>pgdp!AZ3</f>
        <v>0.69366194032045059</v>
      </c>
      <c r="BC4" s="182">
        <f>pgdp!BA3</f>
        <v>0.71033050332114134</v>
      </c>
      <c r="BD4" s="182">
        <f>pgdp!BB3</f>
        <v>0.72177029812501559</v>
      </c>
      <c r="BE4" s="182">
        <f>pgdp!BC3</f>
        <v>0.73558157581522121</v>
      </c>
      <c r="BF4" s="182">
        <f>pgdp!BD3</f>
        <v>0.75378638244667995</v>
      </c>
      <c r="BG4" s="182">
        <f>pgdp!BE3</f>
        <v>0.77750760344715164</v>
      </c>
      <c r="BH4" s="182">
        <f>pgdp!BF3</f>
        <v>0.80275228380407149</v>
      </c>
      <c r="BI4" s="182">
        <f>pgdp!BG3</f>
        <v>0.82459421647952613</v>
      </c>
      <c r="BJ4" s="182">
        <f>pgdp!BH3</f>
        <v>0.84165483055935886</v>
      </c>
      <c r="BK4" s="182">
        <f>pgdp!BI3</f>
        <v>0.85147741466177274</v>
      </c>
      <c r="BL4" s="182">
        <f>pgdp!BJ3</f>
        <v>0.85894343086456204</v>
      </c>
      <c r="BM4" s="182">
        <f>pgdp!BK3</f>
        <v>0.87638757317399019</v>
      </c>
      <c r="BN4" s="182">
        <f>pgdp!BL3</f>
        <v>0.89246166741880806</v>
      </c>
      <c r="BO4" s="182">
        <f>pgdp!BM3</f>
        <v>0.9075385882666781</v>
      </c>
      <c r="BP4" s="182">
        <f>pgdp!BN3</f>
        <v>0.9240281714268912</v>
      </c>
      <c r="BQ4" s="182">
        <f>pgdp!BO3</f>
        <v>0.9351696664966358</v>
      </c>
      <c r="BR4" s="182">
        <f>pgdp!BP3</f>
        <v>0.94602138468179731</v>
      </c>
      <c r="BS4" s="182">
        <f>pgdp!BQ3</f>
        <v>0.96224036736890672</v>
      </c>
      <c r="BT4" s="183">
        <f>pgdp!BR3</f>
        <v>0.9807153483309915</v>
      </c>
      <c r="BU4" s="182">
        <f>pgdp!BS3</f>
        <v>1</v>
      </c>
      <c r="BV4" s="182">
        <f>pgdp!BT3</f>
        <v>1.0210420632455099</v>
      </c>
      <c r="BW4" s="182">
        <f>pgdp!BU3</f>
        <v>1.043176968874127</v>
      </c>
      <c r="BX4" s="182">
        <f>pgdp!BV3</f>
        <v>1.065750801254393</v>
      </c>
      <c r="BY4" s="182">
        <f>pgdp!BW3</f>
        <v>1.0890130668067819</v>
      </c>
    </row>
    <row r="5" spans="1:81" ht="18" customHeight="1">
      <c r="A5" s="279" t="s">
        <v>339</v>
      </c>
      <c r="B5" s="185" t="s">
        <v>340</v>
      </c>
      <c r="C5" s="185" t="s">
        <v>341</v>
      </c>
      <c r="D5" s="185" t="s">
        <v>342</v>
      </c>
      <c r="E5" s="185" t="s">
        <v>343</v>
      </c>
      <c r="F5" s="185" t="s">
        <v>344</v>
      </c>
      <c r="G5" s="185" t="s">
        <v>345</v>
      </c>
      <c r="H5" s="185" t="s">
        <v>346</v>
      </c>
      <c r="I5" s="185" t="s">
        <v>347</v>
      </c>
      <c r="J5" s="185" t="s">
        <v>348</v>
      </c>
      <c r="K5" s="185" t="s">
        <v>349</v>
      </c>
      <c r="L5" s="186" t="s">
        <v>350</v>
      </c>
      <c r="M5" s="185" t="s">
        <v>351</v>
      </c>
      <c r="N5" s="185" t="s">
        <v>352</v>
      </c>
      <c r="O5" s="185" t="s">
        <v>353</v>
      </c>
      <c r="P5" s="185" t="s">
        <v>354</v>
      </c>
      <c r="Q5" s="185" t="s">
        <v>355</v>
      </c>
      <c r="R5" s="185" t="s">
        <v>356</v>
      </c>
      <c r="S5" s="185" t="s">
        <v>357</v>
      </c>
      <c r="T5" s="185" t="s">
        <v>358</v>
      </c>
      <c r="U5" s="185" t="s">
        <v>359</v>
      </c>
      <c r="V5" s="185" t="s">
        <v>360</v>
      </c>
      <c r="W5" s="186" t="s">
        <v>361</v>
      </c>
      <c r="X5" s="185" t="s">
        <v>362</v>
      </c>
      <c r="Y5" s="185" t="s">
        <v>363</v>
      </c>
      <c r="Z5" s="185" t="s">
        <v>364</v>
      </c>
      <c r="AA5" s="185" t="s">
        <v>365</v>
      </c>
      <c r="AB5" s="185" t="s">
        <v>366</v>
      </c>
      <c r="AC5" s="185" t="s">
        <v>367</v>
      </c>
      <c r="AD5" s="185" t="s">
        <v>368</v>
      </c>
      <c r="AE5" s="185" t="s">
        <v>369</v>
      </c>
      <c r="AF5" s="185" t="s">
        <v>370</v>
      </c>
      <c r="AG5" s="185" t="s">
        <v>371</v>
      </c>
      <c r="AH5" s="188">
        <v>1980</v>
      </c>
      <c r="AI5" s="187">
        <v>1981</v>
      </c>
      <c r="AJ5" s="188">
        <v>1982</v>
      </c>
      <c r="AK5" s="187">
        <v>1983</v>
      </c>
      <c r="AL5" s="188">
        <v>1984</v>
      </c>
      <c r="AM5" s="187">
        <v>1985</v>
      </c>
      <c r="AN5" s="188">
        <v>1986</v>
      </c>
      <c r="AO5" s="187">
        <v>1987</v>
      </c>
      <c r="AP5" s="188">
        <v>1988</v>
      </c>
      <c r="AQ5" s="187">
        <v>1989</v>
      </c>
      <c r="AR5" s="188">
        <v>1990</v>
      </c>
      <c r="AS5" s="187">
        <v>1991</v>
      </c>
      <c r="AT5" s="188">
        <v>1992</v>
      </c>
      <c r="AU5" s="187">
        <v>1993</v>
      </c>
      <c r="AV5" s="188">
        <v>1994</v>
      </c>
      <c r="AW5" s="187">
        <v>1995</v>
      </c>
      <c r="AX5" s="188">
        <v>1996</v>
      </c>
      <c r="AY5" s="187">
        <v>1997</v>
      </c>
      <c r="AZ5" s="188">
        <v>1998</v>
      </c>
      <c r="BA5" s="187">
        <v>1999</v>
      </c>
      <c r="BB5" s="188">
        <v>2000</v>
      </c>
      <c r="BC5" s="187">
        <v>2001</v>
      </c>
      <c r="BD5" s="188">
        <v>2002</v>
      </c>
      <c r="BE5" s="187">
        <v>2003</v>
      </c>
      <c r="BF5" s="188">
        <v>2004</v>
      </c>
      <c r="BG5" s="187">
        <v>2005</v>
      </c>
      <c r="BH5" s="188">
        <v>2006</v>
      </c>
      <c r="BI5" s="187">
        <v>2007</v>
      </c>
      <c r="BJ5" s="188">
        <v>2008</v>
      </c>
      <c r="BK5" s="187">
        <v>2009</v>
      </c>
      <c r="BL5" s="188">
        <v>2010</v>
      </c>
      <c r="BM5" s="187">
        <v>2011</v>
      </c>
      <c r="BN5" s="188">
        <v>2012</v>
      </c>
      <c r="BO5" s="187">
        <v>2013</v>
      </c>
      <c r="BP5" s="188">
        <v>2014</v>
      </c>
      <c r="BQ5" s="187">
        <v>2015</v>
      </c>
      <c r="BR5" s="188">
        <v>2016</v>
      </c>
      <c r="BS5" s="188">
        <v>2017</v>
      </c>
      <c r="BT5" s="189">
        <v>2018</v>
      </c>
      <c r="BU5" s="190">
        <v>2019</v>
      </c>
      <c r="BV5" s="190">
        <v>2020</v>
      </c>
      <c r="BW5" s="190">
        <v>2021</v>
      </c>
      <c r="BX5" s="190">
        <v>2022</v>
      </c>
      <c r="BY5" s="190">
        <v>2023</v>
      </c>
      <c r="BZ5" s="185"/>
    </row>
    <row r="6" spans="1:81" ht="15" customHeight="1">
      <c r="A6" s="191" t="s">
        <v>777</v>
      </c>
      <c r="B6" s="191"/>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234"/>
      <c r="AI6" s="191"/>
      <c r="AJ6" s="191"/>
      <c r="AK6" s="191"/>
      <c r="AL6" s="191"/>
      <c r="AM6" s="191"/>
      <c r="AN6" s="191"/>
      <c r="AO6" s="191"/>
      <c r="AP6" s="191"/>
      <c r="AQ6" s="191"/>
      <c r="AR6" s="191"/>
      <c r="AS6" s="191"/>
      <c r="AT6" s="191"/>
      <c r="AU6" s="191"/>
      <c r="AV6" s="191"/>
      <c r="AW6" s="191"/>
      <c r="AX6" s="191"/>
      <c r="AY6" s="191"/>
      <c r="AZ6" s="191"/>
      <c r="BA6" s="191"/>
      <c r="BB6" s="191"/>
      <c r="BC6" s="191"/>
      <c r="BD6" s="191"/>
      <c r="BE6" s="191"/>
      <c r="BF6" s="191"/>
      <c r="BG6" s="191"/>
      <c r="BH6" s="191"/>
      <c r="BI6" s="191"/>
      <c r="BJ6" s="191"/>
      <c r="BK6" s="191"/>
      <c r="BL6" s="191"/>
      <c r="BM6" s="191"/>
      <c r="BN6" s="191"/>
      <c r="BO6" s="191"/>
      <c r="BP6" s="191"/>
      <c r="BQ6" s="191"/>
      <c r="BR6" s="191"/>
      <c r="BS6" s="191"/>
      <c r="BT6" s="192"/>
      <c r="BU6" s="191"/>
      <c r="BV6" s="191"/>
      <c r="BW6" s="191"/>
      <c r="BX6" s="193"/>
    </row>
    <row r="7" spans="1:81" s="201" customFormat="1" ht="15.5" customHeight="1">
      <c r="A7" s="194" t="s">
        <v>372</v>
      </c>
      <c r="B7" s="195">
        <v>4232</v>
      </c>
      <c r="C7" s="196">
        <v>4601</v>
      </c>
      <c r="D7" s="196">
        <v>4942</v>
      </c>
      <c r="E7" s="197">
        <v>8522</v>
      </c>
      <c r="F7" s="197">
        <v>11141</v>
      </c>
      <c r="G7" s="197">
        <v>12181</v>
      </c>
      <c r="H7" s="198">
        <v>11190</v>
      </c>
      <c r="I7" s="199">
        <v>11040</v>
      </c>
      <c r="J7" s="199">
        <v>10888</v>
      </c>
      <c r="K7" s="199">
        <v>10945</v>
      </c>
      <c r="L7" s="200">
        <v>10987</v>
      </c>
      <c r="M7" s="195">
        <v>11294</v>
      </c>
      <c r="N7" s="196">
        <v>11241</v>
      </c>
      <c r="O7" s="196">
        <v>11356</v>
      </c>
      <c r="P7" s="197">
        <v>12158</v>
      </c>
      <c r="Q7" s="197">
        <v>12042</v>
      </c>
      <c r="R7" s="197">
        <v>12983</v>
      </c>
      <c r="S7" s="198">
        <v>13430</v>
      </c>
      <c r="T7" s="199">
        <v>15455</v>
      </c>
      <c r="U7" s="199">
        <v>18236</v>
      </c>
      <c r="V7" s="199">
        <v>19961</v>
      </c>
      <c r="W7" s="200">
        <v>21385</v>
      </c>
      <c r="X7" s="195">
        <v>22978</v>
      </c>
      <c r="Y7" s="196">
        <v>22625</v>
      </c>
      <c r="Z7" s="196">
        <v>23147</v>
      </c>
      <c r="AA7" s="197">
        <v>23639</v>
      </c>
      <c r="AB7" s="197">
        <v>24104</v>
      </c>
      <c r="AC7" s="197">
        <v>24885</v>
      </c>
      <c r="AD7" s="198">
        <v>25430</v>
      </c>
      <c r="AE7" s="199">
        <v>25947</v>
      </c>
      <c r="AF7" s="199">
        <v>27184</v>
      </c>
      <c r="AG7" s="199">
        <v>28650</v>
      </c>
      <c r="AH7" s="235">
        <v>31065</v>
      </c>
      <c r="AI7" s="195">
        <v>36746</v>
      </c>
      <c r="AJ7" s="196">
        <v>42829</v>
      </c>
      <c r="AK7" s="196">
        <v>45638</v>
      </c>
      <c r="AL7" s="197">
        <v>48177</v>
      </c>
      <c r="AM7" s="197">
        <v>68079</v>
      </c>
      <c r="AN7" s="197">
        <v>71695</v>
      </c>
      <c r="AO7" s="198">
        <v>74491</v>
      </c>
      <c r="AP7" s="199">
        <v>76563</v>
      </c>
      <c r="AQ7" s="199">
        <v>78448</v>
      </c>
      <c r="AR7" s="199">
        <v>78864</v>
      </c>
      <c r="AS7" s="200">
        <v>83974</v>
      </c>
      <c r="AT7" s="195">
        <v>81055</v>
      </c>
      <c r="AU7" s="196">
        <v>75983</v>
      </c>
      <c r="AV7" s="196">
        <v>71293</v>
      </c>
      <c r="AW7" s="197">
        <v>71473</v>
      </c>
      <c r="AX7" s="197">
        <v>69699</v>
      </c>
      <c r="AY7" s="197">
        <v>70187</v>
      </c>
      <c r="AZ7" s="198">
        <v>69686</v>
      </c>
      <c r="BA7" s="199">
        <v>70731</v>
      </c>
      <c r="BB7" s="199">
        <v>73538</v>
      </c>
      <c r="BC7" s="199">
        <v>77251</v>
      </c>
      <c r="BD7" s="200">
        <v>87146</v>
      </c>
      <c r="BE7" s="195">
        <v>109061</v>
      </c>
      <c r="BF7" s="196">
        <v>115549</v>
      </c>
      <c r="BG7" s="196">
        <v>121311</v>
      </c>
      <c r="BH7" s="197">
        <v>126665</v>
      </c>
      <c r="BI7" s="197">
        <v>130287</v>
      </c>
      <c r="BJ7" s="197">
        <v>137000</v>
      </c>
      <c r="BK7" s="198">
        <v>145183</v>
      </c>
      <c r="BL7" s="199">
        <v>152997</v>
      </c>
      <c r="BM7" s="199">
        <v>153628</v>
      </c>
      <c r="BN7" s="199">
        <v>152623</v>
      </c>
      <c r="BO7" s="200">
        <v>146239</v>
      </c>
      <c r="BP7" s="195">
        <v>143606</v>
      </c>
      <c r="BQ7" s="196">
        <v>139028</v>
      </c>
      <c r="BR7" s="196">
        <v>138304</v>
      </c>
      <c r="BS7" s="213">
        <v>139028</v>
      </c>
      <c r="BT7" s="213">
        <v>139804</v>
      </c>
      <c r="BU7" s="213">
        <v>152883</v>
      </c>
      <c r="BV7" s="213">
        <v>156591.55370000002</v>
      </c>
      <c r="BW7" s="213">
        <v>161713.25902</v>
      </c>
      <c r="BX7" s="213">
        <v>166424.72902</v>
      </c>
      <c r="BY7" s="213">
        <v>170649.66902</v>
      </c>
    </row>
    <row r="8" spans="1:81" s="201" customFormat="1">
      <c r="A8" s="194" t="s">
        <v>373</v>
      </c>
      <c r="B8" s="195">
        <v>175</v>
      </c>
      <c r="C8" s="196">
        <v>193</v>
      </c>
      <c r="D8" s="196">
        <v>197</v>
      </c>
      <c r="E8" s="197">
        <v>324</v>
      </c>
      <c r="F8" s="197">
        <v>331</v>
      </c>
      <c r="G8" s="197">
        <v>356</v>
      </c>
      <c r="H8" s="198">
        <v>386</v>
      </c>
      <c r="I8" s="199">
        <v>422</v>
      </c>
      <c r="J8" s="199">
        <v>479</v>
      </c>
      <c r="K8" s="199">
        <v>511</v>
      </c>
      <c r="L8" s="200">
        <v>561</v>
      </c>
      <c r="M8" s="195">
        <v>635</v>
      </c>
      <c r="N8" s="196">
        <v>693</v>
      </c>
      <c r="O8" s="196">
        <v>788</v>
      </c>
      <c r="P8" s="197">
        <v>896</v>
      </c>
      <c r="Q8" s="197">
        <v>1015</v>
      </c>
      <c r="R8" s="197">
        <v>1211</v>
      </c>
      <c r="S8" s="198">
        <v>1386</v>
      </c>
      <c r="T8" s="199">
        <v>1592</v>
      </c>
      <c r="U8" s="199">
        <v>1831</v>
      </c>
      <c r="V8" s="199">
        <v>2093</v>
      </c>
      <c r="W8" s="200">
        <v>2443</v>
      </c>
      <c r="X8" s="195">
        <v>2853</v>
      </c>
      <c r="Y8" s="196">
        <v>3389</v>
      </c>
      <c r="Z8" s="196">
        <v>3889</v>
      </c>
      <c r="AA8" s="197">
        <v>4392</v>
      </c>
      <c r="AB8" s="197">
        <v>5137</v>
      </c>
      <c r="AC8" s="197">
        <v>6239</v>
      </c>
      <c r="AD8" s="198">
        <v>7326</v>
      </c>
      <c r="AE8" s="199">
        <v>8219</v>
      </c>
      <c r="AF8" s="199">
        <v>9173</v>
      </c>
      <c r="AG8" s="199">
        <v>10282</v>
      </c>
      <c r="AH8" s="235">
        <v>11920</v>
      </c>
      <c r="AI8" s="195">
        <v>13724</v>
      </c>
      <c r="AJ8" s="196">
        <v>14940</v>
      </c>
      <c r="AK8" s="196">
        <v>15954</v>
      </c>
      <c r="AL8" s="197">
        <v>16503</v>
      </c>
      <c r="AM8" s="197">
        <v>0</v>
      </c>
      <c r="AN8" s="197">
        <v>0</v>
      </c>
      <c r="AO8" s="198">
        <v>0</v>
      </c>
      <c r="AP8" s="199">
        <v>0</v>
      </c>
      <c r="AQ8" s="199">
        <v>0</v>
      </c>
      <c r="AR8" s="199">
        <v>0</v>
      </c>
      <c r="AS8" s="200">
        <v>0</v>
      </c>
      <c r="AT8" s="195"/>
      <c r="AU8" s="196"/>
      <c r="AV8" s="196"/>
      <c r="AW8" s="197"/>
      <c r="AX8" s="197"/>
      <c r="AY8" s="197"/>
      <c r="AZ8" s="198"/>
      <c r="BA8" s="199"/>
      <c r="BB8" s="199"/>
      <c r="BC8" s="199"/>
      <c r="BD8" s="200"/>
      <c r="BE8" s="195"/>
      <c r="BF8" s="196"/>
      <c r="BG8" s="196"/>
      <c r="BH8" s="197"/>
      <c r="BI8" s="197"/>
      <c r="BJ8" s="197"/>
      <c r="BK8" s="198"/>
      <c r="BL8" s="199"/>
      <c r="BM8" s="199"/>
      <c r="BN8" s="199"/>
      <c r="BO8" s="200"/>
      <c r="BP8" s="195"/>
      <c r="BQ8" s="196"/>
      <c r="BR8" s="196"/>
      <c r="BS8" s="213"/>
      <c r="BT8" s="213"/>
      <c r="BU8" s="213"/>
      <c r="BV8" s="213"/>
      <c r="BW8" s="213"/>
      <c r="BX8" s="213"/>
      <c r="BY8" s="213"/>
    </row>
    <row r="9" spans="1:81" s="209" customFormat="1">
      <c r="A9" s="203" t="s">
        <v>374</v>
      </c>
      <c r="B9" s="204">
        <v>3881</v>
      </c>
      <c r="C9" s="205">
        <v>4436</v>
      </c>
      <c r="D9" s="205">
        <v>4205</v>
      </c>
      <c r="E9" s="206">
        <v>11676</v>
      </c>
      <c r="F9" s="206">
        <v>13661</v>
      </c>
      <c r="G9" s="206">
        <v>10884</v>
      </c>
      <c r="H9" s="202">
        <v>8678</v>
      </c>
      <c r="I9" s="207">
        <v>8407</v>
      </c>
      <c r="J9" s="207">
        <v>9195</v>
      </c>
      <c r="K9" s="207">
        <v>9614</v>
      </c>
      <c r="L9" s="208">
        <v>10112</v>
      </c>
      <c r="M9" s="204">
        <v>10214</v>
      </c>
      <c r="N9" s="205">
        <v>10329</v>
      </c>
      <c r="O9" s="205">
        <v>10671</v>
      </c>
      <c r="P9" s="206">
        <v>11562</v>
      </c>
      <c r="Q9" s="206">
        <v>11467</v>
      </c>
      <c r="R9" s="206">
        <v>11693</v>
      </c>
      <c r="S9" s="202">
        <v>12563</v>
      </c>
      <c r="T9" s="207">
        <v>15378</v>
      </c>
      <c r="U9" s="207">
        <v>19365</v>
      </c>
      <c r="V9" s="207">
        <v>20950</v>
      </c>
      <c r="W9" s="208">
        <v>22290</v>
      </c>
      <c r="X9" s="204">
        <v>21517</v>
      </c>
      <c r="Y9" s="205">
        <v>20422</v>
      </c>
      <c r="Z9" s="205">
        <v>21254</v>
      </c>
      <c r="AA9" s="206">
        <v>22151</v>
      </c>
      <c r="AB9" s="206">
        <v>23865</v>
      </c>
      <c r="AC9" s="206">
        <v>26156</v>
      </c>
      <c r="AD9" s="202">
        <v>28851</v>
      </c>
      <c r="AE9" s="207">
        <v>32015</v>
      </c>
      <c r="AF9" s="207">
        <v>34904</v>
      </c>
      <c r="AG9" s="207">
        <v>37876</v>
      </c>
      <c r="AH9" s="235">
        <v>46612</v>
      </c>
      <c r="AI9" s="204">
        <v>55248</v>
      </c>
      <c r="AJ9" s="205">
        <v>62014</v>
      </c>
      <c r="AK9" s="205">
        <v>66760</v>
      </c>
      <c r="AL9" s="206">
        <v>70429</v>
      </c>
      <c r="AM9" s="206">
        <v>77647</v>
      </c>
      <c r="AN9" s="206">
        <v>76338</v>
      </c>
      <c r="AO9" s="202">
        <v>80316</v>
      </c>
      <c r="AP9" s="207">
        <v>82720</v>
      </c>
      <c r="AQ9" s="207">
        <v>86623</v>
      </c>
      <c r="AR9" s="207">
        <v>88531</v>
      </c>
      <c r="AS9" s="208">
        <v>109764</v>
      </c>
      <c r="AT9" s="204">
        <v>92145</v>
      </c>
      <c r="AU9" s="205">
        <v>90767</v>
      </c>
      <c r="AV9" s="205">
        <v>89091</v>
      </c>
      <c r="AW9" s="206">
        <v>93989</v>
      </c>
      <c r="AX9" s="206">
        <v>93233</v>
      </c>
      <c r="AY9" s="206">
        <v>91834</v>
      </c>
      <c r="AZ9" s="202">
        <v>95856</v>
      </c>
      <c r="BA9" s="207">
        <v>102661</v>
      </c>
      <c r="BB9" s="207">
        <v>106791</v>
      </c>
      <c r="BC9" s="207">
        <v>124025</v>
      </c>
      <c r="BD9" s="208">
        <v>142974</v>
      </c>
      <c r="BE9" s="204">
        <v>172680</v>
      </c>
      <c r="BF9" s="205">
        <v>177494</v>
      </c>
      <c r="BG9" s="205">
        <v>197848</v>
      </c>
      <c r="BH9" s="206">
        <v>211636</v>
      </c>
      <c r="BI9" s="206">
        <v>239894</v>
      </c>
      <c r="BJ9" s="206">
        <v>256878</v>
      </c>
      <c r="BK9" s="202">
        <v>270550</v>
      </c>
      <c r="BL9" s="207">
        <v>291763</v>
      </c>
      <c r="BM9" s="207">
        <v>304248</v>
      </c>
      <c r="BN9" s="207">
        <v>288611</v>
      </c>
      <c r="BO9" s="208">
        <v>256499</v>
      </c>
      <c r="BP9" s="204">
        <v>259563</v>
      </c>
      <c r="BQ9" s="205">
        <v>248241</v>
      </c>
      <c r="BR9" s="204">
        <v>247832</v>
      </c>
      <c r="BS9" s="213">
        <v>258156</v>
      </c>
      <c r="BT9" s="213">
        <v>262229</v>
      </c>
      <c r="BU9" s="213">
        <v>283628</v>
      </c>
      <c r="BV9" s="213">
        <v>281761.09399999998</v>
      </c>
      <c r="BW9" s="213">
        <v>284289.28859999997</v>
      </c>
      <c r="BX9" s="213">
        <v>291710.47959999996</v>
      </c>
      <c r="BY9" s="213">
        <v>295385.63559999998</v>
      </c>
    </row>
    <row r="10" spans="1:81" s="201" customFormat="1">
      <c r="A10" s="194" t="s">
        <v>375</v>
      </c>
      <c r="B10" s="195">
        <v>2995</v>
      </c>
      <c r="C10" s="196">
        <v>3251</v>
      </c>
      <c r="D10" s="196">
        <v>4176</v>
      </c>
      <c r="E10" s="197">
        <v>21837</v>
      </c>
      <c r="F10" s="197">
        <v>28173</v>
      </c>
      <c r="G10" s="197">
        <v>16481</v>
      </c>
      <c r="H10" s="198">
        <v>6469</v>
      </c>
      <c r="I10" s="199">
        <v>8917</v>
      </c>
      <c r="J10" s="199">
        <v>11844</v>
      </c>
      <c r="K10" s="199">
        <v>12221</v>
      </c>
      <c r="L10" s="200">
        <v>13628</v>
      </c>
      <c r="M10" s="195">
        <v>13118</v>
      </c>
      <c r="N10" s="196">
        <v>11137</v>
      </c>
      <c r="O10" s="196">
        <v>14238</v>
      </c>
      <c r="P10" s="197">
        <v>16194</v>
      </c>
      <c r="Q10" s="197">
        <v>16026</v>
      </c>
      <c r="R10" s="197">
        <v>15028</v>
      </c>
      <c r="S10" s="198">
        <v>14111</v>
      </c>
      <c r="T10" s="199">
        <v>22012</v>
      </c>
      <c r="U10" s="199">
        <v>23277</v>
      </c>
      <c r="V10" s="199">
        <v>22528</v>
      </c>
      <c r="W10" s="200">
        <v>22245</v>
      </c>
      <c r="X10" s="195">
        <v>19156</v>
      </c>
      <c r="Y10" s="196">
        <v>17364</v>
      </c>
      <c r="Z10" s="196">
        <v>18491</v>
      </c>
      <c r="AA10" s="197">
        <v>18199</v>
      </c>
      <c r="AB10" s="197">
        <v>17437</v>
      </c>
      <c r="AC10" s="197">
        <v>17289</v>
      </c>
      <c r="AD10" s="198">
        <v>20996</v>
      </c>
      <c r="AE10" s="199">
        <v>27075</v>
      </c>
      <c r="AF10" s="199">
        <v>29948</v>
      </c>
      <c r="AG10" s="199">
        <v>31311</v>
      </c>
      <c r="AH10" s="235">
        <v>35087</v>
      </c>
      <c r="AI10" s="195">
        <v>47204</v>
      </c>
      <c r="AJ10" s="196">
        <v>63281</v>
      </c>
      <c r="AK10" s="196">
        <v>76614</v>
      </c>
      <c r="AL10" s="197">
        <v>83399</v>
      </c>
      <c r="AM10" s="197">
        <v>90025</v>
      </c>
      <c r="AN10" s="197">
        <v>87301</v>
      </c>
      <c r="AO10" s="198">
        <v>83230</v>
      </c>
      <c r="AP10" s="199">
        <v>82101</v>
      </c>
      <c r="AQ10" s="199">
        <v>79412</v>
      </c>
      <c r="AR10" s="199">
        <v>79709</v>
      </c>
      <c r="AS10" s="200">
        <v>71416</v>
      </c>
      <c r="AT10" s="195">
        <v>61919</v>
      </c>
      <c r="AU10" s="196">
        <v>53621</v>
      </c>
      <c r="AV10" s="196">
        <v>43761</v>
      </c>
      <c r="AW10" s="197">
        <v>43084</v>
      </c>
      <c r="AX10" s="197">
        <v>43432</v>
      </c>
      <c r="AY10" s="197">
        <v>43149</v>
      </c>
      <c r="AZ10" s="198">
        <v>44884</v>
      </c>
      <c r="BA10" s="199">
        <v>50770</v>
      </c>
      <c r="BB10" s="199">
        <v>55502</v>
      </c>
      <c r="BC10" s="199">
        <v>62930</v>
      </c>
      <c r="BD10" s="200">
        <v>63342</v>
      </c>
      <c r="BE10" s="195">
        <v>79571</v>
      </c>
      <c r="BF10" s="196">
        <v>83161</v>
      </c>
      <c r="BG10" s="196">
        <v>98549</v>
      </c>
      <c r="BH10" s="197">
        <v>105315</v>
      </c>
      <c r="BI10" s="197">
        <v>134384</v>
      </c>
      <c r="BJ10" s="197">
        <v>164684</v>
      </c>
      <c r="BK10" s="198">
        <v>134837</v>
      </c>
      <c r="BL10" s="199">
        <v>135889</v>
      </c>
      <c r="BM10" s="199">
        <v>131472</v>
      </c>
      <c r="BN10" s="199">
        <v>119840</v>
      </c>
      <c r="BO10" s="200">
        <v>103584</v>
      </c>
      <c r="BP10" s="195">
        <v>100753</v>
      </c>
      <c r="BQ10" s="196">
        <v>104028</v>
      </c>
      <c r="BR10" s="196">
        <v>119888</v>
      </c>
      <c r="BS10" s="213">
        <v>125983</v>
      </c>
      <c r="BT10" s="213">
        <v>125556</v>
      </c>
      <c r="BU10" s="213">
        <v>144539</v>
      </c>
      <c r="BV10" s="213">
        <v>139972.49419999996</v>
      </c>
      <c r="BW10" s="213">
        <v>144365.28032000002</v>
      </c>
      <c r="BX10" s="213">
        <v>148264.55831999998</v>
      </c>
      <c r="BY10" s="213">
        <v>156890.30731999999</v>
      </c>
    </row>
    <row r="11" spans="1:81" s="201" customFormat="1">
      <c r="A11" s="194" t="s">
        <v>376</v>
      </c>
      <c r="B11" s="195">
        <v>405</v>
      </c>
      <c r="C11" s="196">
        <v>484</v>
      </c>
      <c r="D11" s="196">
        <v>553</v>
      </c>
      <c r="E11" s="197">
        <v>1183</v>
      </c>
      <c r="F11" s="197">
        <v>1796</v>
      </c>
      <c r="G11" s="197">
        <v>2112</v>
      </c>
      <c r="H11" s="198">
        <v>2243</v>
      </c>
      <c r="I11" s="199">
        <v>2621</v>
      </c>
      <c r="J11" s="199">
        <v>3539</v>
      </c>
      <c r="K11" s="199">
        <v>4381</v>
      </c>
      <c r="L11" s="200">
        <v>4159</v>
      </c>
      <c r="M11" s="195">
        <v>5144</v>
      </c>
      <c r="N11" s="196">
        <v>5476</v>
      </c>
      <c r="O11" s="196">
        <v>6366</v>
      </c>
      <c r="P11" s="197">
        <v>6269</v>
      </c>
      <c r="Q11" s="197">
        <v>7028</v>
      </c>
      <c r="R11" s="197">
        <v>7053</v>
      </c>
      <c r="S11" s="198">
        <v>6433</v>
      </c>
      <c r="T11" s="199">
        <v>6885</v>
      </c>
      <c r="U11" s="199">
        <v>7225</v>
      </c>
      <c r="V11" s="199">
        <v>7263</v>
      </c>
      <c r="W11" s="200">
        <v>7730</v>
      </c>
      <c r="X11" s="195">
        <v>7399</v>
      </c>
      <c r="Y11" s="196">
        <v>7123</v>
      </c>
      <c r="Z11" s="196">
        <v>7584</v>
      </c>
      <c r="AA11" s="197">
        <v>8020</v>
      </c>
      <c r="AB11" s="197">
        <v>8200</v>
      </c>
      <c r="AC11" s="197">
        <v>8632</v>
      </c>
      <c r="AD11" s="198">
        <v>9520</v>
      </c>
      <c r="AE11" s="199">
        <v>10585</v>
      </c>
      <c r="AF11" s="199">
        <v>11503</v>
      </c>
      <c r="AG11" s="199">
        <v>12362</v>
      </c>
      <c r="AH11" s="235">
        <v>13492</v>
      </c>
      <c r="AI11" s="195">
        <v>16630</v>
      </c>
      <c r="AJ11" s="196">
        <v>20090</v>
      </c>
      <c r="AK11" s="196">
        <v>22789</v>
      </c>
      <c r="AL11" s="197">
        <v>26865</v>
      </c>
      <c r="AM11" s="197">
        <v>30574</v>
      </c>
      <c r="AN11" s="197">
        <v>33470</v>
      </c>
      <c r="AO11" s="198">
        <v>35720</v>
      </c>
      <c r="AP11" s="199">
        <v>36878</v>
      </c>
      <c r="AQ11" s="199">
        <v>37306</v>
      </c>
      <c r="AR11" s="199">
        <v>35793</v>
      </c>
      <c r="AS11" s="200">
        <v>34714</v>
      </c>
      <c r="AT11" s="195">
        <v>37879</v>
      </c>
      <c r="AU11" s="196">
        <v>37677</v>
      </c>
      <c r="AV11" s="196">
        <v>34508</v>
      </c>
      <c r="AW11" s="197">
        <v>34422</v>
      </c>
      <c r="AX11" s="197">
        <v>35115</v>
      </c>
      <c r="AY11" s="197">
        <v>36481</v>
      </c>
      <c r="AZ11" s="198">
        <v>37184</v>
      </c>
      <c r="BA11" s="199">
        <v>38104</v>
      </c>
      <c r="BB11" s="199">
        <v>38753</v>
      </c>
      <c r="BC11" s="199">
        <v>41748</v>
      </c>
      <c r="BD11" s="200">
        <v>48623</v>
      </c>
      <c r="BE11" s="195">
        <v>58307</v>
      </c>
      <c r="BF11" s="196">
        <v>64367</v>
      </c>
      <c r="BG11" s="196">
        <v>69296</v>
      </c>
      <c r="BH11" s="197">
        <v>72691</v>
      </c>
      <c r="BI11" s="197">
        <v>77589</v>
      </c>
      <c r="BJ11" s="197">
        <v>79448</v>
      </c>
      <c r="BK11" s="198">
        <v>80651</v>
      </c>
      <c r="BL11" s="199">
        <v>80655</v>
      </c>
      <c r="BM11" s="199">
        <v>76135</v>
      </c>
      <c r="BN11" s="199">
        <v>72970</v>
      </c>
      <c r="BO11" s="200">
        <v>64328</v>
      </c>
      <c r="BP11" s="195">
        <v>63458</v>
      </c>
      <c r="BQ11" s="196">
        <v>64088</v>
      </c>
      <c r="BR11" s="196">
        <v>70633</v>
      </c>
      <c r="BS11" s="213">
        <v>74817</v>
      </c>
      <c r="BT11" s="213">
        <v>74592</v>
      </c>
      <c r="BU11" s="213">
        <v>92365</v>
      </c>
      <c r="BV11" s="213">
        <v>90967.202000000005</v>
      </c>
      <c r="BW11" s="213">
        <v>91621.825599999996</v>
      </c>
      <c r="BX11" s="213">
        <v>88326.021599999993</v>
      </c>
      <c r="BY11" s="213">
        <v>86539.428600000014</v>
      </c>
    </row>
    <row r="12" spans="1:81" s="201" customFormat="1">
      <c r="A12" s="194" t="s">
        <v>377</v>
      </c>
      <c r="B12" s="199">
        <v>215</v>
      </c>
      <c r="C12" s="198">
        <v>239</v>
      </c>
      <c r="D12" s="199">
        <v>265</v>
      </c>
      <c r="E12" s="198">
        <v>1631</v>
      </c>
      <c r="F12" s="199">
        <v>2087</v>
      </c>
      <c r="G12" s="199">
        <v>2269</v>
      </c>
      <c r="H12" s="198">
        <v>1464</v>
      </c>
      <c r="I12" s="199">
        <v>2338</v>
      </c>
      <c r="J12" s="199">
        <v>2095</v>
      </c>
      <c r="K12" s="199">
        <v>2048</v>
      </c>
      <c r="L12" s="200">
        <v>1634</v>
      </c>
      <c r="M12" s="199">
        <v>1748</v>
      </c>
      <c r="N12" s="198">
        <v>1350</v>
      </c>
      <c r="O12" s="199">
        <v>1115</v>
      </c>
      <c r="P12" s="198">
        <v>915</v>
      </c>
      <c r="Q12" s="199">
        <v>1286</v>
      </c>
      <c r="R12" s="199">
        <v>977</v>
      </c>
      <c r="S12" s="198">
        <v>1063</v>
      </c>
      <c r="T12" s="199">
        <v>2595</v>
      </c>
      <c r="U12" s="199">
        <v>1217</v>
      </c>
      <c r="V12" s="199">
        <v>1557</v>
      </c>
      <c r="W12" s="200">
        <v>1142</v>
      </c>
      <c r="X12" s="199">
        <v>1015</v>
      </c>
      <c r="Y12" s="198">
        <v>1209</v>
      </c>
      <c r="Z12" s="199">
        <v>1262</v>
      </c>
      <c r="AA12" s="198">
        <v>1550</v>
      </c>
      <c r="AB12" s="199">
        <v>1847</v>
      </c>
      <c r="AC12" s="199">
        <v>1828</v>
      </c>
      <c r="AD12" s="198">
        <v>2147</v>
      </c>
      <c r="AE12" s="199">
        <v>2210</v>
      </c>
      <c r="AF12" s="199">
        <v>1860</v>
      </c>
      <c r="AG12" s="199">
        <v>2535</v>
      </c>
      <c r="AH12" s="235">
        <v>2255</v>
      </c>
      <c r="AI12" s="199">
        <v>3403</v>
      </c>
      <c r="AJ12" s="198">
        <v>4849</v>
      </c>
      <c r="AK12" s="199">
        <v>4204</v>
      </c>
      <c r="AL12" s="198">
        <v>4744</v>
      </c>
      <c r="AM12" s="199">
        <v>5468</v>
      </c>
      <c r="AN12" s="199">
        <v>5107</v>
      </c>
      <c r="AO12" s="198">
        <v>5169</v>
      </c>
      <c r="AP12" s="199">
        <v>5461</v>
      </c>
      <c r="AQ12" s="199">
        <v>5680</v>
      </c>
      <c r="AR12" s="199">
        <v>5158</v>
      </c>
      <c r="AS12" s="200">
        <v>5496</v>
      </c>
      <c r="AT12" s="199">
        <v>4988</v>
      </c>
      <c r="AU12" s="198">
        <v>3905</v>
      </c>
      <c r="AV12" s="199">
        <v>6477</v>
      </c>
      <c r="AW12" s="198">
        <v>5874</v>
      </c>
      <c r="AX12" s="199">
        <v>7358</v>
      </c>
      <c r="AY12" s="199">
        <v>6003</v>
      </c>
      <c r="AZ12" s="198">
        <v>5469</v>
      </c>
      <c r="BA12" s="199">
        <v>5148</v>
      </c>
      <c r="BB12" s="199">
        <v>5404</v>
      </c>
      <c r="BC12" s="199">
        <v>5280</v>
      </c>
      <c r="BD12" s="200">
        <v>6745</v>
      </c>
      <c r="BE12" s="199">
        <v>6592</v>
      </c>
      <c r="BF12" s="198">
        <v>6505</v>
      </c>
      <c r="BG12" s="199">
        <v>7305</v>
      </c>
      <c r="BH12" s="198">
        <v>9826</v>
      </c>
      <c r="BI12" s="199">
        <v>14373</v>
      </c>
      <c r="BJ12" s="199">
        <v>22423</v>
      </c>
      <c r="BK12" s="198">
        <v>26743</v>
      </c>
      <c r="BL12" s="199">
        <v>23379</v>
      </c>
      <c r="BM12" s="199">
        <v>17036</v>
      </c>
      <c r="BN12" s="199">
        <v>12694</v>
      </c>
      <c r="BO12" s="200">
        <v>10345</v>
      </c>
      <c r="BP12" s="199">
        <v>9706</v>
      </c>
      <c r="BQ12" s="198">
        <v>6441</v>
      </c>
      <c r="BR12" s="199">
        <v>7551</v>
      </c>
      <c r="BS12" s="213">
        <v>7593</v>
      </c>
      <c r="BT12" s="213">
        <v>7080</v>
      </c>
      <c r="BU12" s="213">
        <v>9801</v>
      </c>
      <c r="BV12" s="213">
        <v>10398.4233</v>
      </c>
      <c r="BW12" s="213">
        <v>10327.49598</v>
      </c>
      <c r="BX12" s="213">
        <v>10959.658979999998</v>
      </c>
      <c r="BY12" s="213">
        <v>10676.005980000002</v>
      </c>
    </row>
    <row r="13" spans="1:81" s="201" customFormat="1">
      <c r="A13" s="194" t="s">
        <v>378</v>
      </c>
      <c r="B13" s="210">
        <v>0</v>
      </c>
      <c r="C13" s="198">
        <v>0</v>
      </c>
      <c r="D13" s="199">
        <v>0</v>
      </c>
      <c r="E13" s="198">
        <v>0</v>
      </c>
      <c r="F13" s="199">
        <v>0</v>
      </c>
      <c r="G13" s="199">
        <v>0</v>
      </c>
      <c r="H13" s="198">
        <v>0</v>
      </c>
      <c r="I13" s="199">
        <v>44</v>
      </c>
      <c r="J13" s="199">
        <v>25</v>
      </c>
      <c r="K13" s="199">
        <v>3</v>
      </c>
      <c r="L13" s="200">
        <v>42</v>
      </c>
      <c r="M13" s="210">
        <v>42</v>
      </c>
      <c r="N13" s="198">
        <v>32</v>
      </c>
      <c r="O13" s="199">
        <v>108</v>
      </c>
      <c r="P13" s="198">
        <v>440</v>
      </c>
      <c r="Q13" s="199">
        <v>556</v>
      </c>
      <c r="R13" s="199">
        <v>602</v>
      </c>
      <c r="S13" s="198">
        <v>575</v>
      </c>
      <c r="T13" s="199">
        <v>613</v>
      </c>
      <c r="U13" s="199">
        <v>439</v>
      </c>
      <c r="V13" s="199">
        <v>612</v>
      </c>
      <c r="W13" s="200">
        <v>518</v>
      </c>
      <c r="X13" s="210">
        <v>593</v>
      </c>
      <c r="Y13" s="198">
        <v>714</v>
      </c>
      <c r="Z13" s="199">
        <v>839</v>
      </c>
      <c r="AA13" s="198">
        <v>974</v>
      </c>
      <c r="AB13" s="199">
        <v>1104</v>
      </c>
      <c r="AC13" s="199">
        <v>1103</v>
      </c>
      <c r="AD13" s="198">
        <v>1254</v>
      </c>
      <c r="AE13" s="199">
        <v>1297</v>
      </c>
      <c r="AF13" s="199">
        <v>1385</v>
      </c>
      <c r="AG13" s="199">
        <v>1605</v>
      </c>
      <c r="AH13" s="235">
        <v>1552</v>
      </c>
      <c r="AI13" s="210">
        <v>2069</v>
      </c>
      <c r="AJ13" s="198">
        <v>2317</v>
      </c>
      <c r="AK13" s="199">
        <v>2624</v>
      </c>
      <c r="AL13" s="198">
        <v>2630</v>
      </c>
      <c r="AM13" s="199">
        <v>2826</v>
      </c>
      <c r="AN13" s="199">
        <v>2732</v>
      </c>
      <c r="AO13" s="198">
        <v>3132</v>
      </c>
      <c r="AP13" s="199">
        <v>3253</v>
      </c>
      <c r="AQ13" s="199">
        <v>3350</v>
      </c>
      <c r="AR13" s="199">
        <v>3165</v>
      </c>
      <c r="AS13" s="200">
        <v>3385</v>
      </c>
      <c r="AT13" s="210">
        <v>3705</v>
      </c>
      <c r="AU13" s="198">
        <v>3822</v>
      </c>
      <c r="AV13" s="199">
        <v>3566</v>
      </c>
      <c r="AW13" s="198">
        <v>3728</v>
      </c>
      <c r="AX13" s="199">
        <v>4312</v>
      </c>
      <c r="AY13" s="199">
        <v>4122</v>
      </c>
      <c r="AZ13" s="198">
        <v>3931</v>
      </c>
      <c r="BA13" s="199">
        <v>3553</v>
      </c>
      <c r="BB13" s="199">
        <v>3601</v>
      </c>
      <c r="BC13" s="199">
        <v>3727</v>
      </c>
      <c r="BD13" s="200">
        <v>3894</v>
      </c>
      <c r="BE13" s="210">
        <v>4323</v>
      </c>
      <c r="BF13" s="198">
        <v>4260</v>
      </c>
      <c r="BG13" s="199">
        <v>4495</v>
      </c>
      <c r="BH13" s="198">
        <v>4653</v>
      </c>
      <c r="BI13" s="199">
        <v>4420</v>
      </c>
      <c r="BJ13" s="199">
        <v>3461</v>
      </c>
      <c r="BK13" s="198">
        <v>3544</v>
      </c>
      <c r="BL13" s="199">
        <v>2425</v>
      </c>
      <c r="BM13" s="199">
        <v>3415</v>
      </c>
      <c r="BN13" s="199">
        <v>2017</v>
      </c>
      <c r="BO13" s="200">
        <v>1933</v>
      </c>
      <c r="BP13" s="210">
        <v>1513</v>
      </c>
      <c r="BQ13" s="198">
        <v>1282</v>
      </c>
      <c r="BR13" s="199">
        <v>1514</v>
      </c>
      <c r="BS13" s="213">
        <v>1362</v>
      </c>
      <c r="BT13" s="213">
        <v>1276</v>
      </c>
      <c r="BU13" s="213">
        <v>1583</v>
      </c>
      <c r="BV13" s="213">
        <v>1378.5160000000001</v>
      </c>
      <c r="BW13" s="213">
        <v>1380.598</v>
      </c>
      <c r="BX13" s="213">
        <v>1471.1679999999999</v>
      </c>
      <c r="BY13" s="213">
        <v>1415.2570000000001</v>
      </c>
    </row>
    <row r="14" spans="1:81" s="209" customFormat="1">
      <c r="A14" s="203" t="s">
        <v>379</v>
      </c>
      <c r="B14" s="207">
        <v>0</v>
      </c>
      <c r="C14" s="207">
        <v>0</v>
      </c>
      <c r="D14" s="207">
        <v>0</v>
      </c>
      <c r="E14" s="207">
        <v>0</v>
      </c>
      <c r="F14" s="207">
        <v>0</v>
      </c>
      <c r="G14" s="207">
        <v>0</v>
      </c>
      <c r="H14" s="208">
        <v>0</v>
      </c>
      <c r="I14" s="207">
        <v>0</v>
      </c>
      <c r="J14" s="207">
        <v>0</v>
      </c>
      <c r="K14" s="207">
        <v>0</v>
      </c>
      <c r="L14" s="208">
        <v>0</v>
      </c>
      <c r="M14" s="207">
        <v>0</v>
      </c>
      <c r="N14" s="207">
        <v>0</v>
      </c>
      <c r="O14" s="207">
        <v>0</v>
      </c>
      <c r="P14" s="207">
        <v>0</v>
      </c>
      <c r="Q14" s="207">
        <v>0</v>
      </c>
      <c r="R14" s="207">
        <v>0</v>
      </c>
      <c r="S14" s="208">
        <v>0</v>
      </c>
      <c r="T14" s="207">
        <v>0</v>
      </c>
      <c r="U14" s="207">
        <v>0</v>
      </c>
      <c r="V14" s="207">
        <v>0</v>
      </c>
      <c r="W14" s="208">
        <v>0</v>
      </c>
      <c r="X14" s="207">
        <v>0</v>
      </c>
      <c r="Y14" s="207">
        <v>0</v>
      </c>
      <c r="Z14" s="207">
        <v>0</v>
      </c>
      <c r="AA14" s="207">
        <v>0</v>
      </c>
      <c r="AB14" s="207">
        <v>0</v>
      </c>
      <c r="AC14" s="207">
        <v>0</v>
      </c>
      <c r="AD14" s="208">
        <v>135</v>
      </c>
      <c r="AE14" s="207">
        <v>220</v>
      </c>
      <c r="AF14" s="207">
        <v>171</v>
      </c>
      <c r="AG14" s="207">
        <v>101</v>
      </c>
      <c r="AH14" s="235">
        <v>0</v>
      </c>
      <c r="AI14" s="207">
        <v>525</v>
      </c>
      <c r="AJ14" s="207">
        <v>347</v>
      </c>
      <c r="AK14" s="207">
        <v>909</v>
      </c>
      <c r="AL14" s="207">
        <v>2525</v>
      </c>
      <c r="AM14" s="207">
        <v>1554</v>
      </c>
      <c r="AN14" s="207">
        <v>1497</v>
      </c>
      <c r="AO14" s="208">
        <v>661</v>
      </c>
      <c r="AP14" s="207">
        <v>830</v>
      </c>
      <c r="AQ14" s="207">
        <v>722</v>
      </c>
      <c r="AR14" s="207">
        <v>137</v>
      </c>
      <c r="AS14" s="208">
        <v>1871</v>
      </c>
      <c r="AT14" s="207">
        <v>3504</v>
      </c>
      <c r="AU14" s="207">
        <v>3881</v>
      </c>
      <c r="AV14" s="207">
        <v>2643</v>
      </c>
      <c r="AW14" s="207">
        <v>1645</v>
      </c>
      <c r="AX14" s="207">
        <v>1903</v>
      </c>
      <c r="AY14" s="207">
        <v>2411</v>
      </c>
      <c r="AZ14" s="208">
        <v>2114</v>
      </c>
      <c r="BA14" s="207">
        <v>1764</v>
      </c>
      <c r="BB14" s="207">
        <v>3369</v>
      </c>
      <c r="BC14" s="207">
        <v>1579</v>
      </c>
      <c r="BD14" s="208">
        <v>2570</v>
      </c>
      <c r="BE14" s="207">
        <v>2488</v>
      </c>
      <c r="BF14" s="207">
        <v>4716</v>
      </c>
      <c r="BG14" s="207">
        <v>3671</v>
      </c>
      <c r="BH14" s="207">
        <v>5485</v>
      </c>
      <c r="BI14" s="207">
        <v>2850</v>
      </c>
      <c r="BJ14" s="207">
        <v>5386</v>
      </c>
      <c r="BK14" s="208">
        <v>4354</v>
      </c>
      <c r="BL14" s="207">
        <v>4683</v>
      </c>
      <c r="BM14" s="207">
        <v>3157</v>
      </c>
      <c r="BN14" s="207">
        <v>3482</v>
      </c>
      <c r="BO14" s="208">
        <v>2465</v>
      </c>
      <c r="BP14" s="207">
        <v>2590</v>
      </c>
      <c r="BQ14" s="207">
        <v>2267</v>
      </c>
      <c r="BR14" s="208">
        <v>2257</v>
      </c>
      <c r="BS14" s="213">
        <v>2348</v>
      </c>
      <c r="BT14" s="213">
        <v>1928</v>
      </c>
      <c r="BU14" s="213">
        <v>1557</v>
      </c>
      <c r="BV14" s="213">
        <v>246.23560000000001</v>
      </c>
      <c r="BW14" s="213">
        <v>276.76336000000003</v>
      </c>
      <c r="BX14" s="213">
        <v>242.09435999999999</v>
      </c>
      <c r="BY14" s="213">
        <v>238.45936</v>
      </c>
    </row>
    <row r="15" spans="1:81" s="211" customFormat="1">
      <c r="A15" s="194" t="s">
        <v>380</v>
      </c>
      <c r="B15" s="210">
        <v>0</v>
      </c>
      <c r="C15" s="198">
        <v>0</v>
      </c>
      <c r="D15" s="199">
        <v>0</v>
      </c>
      <c r="E15" s="198">
        <v>0</v>
      </c>
      <c r="F15" s="199">
        <v>0</v>
      </c>
      <c r="G15" s="199">
        <v>0</v>
      </c>
      <c r="H15" s="198">
        <v>0</v>
      </c>
      <c r="I15" s="199">
        <v>0</v>
      </c>
      <c r="J15" s="199">
        <v>0</v>
      </c>
      <c r="K15" s="199">
        <v>0</v>
      </c>
      <c r="L15" s="200">
        <v>0</v>
      </c>
      <c r="M15" s="210">
        <v>0</v>
      </c>
      <c r="N15" s="198">
        <v>0</v>
      </c>
      <c r="O15" s="199">
        <v>0</v>
      </c>
      <c r="P15" s="198">
        <v>0</v>
      </c>
      <c r="Q15" s="199">
        <v>0</v>
      </c>
      <c r="R15" s="199">
        <v>0</v>
      </c>
      <c r="S15" s="198">
        <v>0</v>
      </c>
      <c r="T15" s="199">
        <v>0</v>
      </c>
      <c r="U15" s="199">
        <v>0</v>
      </c>
      <c r="V15" s="199">
        <v>0</v>
      </c>
      <c r="W15" s="200">
        <v>0</v>
      </c>
      <c r="X15" s="210">
        <v>0</v>
      </c>
      <c r="Y15" s="198">
        <v>0</v>
      </c>
      <c r="Z15" s="199">
        <v>0</v>
      </c>
      <c r="AA15" s="198">
        <v>0</v>
      </c>
      <c r="AB15" s="199">
        <v>0</v>
      </c>
      <c r="AC15" s="199">
        <v>0</v>
      </c>
      <c r="AD15" s="198">
        <v>0</v>
      </c>
      <c r="AE15" s="199">
        <v>0</v>
      </c>
      <c r="AF15" s="199">
        <v>0</v>
      </c>
      <c r="AG15" s="199">
        <v>0</v>
      </c>
      <c r="AH15" s="235">
        <v>0</v>
      </c>
      <c r="AI15" s="210">
        <v>0</v>
      </c>
      <c r="AJ15" s="198">
        <v>0</v>
      </c>
      <c r="AK15" s="199">
        <v>0</v>
      </c>
      <c r="AL15" s="198">
        <v>0</v>
      </c>
      <c r="AM15" s="199">
        <v>0</v>
      </c>
      <c r="AN15" s="199">
        <v>0</v>
      </c>
      <c r="AO15" s="198">
        <v>0</v>
      </c>
      <c r="AP15" s="199">
        <v>0</v>
      </c>
      <c r="AQ15" s="199">
        <v>0</v>
      </c>
      <c r="AR15" s="199">
        <v>0</v>
      </c>
      <c r="AS15" s="200">
        <v>0</v>
      </c>
      <c r="AT15" s="210">
        <v>0</v>
      </c>
      <c r="AU15" s="198">
        <v>0</v>
      </c>
      <c r="AV15" s="199">
        <v>0</v>
      </c>
      <c r="AW15" s="198">
        <v>0</v>
      </c>
      <c r="AX15" s="199">
        <v>0</v>
      </c>
      <c r="AY15" s="199">
        <v>0</v>
      </c>
      <c r="AZ15" s="198">
        <v>0</v>
      </c>
      <c r="BA15" s="199">
        <v>0</v>
      </c>
      <c r="BB15" s="199">
        <v>0</v>
      </c>
      <c r="BC15" s="199">
        <v>0</v>
      </c>
      <c r="BD15" s="200">
        <v>83</v>
      </c>
      <c r="BE15" s="210">
        <v>0</v>
      </c>
      <c r="BF15" s="198">
        <v>0</v>
      </c>
      <c r="BG15" s="199">
        <v>0</v>
      </c>
      <c r="BH15" s="198">
        <v>0</v>
      </c>
      <c r="BI15" s="199">
        <v>75</v>
      </c>
      <c r="BJ15" s="199">
        <v>0</v>
      </c>
      <c r="BK15" s="198">
        <v>0</v>
      </c>
      <c r="BL15" s="199">
        <v>0</v>
      </c>
      <c r="BM15" s="199">
        <v>2</v>
      </c>
      <c r="BN15" s="199">
        <v>51</v>
      </c>
      <c r="BO15" s="200">
        <v>0</v>
      </c>
      <c r="BP15" s="210">
        <v>0</v>
      </c>
      <c r="BQ15" s="198">
        <v>29</v>
      </c>
      <c r="BR15" s="199">
        <v>0</v>
      </c>
      <c r="BS15" s="213">
        <v>0</v>
      </c>
      <c r="BT15" s="213">
        <v>0</v>
      </c>
      <c r="BU15" s="213">
        <v>0</v>
      </c>
      <c r="BV15" s="213">
        <v>0</v>
      </c>
      <c r="BW15" s="213">
        <v>0</v>
      </c>
      <c r="BX15" s="213">
        <v>0</v>
      </c>
      <c r="BY15" s="213">
        <v>0</v>
      </c>
    </row>
    <row r="16" spans="1:81" s="298" customFormat="1">
      <c r="A16" s="298" t="s">
        <v>762</v>
      </c>
      <c r="B16" s="299"/>
      <c r="C16" s="299"/>
      <c r="D16" s="299"/>
      <c r="E16" s="299"/>
      <c r="F16" s="299"/>
      <c r="G16" s="299"/>
      <c r="H16" s="299"/>
      <c r="I16" s="299"/>
      <c r="J16" s="299"/>
      <c r="K16" s="299"/>
      <c r="L16" s="299"/>
      <c r="M16" s="299"/>
      <c r="N16" s="299"/>
      <c r="O16" s="299"/>
      <c r="P16" s="299"/>
      <c r="Q16" s="299"/>
      <c r="R16" s="299"/>
      <c r="S16" s="299"/>
      <c r="T16" s="299"/>
      <c r="U16" s="299"/>
      <c r="V16" s="299"/>
      <c r="W16" s="299"/>
      <c r="X16" s="299"/>
      <c r="Y16" s="299"/>
      <c r="Z16" s="299"/>
      <c r="AA16" s="299"/>
      <c r="AB16" s="299"/>
      <c r="AC16" s="299"/>
      <c r="AD16" s="299"/>
      <c r="AE16" s="299"/>
      <c r="AF16" s="299"/>
      <c r="AG16" s="299"/>
      <c r="AH16" s="235">
        <v>0</v>
      </c>
      <c r="AI16" s="299"/>
      <c r="AJ16" s="299"/>
      <c r="AK16" s="299"/>
      <c r="AL16" s="299"/>
      <c r="AM16" s="299"/>
      <c r="AN16" s="299"/>
      <c r="AO16" s="299"/>
      <c r="AP16" s="299"/>
      <c r="AQ16" s="299"/>
      <c r="AR16" s="299"/>
      <c r="AS16" s="299"/>
      <c r="AT16" s="299"/>
      <c r="AU16" s="299"/>
      <c r="AV16" s="299"/>
      <c r="AW16" s="299"/>
      <c r="AX16" s="299"/>
      <c r="AY16" s="299"/>
      <c r="AZ16" s="299"/>
      <c r="BA16" s="299"/>
      <c r="BB16" s="299"/>
      <c r="BC16" s="299"/>
      <c r="BD16" s="299"/>
      <c r="BE16" s="299"/>
      <c r="BF16" s="299"/>
      <c r="BG16" s="299"/>
      <c r="BH16" s="299"/>
      <c r="BI16" s="299"/>
      <c r="BJ16" s="299"/>
      <c r="BK16" s="299"/>
      <c r="BL16" s="299"/>
      <c r="BM16" s="299"/>
      <c r="BN16" s="299"/>
      <c r="BO16" s="299"/>
      <c r="BP16" s="299"/>
      <c r="BQ16" s="299"/>
      <c r="BR16" s="299"/>
      <c r="BS16" s="299"/>
      <c r="BT16" s="299"/>
      <c r="BU16" s="299"/>
      <c r="BV16" s="299">
        <v>53000</v>
      </c>
      <c r="BW16" s="299">
        <v>45800</v>
      </c>
      <c r="BX16" s="299">
        <v>45800</v>
      </c>
      <c r="BY16" s="300">
        <v>45800</v>
      </c>
      <c r="BZ16" s="297"/>
      <c r="CA16" s="297"/>
      <c r="CB16" s="297"/>
      <c r="CC16" s="297"/>
    </row>
    <row r="17" spans="1:81" s="298" customFormat="1">
      <c r="A17" s="298" t="s">
        <v>763</v>
      </c>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c r="AA17" s="303"/>
      <c r="AB17" s="303"/>
      <c r="AC17" s="303"/>
      <c r="AD17" s="303"/>
      <c r="AE17" s="303"/>
      <c r="AF17" s="303"/>
      <c r="AG17" s="303"/>
      <c r="AH17" s="235">
        <v>0</v>
      </c>
      <c r="AI17" s="303"/>
      <c r="AJ17" s="303"/>
      <c r="AK17" s="303"/>
      <c r="AL17" s="303"/>
      <c r="AM17" s="303"/>
      <c r="AN17" s="303"/>
      <c r="AO17" s="303"/>
      <c r="AP17" s="303"/>
      <c r="AQ17" s="303"/>
      <c r="AR17" s="303">
        <f>OCO_CBO_TOA!C11*1000</f>
        <v>2028</v>
      </c>
      <c r="AS17" s="303">
        <f>OCO_CBO_TOA!D11*1000</f>
        <v>35843</v>
      </c>
      <c r="AT17" s="303">
        <f>OCO_CBO_TOA!E11*1000</f>
        <v>12597</v>
      </c>
      <c r="AU17" s="303"/>
      <c r="AV17" s="303"/>
      <c r="AW17" s="303"/>
      <c r="AX17" s="303"/>
      <c r="AY17" s="303"/>
      <c r="AZ17" s="303"/>
      <c r="BA17" s="303"/>
      <c r="BB17" s="303"/>
      <c r="BC17" s="299">
        <f>OCO_CBO_TOA!G11*1000</f>
        <v>15507.000000000004</v>
      </c>
      <c r="BD17" s="299">
        <f>OCO_CBO_TOA!H11*1000</f>
        <v>30685.999999999996</v>
      </c>
      <c r="BE17" s="299">
        <f>OCO_CBO_TOA!I11*1000</f>
        <v>78576</v>
      </c>
      <c r="BF17" s="299">
        <f>OCO_CBO_TOA!J11*1000</f>
        <v>69211.253000000012</v>
      </c>
      <c r="BG17" s="299">
        <f>OCO_CBO_TOA!K11*1000</f>
        <v>101449.74700000002</v>
      </c>
      <c r="BH17" s="299">
        <f>OCO_CBO_TOA!L11*1000</f>
        <v>123724</v>
      </c>
      <c r="BI17" s="299">
        <f>OCO_CBO_TOA!M11*1000</f>
        <v>169070.00000000003</v>
      </c>
      <c r="BJ17" s="299">
        <f>OCO_CBO_TOA!N11*1000</f>
        <v>186781</v>
      </c>
      <c r="BK17" s="299">
        <f>OCO_CBO_TOA!O11*1000</f>
        <v>153135</v>
      </c>
      <c r="BL17" s="299">
        <f>OCO_CBO_TOA!P11*1000</f>
        <v>160360</v>
      </c>
      <c r="BM17" s="299">
        <f>OCO_CBO_TOA!Q11*1000</f>
        <v>158907.00000000003</v>
      </c>
      <c r="BN17" s="299">
        <f>OCO_CBO_TOA!R11*1000</f>
        <v>115082.99999999999</v>
      </c>
      <c r="BO17" s="299">
        <f>OCO_CBO_TOA!S11*1000</f>
        <v>82282.000000000015</v>
      </c>
      <c r="BP17" s="299">
        <f>OCO_CBO_TOA!T11*1000</f>
        <v>85192</v>
      </c>
      <c r="BQ17" s="299">
        <f>OCO_CBO_TOA!U11*1000</f>
        <v>64336.999999999985</v>
      </c>
      <c r="BR17" s="299">
        <f>OCO_CBO_TOA!V11*1000</f>
        <v>58640</v>
      </c>
      <c r="BS17" s="299">
        <f>OCO_CBO_TOA!W11*1000</f>
        <v>82490.000000000015</v>
      </c>
      <c r="BT17" s="299">
        <f>OCO_CBO_TOA!X11*1000</f>
        <v>88118.000000000015</v>
      </c>
      <c r="BU17" s="299">
        <f>OCO_CBO_TOA!Y11*1000</f>
        <v>69000.000000000015</v>
      </c>
      <c r="BV17" s="303">
        <v>20000</v>
      </c>
      <c r="BW17" s="303">
        <v>20000</v>
      </c>
      <c r="BX17" s="303">
        <v>20000</v>
      </c>
      <c r="BY17" s="304">
        <v>20000</v>
      </c>
      <c r="BZ17" s="297"/>
      <c r="CA17" s="297"/>
      <c r="CB17" s="297"/>
      <c r="CC17" s="297"/>
    </row>
    <row r="18" spans="1:81" s="211" customFormat="1">
      <c r="A18" s="372" t="s">
        <v>772</v>
      </c>
      <c r="B18" s="373">
        <v>11903</v>
      </c>
      <c r="C18" s="374">
        <v>13204</v>
      </c>
      <c r="D18" s="375">
        <v>14337</v>
      </c>
      <c r="E18" s="374">
        <v>45173</v>
      </c>
      <c r="F18" s="375">
        <v>57188</v>
      </c>
      <c r="G18" s="375">
        <v>44283</v>
      </c>
      <c r="H18" s="374">
        <v>30429</v>
      </c>
      <c r="I18" s="375">
        <v>33790</v>
      </c>
      <c r="J18" s="375">
        <v>38065</v>
      </c>
      <c r="K18" s="375">
        <v>39724</v>
      </c>
      <c r="L18" s="376">
        <v>41124</v>
      </c>
      <c r="M18" s="373">
        <v>42193</v>
      </c>
      <c r="N18" s="374">
        <v>40257</v>
      </c>
      <c r="O18" s="375">
        <v>44643</v>
      </c>
      <c r="P18" s="374">
        <v>48434</v>
      </c>
      <c r="Q18" s="375">
        <v>49420</v>
      </c>
      <c r="R18" s="375">
        <v>49547</v>
      </c>
      <c r="S18" s="374">
        <v>49560</v>
      </c>
      <c r="T18" s="375">
        <v>64531</v>
      </c>
      <c r="U18" s="375">
        <v>71590</v>
      </c>
      <c r="V18" s="375">
        <v>74965</v>
      </c>
      <c r="W18" s="376">
        <v>77752</v>
      </c>
      <c r="X18" s="373">
        <v>75512</v>
      </c>
      <c r="Y18" s="374">
        <v>72846</v>
      </c>
      <c r="Z18" s="375">
        <v>76467</v>
      </c>
      <c r="AA18" s="374">
        <v>78925</v>
      </c>
      <c r="AB18" s="375">
        <v>81693</v>
      </c>
      <c r="AC18" s="375">
        <v>86132</v>
      </c>
      <c r="AD18" s="374">
        <v>95658</v>
      </c>
      <c r="AE18" s="375">
        <v>107567</v>
      </c>
      <c r="AF18" s="375">
        <v>116128</v>
      </c>
      <c r="AG18" s="375">
        <v>124721</v>
      </c>
      <c r="AH18" s="377">
        <v>141983</v>
      </c>
      <c r="AI18" s="373">
        <v>175549</v>
      </c>
      <c r="AJ18" s="374">
        <v>210667</v>
      </c>
      <c r="AK18" s="375">
        <v>235493</v>
      </c>
      <c r="AL18" s="374">
        <v>255271</v>
      </c>
      <c r="AM18" s="375">
        <v>276173</v>
      </c>
      <c r="AN18" s="375">
        <v>278140</v>
      </c>
      <c r="AO18" s="374">
        <v>282718</v>
      </c>
      <c r="AP18" s="375">
        <v>287806</v>
      </c>
      <c r="AQ18" s="375">
        <v>291540</v>
      </c>
      <c r="AR18" s="375">
        <v>291356</v>
      </c>
      <c r="AS18" s="376">
        <v>310620</v>
      </c>
      <c r="AT18" s="373">
        <v>285195</v>
      </c>
      <c r="AU18" s="374">
        <v>269655</v>
      </c>
      <c r="AV18" s="375">
        <v>251339</v>
      </c>
      <c r="AW18" s="374">
        <v>254215</v>
      </c>
      <c r="AX18" s="375">
        <v>255052</v>
      </c>
      <c r="AY18" s="375">
        <v>254186</v>
      </c>
      <c r="AZ18" s="374">
        <v>259123</v>
      </c>
      <c r="BA18" s="375">
        <v>272729</v>
      </c>
      <c r="BB18" s="375">
        <v>286958</v>
      </c>
      <c r="BC18" s="375">
        <v>316540</v>
      </c>
      <c r="BD18" s="376">
        <v>355378</v>
      </c>
      <c r="BE18" s="373">
        <v>433024</v>
      </c>
      <c r="BF18" s="374">
        <v>456052</v>
      </c>
      <c r="BG18" s="375">
        <v>502476</v>
      </c>
      <c r="BH18" s="374">
        <v>536272</v>
      </c>
      <c r="BI18" s="375">
        <v>603872</v>
      </c>
      <c r="BJ18" s="375">
        <v>669279</v>
      </c>
      <c r="BK18" s="374">
        <v>665861</v>
      </c>
      <c r="BL18" s="375">
        <v>691791</v>
      </c>
      <c r="BM18" s="375">
        <v>689092</v>
      </c>
      <c r="BN18" s="375">
        <v>652288</v>
      </c>
      <c r="BO18" s="376">
        <v>585393</v>
      </c>
      <c r="BP18" s="373">
        <v>581188</v>
      </c>
      <c r="BQ18" s="374">
        <v>565403</v>
      </c>
      <c r="BR18" s="375">
        <v>587978</v>
      </c>
      <c r="BS18" s="378">
        <v>609287</v>
      </c>
      <c r="BT18" s="378">
        <v>612465</v>
      </c>
      <c r="BU18" s="378">
        <v>686356</v>
      </c>
      <c r="BV18" s="378">
        <v>681315.51879999996</v>
      </c>
      <c r="BW18" s="378">
        <v>693974.51087999996</v>
      </c>
      <c r="BX18" s="378">
        <v>707398.70987999975</v>
      </c>
      <c r="BY18" s="378">
        <v>721794.76287999994</v>
      </c>
    </row>
    <row r="19" spans="1:81" s="302" customFormat="1">
      <c r="A19" s="371" t="s">
        <v>775</v>
      </c>
      <c r="B19" s="309">
        <f t="shared" ref="B19:BC19" si="0">SUM(B7:B16)-B17</f>
        <v>11903</v>
      </c>
      <c r="C19" s="309">
        <f t="shared" si="0"/>
        <v>13204</v>
      </c>
      <c r="D19" s="309">
        <f t="shared" si="0"/>
        <v>14338</v>
      </c>
      <c r="E19" s="309">
        <f t="shared" si="0"/>
        <v>45173</v>
      </c>
      <c r="F19" s="309">
        <f t="shared" si="0"/>
        <v>57189</v>
      </c>
      <c r="G19" s="309">
        <f t="shared" si="0"/>
        <v>44283</v>
      </c>
      <c r="H19" s="309">
        <f t="shared" si="0"/>
        <v>30430</v>
      </c>
      <c r="I19" s="309">
        <f t="shared" si="0"/>
        <v>33789</v>
      </c>
      <c r="J19" s="309">
        <f t="shared" si="0"/>
        <v>38065</v>
      </c>
      <c r="K19" s="309">
        <f t="shared" si="0"/>
        <v>39723</v>
      </c>
      <c r="L19" s="309">
        <f t="shared" si="0"/>
        <v>41123</v>
      </c>
      <c r="M19" s="309">
        <f t="shared" si="0"/>
        <v>42195</v>
      </c>
      <c r="N19" s="309">
        <f t="shared" si="0"/>
        <v>40258</v>
      </c>
      <c r="O19" s="309">
        <f t="shared" si="0"/>
        <v>44642</v>
      </c>
      <c r="P19" s="309">
        <f t="shared" si="0"/>
        <v>48434</v>
      </c>
      <c r="Q19" s="309">
        <f t="shared" si="0"/>
        <v>49420</v>
      </c>
      <c r="R19" s="309">
        <f t="shared" si="0"/>
        <v>49547</v>
      </c>
      <c r="S19" s="309">
        <f t="shared" si="0"/>
        <v>49561</v>
      </c>
      <c r="T19" s="309">
        <f t="shared" si="0"/>
        <v>64530</v>
      </c>
      <c r="U19" s="309">
        <f t="shared" si="0"/>
        <v>71590</v>
      </c>
      <c r="V19" s="309">
        <f t="shared" si="0"/>
        <v>74964</v>
      </c>
      <c r="W19" s="309">
        <f t="shared" si="0"/>
        <v>77753</v>
      </c>
      <c r="X19" s="309">
        <f t="shared" si="0"/>
        <v>75511</v>
      </c>
      <c r="Y19" s="309">
        <f t="shared" si="0"/>
        <v>72846</v>
      </c>
      <c r="Z19" s="309">
        <f t="shared" si="0"/>
        <v>76466</v>
      </c>
      <c r="AA19" s="309">
        <f t="shared" si="0"/>
        <v>78925</v>
      </c>
      <c r="AB19" s="309">
        <f t="shared" si="0"/>
        <v>81694</v>
      </c>
      <c r="AC19" s="309">
        <f t="shared" si="0"/>
        <v>86132</v>
      </c>
      <c r="AD19" s="309">
        <f t="shared" si="0"/>
        <v>95659</v>
      </c>
      <c r="AE19" s="309">
        <f t="shared" si="0"/>
        <v>107568</v>
      </c>
      <c r="AF19" s="309">
        <f t="shared" si="0"/>
        <v>116128</v>
      </c>
      <c r="AG19" s="309">
        <f t="shared" si="0"/>
        <v>124722</v>
      </c>
      <c r="AH19" s="309">
        <f t="shared" si="0"/>
        <v>141983</v>
      </c>
      <c r="AI19" s="309">
        <f t="shared" si="0"/>
        <v>175549</v>
      </c>
      <c r="AJ19" s="309">
        <f t="shared" si="0"/>
        <v>210667</v>
      </c>
      <c r="AK19" s="309">
        <f t="shared" si="0"/>
        <v>235492</v>
      </c>
      <c r="AL19" s="309">
        <f t="shared" si="0"/>
        <v>255272</v>
      </c>
      <c r="AM19" s="309">
        <f t="shared" si="0"/>
        <v>276173</v>
      </c>
      <c r="AN19" s="309">
        <f t="shared" si="0"/>
        <v>278140</v>
      </c>
      <c r="AO19" s="309">
        <f t="shared" si="0"/>
        <v>282719</v>
      </c>
      <c r="AP19" s="309">
        <f t="shared" si="0"/>
        <v>287806</v>
      </c>
      <c r="AQ19" s="309">
        <f t="shared" si="0"/>
        <v>291541</v>
      </c>
      <c r="AR19" s="309">
        <f t="shared" si="0"/>
        <v>289329</v>
      </c>
      <c r="AS19" s="309">
        <f t="shared" si="0"/>
        <v>274777</v>
      </c>
      <c r="AT19" s="309">
        <f t="shared" si="0"/>
        <v>272598</v>
      </c>
      <c r="AU19" s="309">
        <f t="shared" si="0"/>
        <v>269656</v>
      </c>
      <c r="AV19" s="309">
        <f t="shared" si="0"/>
        <v>251339</v>
      </c>
      <c r="AW19" s="309">
        <f t="shared" si="0"/>
        <v>254215</v>
      </c>
      <c r="AX19" s="309">
        <f t="shared" si="0"/>
        <v>255052</v>
      </c>
      <c r="AY19" s="309">
        <f t="shared" si="0"/>
        <v>254187</v>
      </c>
      <c r="AZ19" s="309">
        <f t="shared" si="0"/>
        <v>259124</v>
      </c>
      <c r="BA19" s="309">
        <f t="shared" si="0"/>
        <v>272731</v>
      </c>
      <c r="BB19" s="309">
        <f t="shared" si="0"/>
        <v>286958</v>
      </c>
      <c r="BC19" s="309">
        <f t="shared" si="0"/>
        <v>301033</v>
      </c>
      <c r="BD19" s="309">
        <f t="shared" ref="BD19:BU19" si="1">SUM(BD7:BD16)-BD17</f>
        <v>324691</v>
      </c>
      <c r="BE19" s="309">
        <f t="shared" si="1"/>
        <v>354446</v>
      </c>
      <c r="BF19" s="309">
        <f t="shared" si="1"/>
        <v>386840.74699999997</v>
      </c>
      <c r="BG19" s="309">
        <f t="shared" si="1"/>
        <v>401025.25299999997</v>
      </c>
      <c r="BH19" s="309">
        <f t="shared" si="1"/>
        <v>412547</v>
      </c>
      <c r="BI19" s="309">
        <f t="shared" si="1"/>
        <v>434802</v>
      </c>
      <c r="BJ19" s="309">
        <f t="shared" si="1"/>
        <v>482499</v>
      </c>
      <c r="BK19" s="309">
        <f t="shared" si="1"/>
        <v>512727</v>
      </c>
      <c r="BL19" s="309">
        <f t="shared" si="1"/>
        <v>531431</v>
      </c>
      <c r="BM19" s="309">
        <f t="shared" si="1"/>
        <v>530186</v>
      </c>
      <c r="BN19" s="309">
        <f t="shared" si="1"/>
        <v>537205</v>
      </c>
      <c r="BO19" s="309">
        <f t="shared" si="1"/>
        <v>503111</v>
      </c>
      <c r="BP19" s="309">
        <f t="shared" si="1"/>
        <v>495997</v>
      </c>
      <c r="BQ19" s="309">
        <f t="shared" si="1"/>
        <v>501067</v>
      </c>
      <c r="BR19" s="309">
        <f t="shared" si="1"/>
        <v>529339</v>
      </c>
      <c r="BS19" s="309">
        <f t="shared" si="1"/>
        <v>526797</v>
      </c>
      <c r="BT19" s="309">
        <f t="shared" si="1"/>
        <v>524347</v>
      </c>
      <c r="BU19" s="309">
        <f t="shared" si="1"/>
        <v>617356</v>
      </c>
      <c r="BV19" s="309">
        <f>SUM(BV7:BV16)</f>
        <v>734315.51879999996</v>
      </c>
      <c r="BW19" s="309">
        <f>SUM(BW7:BW16)</f>
        <v>739774.51087999996</v>
      </c>
      <c r="BX19" s="309">
        <f>SUM(BX7:BX16)</f>
        <v>753198.70987999975</v>
      </c>
      <c r="BY19" s="309">
        <f>SUM(BY7:BY16)</f>
        <v>767594.76287999994</v>
      </c>
      <c r="BZ19" s="301"/>
    </row>
    <row r="20" spans="1:81" ht="15" customHeight="1">
      <c r="A20" s="214" t="s">
        <v>760</v>
      </c>
      <c r="B20" s="214"/>
      <c r="C20" s="214"/>
      <c r="D20" s="214"/>
      <c r="E20" s="214"/>
      <c r="F20" s="214"/>
      <c r="G20" s="214"/>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c r="AE20" s="214"/>
      <c r="AF20" s="214"/>
      <c r="AG20" s="214"/>
      <c r="AH20" s="236"/>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192"/>
      <c r="BU20" s="214"/>
      <c r="BV20" s="214"/>
      <c r="BW20" s="214"/>
      <c r="BX20" s="214"/>
      <c r="BY20" s="214"/>
    </row>
    <row r="21" spans="1:81" s="201" customFormat="1" ht="15.5" customHeight="1">
      <c r="A21" s="194" t="s">
        <v>372</v>
      </c>
      <c r="B21" s="195">
        <f t="shared" ref="B21:AG21" si="2">B7/B$4</f>
        <v>36615.034618224767</v>
      </c>
      <c r="C21" s="196">
        <f t="shared" si="2"/>
        <v>39807.602617781704</v>
      </c>
      <c r="D21" s="196">
        <f t="shared" si="2"/>
        <v>42818.860899423998</v>
      </c>
      <c r="E21" s="197">
        <f t="shared" si="2"/>
        <v>70075.010252996028</v>
      </c>
      <c r="F21" s="197">
        <f t="shared" si="2"/>
        <v>88085.708399595649</v>
      </c>
      <c r="G21" s="197">
        <f t="shared" si="2"/>
        <v>94584.350527778675</v>
      </c>
      <c r="H21" s="198">
        <f t="shared" si="2"/>
        <v>85872.079760620021</v>
      </c>
      <c r="I21" s="199">
        <f t="shared" si="2"/>
        <v>84065.314577756159</v>
      </c>
      <c r="J21" s="199">
        <f t="shared" si="2"/>
        <v>80810.121306238667</v>
      </c>
      <c r="K21" s="199">
        <f t="shared" si="2"/>
        <v>78310.53642808141</v>
      </c>
      <c r="L21" s="200">
        <f t="shared" si="2"/>
        <v>76307.678197558285</v>
      </c>
      <c r="M21" s="195">
        <f t="shared" si="2"/>
        <v>77253.211787853637</v>
      </c>
      <c r="N21" s="196">
        <f t="shared" si="2"/>
        <v>75837.338794813564</v>
      </c>
      <c r="O21" s="196">
        <f t="shared" si="2"/>
        <v>75574.613164686176</v>
      </c>
      <c r="P21" s="197">
        <f t="shared" si="2"/>
        <v>80070.622943182301</v>
      </c>
      <c r="Q21" s="197">
        <f t="shared" si="2"/>
        <v>78368.613306339772</v>
      </c>
      <c r="R21" s="197">
        <f t="shared" si="2"/>
        <v>83471.701249349309</v>
      </c>
      <c r="S21" s="198">
        <f t="shared" si="2"/>
        <v>84865.643898695344</v>
      </c>
      <c r="T21" s="199">
        <f t="shared" si="2"/>
        <v>95587.188210798253</v>
      </c>
      <c r="U21" s="199">
        <f t="shared" si="2"/>
        <v>109453.92073049083</v>
      </c>
      <c r="V21" s="199">
        <f t="shared" si="2"/>
        <v>115804.39648689075</v>
      </c>
      <c r="W21" s="200">
        <f t="shared" si="2"/>
        <v>118631.12822240348</v>
      </c>
      <c r="X21" s="195">
        <f t="shared" si="2"/>
        <v>120978.97280488213</v>
      </c>
      <c r="Y21" s="196">
        <f t="shared" si="2"/>
        <v>113369.35956567696</v>
      </c>
      <c r="Z21" s="196">
        <f t="shared" si="2"/>
        <v>110711.98493946437</v>
      </c>
      <c r="AA21" s="197">
        <f t="shared" si="2"/>
        <v>108378.7890374828</v>
      </c>
      <c r="AB21" s="197">
        <f t="shared" si="2"/>
        <v>103190.29058369594</v>
      </c>
      <c r="AC21" s="197">
        <f t="shared" si="2"/>
        <v>96560.556592697933</v>
      </c>
      <c r="AD21" s="198">
        <f t="shared" si="2"/>
        <v>92264.567843779951</v>
      </c>
      <c r="AE21" s="199">
        <f t="shared" si="2"/>
        <v>87818.511049412977</v>
      </c>
      <c r="AF21" s="199">
        <f t="shared" si="2"/>
        <v>86206.210265142319</v>
      </c>
      <c r="AG21" s="199">
        <f t="shared" si="2"/>
        <v>84104.500953870229</v>
      </c>
      <c r="AH21" s="235">
        <f t="shared" ref="AH21:BM21" si="3">AH7/AH$4</f>
        <v>83888.852103315949</v>
      </c>
      <c r="AI21" s="195">
        <f t="shared" si="3"/>
        <v>90379.607808569534</v>
      </c>
      <c r="AJ21" s="196">
        <f t="shared" si="3"/>
        <v>98576.285494161668</v>
      </c>
      <c r="AK21" s="196">
        <f t="shared" si="3"/>
        <v>100616.44112758893</v>
      </c>
      <c r="AL21" s="197">
        <f t="shared" si="3"/>
        <v>102588.66801662417</v>
      </c>
      <c r="AM21" s="197">
        <f t="shared" si="3"/>
        <v>140320.6190608778</v>
      </c>
      <c r="AN21" s="197">
        <f t="shared" si="3"/>
        <v>144478.71610382359</v>
      </c>
      <c r="AO21" s="198">
        <f t="shared" si="3"/>
        <v>146834.69942921944</v>
      </c>
      <c r="AP21" s="199">
        <f t="shared" si="3"/>
        <v>146195.90326502218</v>
      </c>
      <c r="AQ21" s="199">
        <f t="shared" si="3"/>
        <v>144056.73851739982</v>
      </c>
      <c r="AR21" s="199">
        <f t="shared" si="3"/>
        <v>139758.61567542056</v>
      </c>
      <c r="AS21" s="200">
        <f t="shared" si="3"/>
        <v>143713.35499990886</v>
      </c>
      <c r="AT21" s="195">
        <f t="shared" si="3"/>
        <v>135402.26931126535</v>
      </c>
      <c r="AU21" s="196">
        <f t="shared" si="3"/>
        <v>123986.39536261512</v>
      </c>
      <c r="AV21" s="196">
        <f t="shared" si="3"/>
        <v>113856.1414938903</v>
      </c>
      <c r="AW21" s="197">
        <f t="shared" si="3"/>
        <v>111775.18487524326</v>
      </c>
      <c r="AX21" s="197">
        <f t="shared" si="3"/>
        <v>106998.54341685203</v>
      </c>
      <c r="AY21" s="197">
        <f t="shared" si="3"/>
        <v>105878.57967967037</v>
      </c>
      <c r="AZ21" s="198">
        <f t="shared" si="3"/>
        <v>103841.46816571205</v>
      </c>
      <c r="BA21" s="199">
        <f t="shared" si="3"/>
        <v>104078.1677010961</v>
      </c>
      <c r="BB21" s="199">
        <f t="shared" si="3"/>
        <v>106014.1774046702</v>
      </c>
      <c r="BC21" s="199">
        <f t="shared" si="3"/>
        <v>108753.60080809415</v>
      </c>
      <c r="BD21" s="200">
        <f t="shared" si="3"/>
        <v>120739.24380981622</v>
      </c>
      <c r="BE21" s="195">
        <f t="shared" si="3"/>
        <v>148264.99682123118</v>
      </c>
      <c r="BF21" s="196">
        <f t="shared" si="3"/>
        <v>153291.43997659511</v>
      </c>
      <c r="BG21" s="196">
        <f t="shared" si="3"/>
        <v>156025.48381798004</v>
      </c>
      <c r="BH21" s="197">
        <f t="shared" si="3"/>
        <v>157788.4019211526</v>
      </c>
      <c r="BI21" s="197">
        <f t="shared" si="3"/>
        <v>158001.35072040602</v>
      </c>
      <c r="BJ21" s="197">
        <f t="shared" si="3"/>
        <v>162774.56627790112</v>
      </c>
      <c r="BK21" s="198">
        <f t="shared" si="3"/>
        <v>170507.164958298</v>
      </c>
      <c r="BL21" s="199">
        <f t="shared" si="3"/>
        <v>178122.32389506977</v>
      </c>
      <c r="BM21" s="199">
        <f t="shared" si="3"/>
        <v>175296.87172949003</v>
      </c>
      <c r="BN21" s="199">
        <f t="shared" ref="BN21:BT21" si="4">BN7/BN$4</f>
        <v>171013.50743883342</v>
      </c>
      <c r="BO21" s="200">
        <f t="shared" si="4"/>
        <v>161138.05174863595</v>
      </c>
      <c r="BP21" s="195">
        <f t="shared" si="4"/>
        <v>155413.01059927917</v>
      </c>
      <c r="BQ21" s="196">
        <f t="shared" si="4"/>
        <v>148666.07096103896</v>
      </c>
      <c r="BR21" s="196">
        <f t="shared" si="4"/>
        <v>146195.42669906959</v>
      </c>
      <c r="BS21" s="195">
        <f t="shared" si="4"/>
        <v>144483.64952735245</v>
      </c>
      <c r="BT21" s="202">
        <f t="shared" si="4"/>
        <v>142553.08661980493</v>
      </c>
      <c r="BU21" s="202">
        <f t="shared" ref="BU21:BY21" si="5">BU7/BU$4</f>
        <v>152883</v>
      </c>
      <c r="BV21" s="202">
        <f t="shared" si="5"/>
        <v>153364.44925907769</v>
      </c>
      <c r="BW21" s="202">
        <f t="shared" si="5"/>
        <v>155019.9667411492</v>
      </c>
      <c r="BX21" s="202">
        <f t="shared" si="5"/>
        <v>156157.26380324314</v>
      </c>
      <c r="BY21" s="202">
        <f t="shared" si="5"/>
        <v>156701.2134394137</v>
      </c>
    </row>
    <row r="22" spans="1:81" s="201" customFormat="1">
      <c r="A22" s="194" t="s">
        <v>373</v>
      </c>
      <c r="B22" s="195">
        <f t="shared" ref="B22:AG22" si="6">B8/B$4</f>
        <v>1514.0905146950224</v>
      </c>
      <c r="C22" s="196">
        <f t="shared" si="6"/>
        <v>1669.8255390636532</v>
      </c>
      <c r="D22" s="196">
        <f t="shared" si="6"/>
        <v>1706.862727071333</v>
      </c>
      <c r="E22" s="197">
        <f t="shared" si="6"/>
        <v>2664.1989347536623</v>
      </c>
      <c r="F22" s="197">
        <f t="shared" si="6"/>
        <v>2617.0334332884086</v>
      </c>
      <c r="G22" s="197">
        <f t="shared" si="6"/>
        <v>2764.3074286092447</v>
      </c>
      <c r="H22" s="198">
        <f t="shared" si="6"/>
        <v>2962.1646816442649</v>
      </c>
      <c r="I22" s="199">
        <f t="shared" si="6"/>
        <v>3213.3661912874181</v>
      </c>
      <c r="J22" s="199">
        <f t="shared" si="6"/>
        <v>3555.1109575393389</v>
      </c>
      <c r="K22" s="199">
        <f t="shared" si="6"/>
        <v>3656.1611799679849</v>
      </c>
      <c r="L22" s="200">
        <f t="shared" si="6"/>
        <v>3896.2963018867931</v>
      </c>
      <c r="M22" s="195">
        <f t="shared" si="6"/>
        <v>4343.5266057452682</v>
      </c>
      <c r="N22" s="196">
        <f t="shared" si="6"/>
        <v>4675.3203260213322</v>
      </c>
      <c r="O22" s="196">
        <f t="shared" si="6"/>
        <v>5244.1700575706864</v>
      </c>
      <c r="P22" s="197">
        <f t="shared" si="6"/>
        <v>5900.9111825210839</v>
      </c>
      <c r="Q22" s="197">
        <f t="shared" si="6"/>
        <v>6605.5590853624699</v>
      </c>
      <c r="R22" s="197">
        <f t="shared" si="6"/>
        <v>7785.8915668922455</v>
      </c>
      <c r="S22" s="198">
        <f t="shared" si="6"/>
        <v>8758.2861089792805</v>
      </c>
      <c r="T22" s="199">
        <f t="shared" si="6"/>
        <v>9846.3153433575426</v>
      </c>
      <c r="U22" s="199">
        <f t="shared" si="6"/>
        <v>10989.807460930506</v>
      </c>
      <c r="V22" s="199">
        <f t="shared" si="6"/>
        <v>12142.608178300803</v>
      </c>
      <c r="W22" s="200">
        <f t="shared" si="6"/>
        <v>13552.295826389138</v>
      </c>
      <c r="X22" s="195">
        <f t="shared" si="6"/>
        <v>15021.020515812024</v>
      </c>
      <c r="Y22" s="196">
        <f t="shared" si="6"/>
        <v>16981.602632843282</v>
      </c>
      <c r="Z22" s="196">
        <f t="shared" si="6"/>
        <v>18601.06750030574</v>
      </c>
      <c r="AA22" s="197">
        <f t="shared" si="6"/>
        <v>20136.20040833472</v>
      </c>
      <c r="AB22" s="197">
        <f t="shared" si="6"/>
        <v>21991.724308349072</v>
      </c>
      <c r="AC22" s="197">
        <f t="shared" si="6"/>
        <v>24209.013967524308</v>
      </c>
      <c r="AD22" s="198">
        <f t="shared" si="6"/>
        <v>26580.032403599369</v>
      </c>
      <c r="AE22" s="199">
        <f t="shared" si="6"/>
        <v>27817.487274641589</v>
      </c>
      <c r="AF22" s="199">
        <f t="shared" si="6"/>
        <v>29089.522026270984</v>
      </c>
      <c r="AG22" s="199">
        <f t="shared" si="6"/>
        <v>30183.681633776396</v>
      </c>
      <c r="AH22" s="235">
        <f t="shared" ref="AH22:BM22" si="7">AH8/AH$4</f>
        <v>32189.12335655967</v>
      </c>
      <c r="AI22" s="195">
        <f t="shared" si="7"/>
        <v>33755.231523561975</v>
      </c>
      <c r="AJ22" s="196">
        <f t="shared" si="7"/>
        <v>34386.27344282555</v>
      </c>
      <c r="AK22" s="196">
        <f t="shared" si="7"/>
        <v>35173.204385589939</v>
      </c>
      <c r="AL22" s="197">
        <f t="shared" si="7"/>
        <v>35141.68147203746</v>
      </c>
      <c r="AM22" s="197">
        <f t="shared" si="7"/>
        <v>0</v>
      </c>
      <c r="AN22" s="197">
        <f t="shared" si="7"/>
        <v>0</v>
      </c>
      <c r="AO22" s="198">
        <f t="shared" si="7"/>
        <v>0</v>
      </c>
      <c r="AP22" s="199">
        <f t="shared" si="7"/>
        <v>0</v>
      </c>
      <c r="AQ22" s="199">
        <f t="shared" si="7"/>
        <v>0</v>
      </c>
      <c r="AR22" s="199">
        <f t="shared" si="7"/>
        <v>0</v>
      </c>
      <c r="AS22" s="200">
        <f t="shared" si="7"/>
        <v>0</v>
      </c>
      <c r="AT22" s="195">
        <f t="shared" si="7"/>
        <v>0</v>
      </c>
      <c r="AU22" s="196">
        <f t="shared" si="7"/>
        <v>0</v>
      </c>
      <c r="AV22" s="196">
        <f t="shared" si="7"/>
        <v>0</v>
      </c>
      <c r="AW22" s="197">
        <f t="shared" si="7"/>
        <v>0</v>
      </c>
      <c r="AX22" s="197">
        <f t="shared" si="7"/>
        <v>0</v>
      </c>
      <c r="AY22" s="197">
        <f t="shared" si="7"/>
        <v>0</v>
      </c>
      <c r="AZ22" s="198">
        <f t="shared" si="7"/>
        <v>0</v>
      </c>
      <c r="BA22" s="199">
        <f t="shared" si="7"/>
        <v>0</v>
      </c>
      <c r="BB22" s="199">
        <f t="shared" si="7"/>
        <v>0</v>
      </c>
      <c r="BC22" s="199">
        <f t="shared" si="7"/>
        <v>0</v>
      </c>
      <c r="BD22" s="200">
        <f t="shared" si="7"/>
        <v>0</v>
      </c>
      <c r="BE22" s="195">
        <f t="shared" si="7"/>
        <v>0</v>
      </c>
      <c r="BF22" s="196">
        <f t="shared" si="7"/>
        <v>0</v>
      </c>
      <c r="BG22" s="196">
        <f t="shared" si="7"/>
        <v>0</v>
      </c>
      <c r="BH22" s="197">
        <f t="shared" si="7"/>
        <v>0</v>
      </c>
      <c r="BI22" s="197">
        <f t="shared" si="7"/>
        <v>0</v>
      </c>
      <c r="BJ22" s="197">
        <f t="shared" si="7"/>
        <v>0</v>
      </c>
      <c r="BK22" s="198">
        <f t="shared" si="7"/>
        <v>0</v>
      </c>
      <c r="BL22" s="199">
        <f t="shared" si="7"/>
        <v>0</v>
      </c>
      <c r="BM22" s="199">
        <f t="shared" si="7"/>
        <v>0</v>
      </c>
      <c r="BN22" s="199">
        <f t="shared" ref="BN22:BT22" si="8">BN8/BN$4</f>
        <v>0</v>
      </c>
      <c r="BO22" s="200">
        <f t="shared" si="8"/>
        <v>0</v>
      </c>
      <c r="BP22" s="195">
        <f t="shared" si="8"/>
        <v>0</v>
      </c>
      <c r="BQ22" s="196">
        <f t="shared" si="8"/>
        <v>0</v>
      </c>
      <c r="BR22" s="196">
        <f t="shared" si="8"/>
        <v>0</v>
      </c>
      <c r="BS22" s="195">
        <f t="shared" si="8"/>
        <v>0</v>
      </c>
      <c r="BT22" s="202">
        <f t="shared" si="8"/>
        <v>0</v>
      </c>
      <c r="BU22" s="202">
        <f t="shared" ref="BU22:BY29" si="9">BU8/BU$4</f>
        <v>0</v>
      </c>
      <c r="BV22" s="202">
        <f t="shared" si="9"/>
        <v>0</v>
      </c>
      <c r="BW22" s="202">
        <f t="shared" si="9"/>
        <v>0</v>
      </c>
      <c r="BX22" s="202">
        <f t="shared" si="9"/>
        <v>0</v>
      </c>
      <c r="BY22" s="202">
        <f t="shared" si="9"/>
        <v>0</v>
      </c>
    </row>
    <row r="23" spans="1:81" s="201" customFormat="1">
      <c r="A23" s="194" t="s">
        <v>374</v>
      </c>
      <c r="B23" s="195">
        <f t="shared" ref="B23:AG23" si="10">B9/B$4</f>
        <v>33578.201643036467</v>
      </c>
      <c r="C23" s="196">
        <f t="shared" si="10"/>
        <v>38380.031561069249</v>
      </c>
      <c r="D23" s="196">
        <f t="shared" si="10"/>
        <v>36433.288159060685</v>
      </c>
      <c r="E23" s="197">
        <f t="shared" si="10"/>
        <v>96009.835685752347</v>
      </c>
      <c r="F23" s="197">
        <f t="shared" si="10"/>
        <v>108009.95085242583</v>
      </c>
      <c r="G23" s="197">
        <f t="shared" si="10"/>
        <v>84513.264193772528</v>
      </c>
      <c r="H23" s="198">
        <f t="shared" si="10"/>
        <v>66594.987324634538</v>
      </c>
      <c r="I23" s="199">
        <f t="shared" si="10"/>
        <v>64016.04163543442</v>
      </c>
      <c r="J23" s="199">
        <f t="shared" si="10"/>
        <v>68244.770886376238</v>
      </c>
      <c r="K23" s="199">
        <f t="shared" si="10"/>
        <v>68787.34556597301</v>
      </c>
      <c r="L23" s="200">
        <f t="shared" si="10"/>
        <v>70230.56720976693</v>
      </c>
      <c r="M23" s="195">
        <f t="shared" si="10"/>
        <v>69865.796458397119</v>
      </c>
      <c r="N23" s="196">
        <f t="shared" si="10"/>
        <v>69684.536287841765</v>
      </c>
      <c r="O23" s="196">
        <f t="shared" si="10"/>
        <v>71015.912035960398</v>
      </c>
      <c r="P23" s="197">
        <f t="shared" si="10"/>
        <v>76145.463272666035</v>
      </c>
      <c r="Q23" s="197">
        <f t="shared" si="10"/>
        <v>74626.547814631966</v>
      </c>
      <c r="R23" s="197">
        <f t="shared" si="10"/>
        <v>75177.894377928184</v>
      </c>
      <c r="S23" s="198">
        <f t="shared" si="10"/>
        <v>79386.975748273238</v>
      </c>
      <c r="T23" s="199">
        <f t="shared" si="10"/>
        <v>95110.95310939214</v>
      </c>
      <c r="U23" s="199">
        <f t="shared" si="10"/>
        <v>116230.26842212958</v>
      </c>
      <c r="V23" s="199">
        <f t="shared" si="10"/>
        <v>121542.11243927464</v>
      </c>
      <c r="W23" s="200">
        <f t="shared" si="10"/>
        <v>123651.52434310842</v>
      </c>
      <c r="X23" s="195">
        <f t="shared" si="10"/>
        <v>113286.82034305199</v>
      </c>
      <c r="Y23" s="196">
        <f t="shared" si="10"/>
        <v>102330.56623426541</v>
      </c>
      <c r="Z23" s="196">
        <f t="shared" si="10"/>
        <v>101657.77543108721</v>
      </c>
      <c r="AA23" s="197">
        <f t="shared" si="10"/>
        <v>101556.6883526918</v>
      </c>
      <c r="AB23" s="197">
        <f t="shared" si="10"/>
        <v>102167.12100812743</v>
      </c>
      <c r="AC23" s="197">
        <f t="shared" si="10"/>
        <v>101492.38168529666</v>
      </c>
      <c r="AD23" s="198">
        <f t="shared" si="10"/>
        <v>104676.56495717245</v>
      </c>
      <c r="AE23" s="199">
        <f t="shared" si="10"/>
        <v>108355.86508062422</v>
      </c>
      <c r="AF23" s="199">
        <f t="shared" si="10"/>
        <v>110687.9621503284</v>
      </c>
      <c r="AG23" s="199">
        <f t="shared" si="10"/>
        <v>111188.20517028932</v>
      </c>
      <c r="AH23" s="235">
        <f t="shared" ref="AH23:BM23" si="11">AH9/AH$4</f>
        <v>125872.43438724491</v>
      </c>
      <c r="AI23" s="195">
        <f t="shared" si="11"/>
        <v>135886.69711554589</v>
      </c>
      <c r="AJ23" s="196">
        <f t="shared" si="11"/>
        <v>142732.95590919568</v>
      </c>
      <c r="AK23" s="196">
        <f t="shared" si="11"/>
        <v>147183.34742271435</v>
      </c>
      <c r="AL23" s="197">
        <f t="shared" si="11"/>
        <v>149972.33741708336</v>
      </c>
      <c r="AM23" s="197">
        <f t="shared" si="11"/>
        <v>160041.64438696188</v>
      </c>
      <c r="AN23" s="197">
        <f t="shared" si="11"/>
        <v>153835.22184160241</v>
      </c>
      <c r="AO23" s="198">
        <f t="shared" si="11"/>
        <v>158316.7861803062</v>
      </c>
      <c r="AP23" s="199">
        <f t="shared" si="11"/>
        <v>157952.60266816392</v>
      </c>
      <c r="AQ23" s="199">
        <f t="shared" si="11"/>
        <v>159068.76989333984</v>
      </c>
      <c r="AR23" s="199">
        <f t="shared" si="11"/>
        <v>156889.96252232522</v>
      </c>
      <c r="AS23" s="200">
        <f t="shared" si="11"/>
        <v>187850.4382095648</v>
      </c>
      <c r="AT23" s="195">
        <f t="shared" si="11"/>
        <v>153928.09950880939</v>
      </c>
      <c r="AU23" s="196">
        <f t="shared" si="11"/>
        <v>148110.40822129275</v>
      </c>
      <c r="AV23" s="196">
        <f t="shared" si="11"/>
        <v>142279.85218509784</v>
      </c>
      <c r="AW23" s="197">
        <f t="shared" si="11"/>
        <v>146987.50369005412</v>
      </c>
      <c r="AX23" s="197">
        <f t="shared" si="11"/>
        <v>143126.80523943479</v>
      </c>
      <c r="AY23" s="197">
        <f t="shared" si="11"/>
        <v>138533.53877930169</v>
      </c>
      <c r="AZ23" s="198">
        <f t="shared" si="11"/>
        <v>142838.27128106783</v>
      </c>
      <c r="BA23" s="199">
        <f t="shared" si="11"/>
        <v>151062.03467167474</v>
      </c>
      <c r="BB23" s="199">
        <f t="shared" si="11"/>
        <v>153952.51460771487</v>
      </c>
      <c r="BC23" s="199">
        <f t="shared" si="11"/>
        <v>174601.82185633684</v>
      </c>
      <c r="BD23" s="200">
        <f t="shared" si="11"/>
        <v>198087.95176444892</v>
      </c>
      <c r="BE23" s="195">
        <f t="shared" si="11"/>
        <v>234753.0249226598</v>
      </c>
      <c r="BF23" s="196">
        <f t="shared" si="11"/>
        <v>235469.89456599168</v>
      </c>
      <c r="BG23" s="196">
        <f t="shared" si="11"/>
        <v>254464.39253175486</v>
      </c>
      <c r="BH23" s="197">
        <f t="shared" si="11"/>
        <v>263637.99178135279</v>
      </c>
      <c r="BI23" s="197">
        <f t="shared" si="11"/>
        <v>290923.69944600057</v>
      </c>
      <c r="BJ23" s="197">
        <f t="shared" si="11"/>
        <v>305205.87617762544</v>
      </c>
      <c r="BK23" s="198">
        <f t="shared" si="11"/>
        <v>317741.83946789586</v>
      </c>
      <c r="BL23" s="199">
        <f t="shared" si="11"/>
        <v>339676.61840818607</v>
      </c>
      <c r="BM23" s="199">
        <f t="shared" si="11"/>
        <v>347161.47206208424</v>
      </c>
      <c r="BN23" s="199">
        <f t="shared" ref="BN23:BT23" si="12">BN9/BN$4</f>
        <v>323387.55885698192</v>
      </c>
      <c r="BO23" s="200">
        <f t="shared" si="12"/>
        <v>282631.50825343019</v>
      </c>
      <c r="BP23" s="195">
        <f t="shared" si="12"/>
        <v>280903.77331156569</v>
      </c>
      <c r="BQ23" s="196">
        <f t="shared" si="12"/>
        <v>265450.22672727273</v>
      </c>
      <c r="BR23" s="196">
        <f t="shared" si="12"/>
        <v>261972.9363553029</v>
      </c>
      <c r="BS23" s="195">
        <f t="shared" si="12"/>
        <v>268286.39574318269</v>
      </c>
      <c r="BT23" s="202">
        <f t="shared" si="12"/>
        <v>267385.43497485644</v>
      </c>
      <c r="BU23" s="202">
        <f t="shared" si="9"/>
        <v>283628</v>
      </c>
      <c r="BV23" s="202">
        <f t="shared" si="9"/>
        <v>275954.44315426837</v>
      </c>
      <c r="BW23" s="202">
        <f t="shared" si="9"/>
        <v>272522.5892466029</v>
      </c>
      <c r="BX23" s="202">
        <f t="shared" si="9"/>
        <v>273713.5916357328</v>
      </c>
      <c r="BY23" s="202">
        <f t="shared" si="9"/>
        <v>271241.58984256594</v>
      </c>
    </row>
    <row r="24" spans="1:81" s="201" customFormat="1">
      <c r="A24" s="194" t="s">
        <v>375</v>
      </c>
      <c r="B24" s="195">
        <f t="shared" ref="B24:AG24" si="13">B10/B$4</f>
        <v>25912.577665780525</v>
      </c>
      <c r="C24" s="196">
        <f t="shared" si="13"/>
        <v>28127.475790134387</v>
      </c>
      <c r="D24" s="196">
        <f t="shared" si="13"/>
        <v>36182.024102791307</v>
      </c>
      <c r="E24" s="197">
        <f t="shared" si="13"/>
        <v>179562.07450066583</v>
      </c>
      <c r="F24" s="197">
        <f t="shared" si="13"/>
        <v>222748.28675539076</v>
      </c>
      <c r="G24" s="197">
        <f t="shared" si="13"/>
        <v>127973.45710929483</v>
      </c>
      <c r="H24" s="198">
        <f t="shared" si="13"/>
        <v>49643.117423722149</v>
      </c>
      <c r="I24" s="199">
        <f t="shared" si="13"/>
        <v>67899.493667559029</v>
      </c>
      <c r="J24" s="199">
        <f t="shared" si="13"/>
        <v>87905.499334229491</v>
      </c>
      <c r="K24" s="199">
        <f t="shared" si="13"/>
        <v>87440.207006631594</v>
      </c>
      <c r="L24" s="200">
        <f t="shared" si="13"/>
        <v>94650.135476137642</v>
      </c>
      <c r="M24" s="195">
        <f t="shared" si="13"/>
        <v>89729.7354553802</v>
      </c>
      <c r="N24" s="196">
        <f t="shared" si="13"/>
        <v>75135.703421211525</v>
      </c>
      <c r="O24" s="196">
        <f t="shared" si="13"/>
        <v>94754.433096055116</v>
      </c>
      <c r="P24" s="197">
        <f t="shared" si="13"/>
        <v>106651.06661802057</v>
      </c>
      <c r="Q24" s="197">
        <f t="shared" si="13"/>
        <v>104296.24620888567</v>
      </c>
      <c r="R24" s="197">
        <f t="shared" si="13"/>
        <v>96619.635398230108</v>
      </c>
      <c r="S24" s="198">
        <f t="shared" si="13"/>
        <v>89168.957636224121</v>
      </c>
      <c r="T24" s="199">
        <f t="shared" si="13"/>
        <v>136141.39028767979</v>
      </c>
      <c r="U24" s="199">
        <f t="shared" si="13"/>
        <v>139710.40320484948</v>
      </c>
      <c r="V24" s="199">
        <f t="shared" si="13"/>
        <v>130696.93121871022</v>
      </c>
      <c r="W24" s="200">
        <f t="shared" si="13"/>
        <v>123401.89138683028</v>
      </c>
      <c r="X24" s="195">
        <f t="shared" si="13"/>
        <v>100856.17560494046</v>
      </c>
      <c r="Y24" s="196">
        <f t="shared" si="13"/>
        <v>87007.538541366404</v>
      </c>
      <c r="Z24" s="196">
        <f t="shared" si="13"/>
        <v>88442.360284945593</v>
      </c>
      <c r="AA24" s="197">
        <f t="shared" si="13"/>
        <v>83437.775781257646</v>
      </c>
      <c r="AB24" s="197">
        <f t="shared" si="13"/>
        <v>74648.568574008706</v>
      </c>
      <c r="AC24" s="197">
        <f t="shared" si="13"/>
        <v>67086.014182485625</v>
      </c>
      <c r="AD24" s="198">
        <f t="shared" si="13"/>
        <v>76177.226364451592</v>
      </c>
      <c r="AE24" s="199">
        <f t="shared" si="13"/>
        <v>91636.265721002681</v>
      </c>
      <c r="AF24" s="199">
        <f t="shared" si="13"/>
        <v>94971.43853077112</v>
      </c>
      <c r="AG24" s="199">
        <f t="shared" si="13"/>
        <v>91916.091775449589</v>
      </c>
      <c r="AH24" s="235">
        <f t="shared" ref="AH24:BM24" si="14">AH10/AH$4</f>
        <v>94749.980806343054</v>
      </c>
      <c r="AI24" s="195">
        <f t="shared" si="14"/>
        <v>116101.86161747445</v>
      </c>
      <c r="AJ24" s="196">
        <f t="shared" si="14"/>
        <v>145649.11444012338</v>
      </c>
      <c r="AK24" s="196">
        <f t="shared" si="14"/>
        <v>168908.10334697177</v>
      </c>
      <c r="AL24" s="197">
        <f t="shared" si="14"/>
        <v>177590.80731300081</v>
      </c>
      <c r="AM24" s="197">
        <f t="shared" si="14"/>
        <v>185554.48421621241</v>
      </c>
      <c r="AN24" s="197">
        <f t="shared" si="14"/>
        <v>175927.69920607997</v>
      </c>
      <c r="AO24" s="198">
        <f t="shared" si="14"/>
        <v>164060.78631638631</v>
      </c>
      <c r="AP24" s="199">
        <f t="shared" si="14"/>
        <v>156770.6314272114</v>
      </c>
      <c r="AQ24" s="199">
        <f t="shared" si="14"/>
        <v>145826.9646025871</v>
      </c>
      <c r="AR24" s="199">
        <f t="shared" si="14"/>
        <v>141256.0800475768</v>
      </c>
      <c r="AS24" s="200">
        <f t="shared" si="14"/>
        <v>122221.55620398563</v>
      </c>
      <c r="AT24" s="195">
        <f t="shared" si="14"/>
        <v>103435.60685317672</v>
      </c>
      <c r="AU24" s="196">
        <f t="shared" si="14"/>
        <v>87496.867795938364</v>
      </c>
      <c r="AV24" s="196">
        <f t="shared" si="14"/>
        <v>69887.06616237406</v>
      </c>
      <c r="AW24" s="197">
        <f t="shared" si="14"/>
        <v>67378.199672113667</v>
      </c>
      <c r="AX24" s="197">
        <f t="shared" si="14"/>
        <v>66674.711799031807</v>
      </c>
      <c r="AY24" s="197">
        <f t="shared" si="14"/>
        <v>65091.182620686115</v>
      </c>
      <c r="AZ24" s="198">
        <f t="shared" si="14"/>
        <v>66883.168170792123</v>
      </c>
      <c r="BA24" s="199">
        <f t="shared" si="14"/>
        <v>74706.261387293387</v>
      </c>
      <c r="BB24" s="199">
        <f t="shared" si="14"/>
        <v>80013.039167695679</v>
      </c>
      <c r="BC24" s="199">
        <f t="shared" si="14"/>
        <v>88592.563188222353</v>
      </c>
      <c r="BD24" s="200">
        <f t="shared" si="14"/>
        <v>87759.222240853051</v>
      </c>
      <c r="BE24" s="195">
        <f t="shared" si="14"/>
        <v>108174.27001459905</v>
      </c>
      <c r="BF24" s="196">
        <f t="shared" si="14"/>
        <v>110324.3597079475</v>
      </c>
      <c r="BG24" s="196">
        <f t="shared" si="14"/>
        <v>126749.88587002098</v>
      </c>
      <c r="BH24" s="197">
        <f t="shared" si="14"/>
        <v>131192.40159733302</v>
      </c>
      <c r="BI24" s="197">
        <f t="shared" si="14"/>
        <v>162969.85512914596</v>
      </c>
      <c r="BJ24" s="197">
        <f t="shared" si="14"/>
        <v>195666.91002123992</v>
      </c>
      <c r="BK24" s="198">
        <f t="shared" si="14"/>
        <v>158356.51971292801</v>
      </c>
      <c r="BL24" s="199">
        <f t="shared" si="14"/>
        <v>158204.83062920932</v>
      </c>
      <c r="BM24" s="199">
        <f t="shared" si="14"/>
        <v>150015.8195121951</v>
      </c>
      <c r="BN24" s="199">
        <f t="shared" ref="BN24:BT24" si="15">BN10/BN$4</f>
        <v>134280.27709761829</v>
      </c>
      <c r="BO24" s="200">
        <f t="shared" si="15"/>
        <v>114137.29547063852</v>
      </c>
      <c r="BP24" s="195">
        <f t="shared" si="15"/>
        <v>109036.71891779713</v>
      </c>
      <c r="BQ24" s="196">
        <f t="shared" si="15"/>
        <v>111239.70732467533</v>
      </c>
      <c r="BR24" s="196">
        <f t="shared" si="15"/>
        <v>126728.63630913099</v>
      </c>
      <c r="BS24" s="195">
        <f t="shared" si="15"/>
        <v>130926.74582389479</v>
      </c>
      <c r="BT24" s="202">
        <f t="shared" si="15"/>
        <v>128024.9159082446</v>
      </c>
      <c r="BU24" s="202">
        <f t="shared" si="9"/>
        <v>144539</v>
      </c>
      <c r="BV24" s="202">
        <f t="shared" si="9"/>
        <v>137087.88231023497</v>
      </c>
      <c r="BW24" s="202">
        <f t="shared" si="9"/>
        <v>138390.01878637102</v>
      </c>
      <c r="BX24" s="202">
        <f t="shared" si="9"/>
        <v>139117.47300165478</v>
      </c>
      <c r="BY24" s="202">
        <f t="shared" si="9"/>
        <v>144066.5058134112</v>
      </c>
    </row>
    <row r="25" spans="1:81" s="201" customFormat="1">
      <c r="A25" s="194" t="s">
        <v>376</v>
      </c>
      <c r="B25" s="195">
        <f t="shared" ref="B25:AG25" si="16">B11/B$4</f>
        <v>3504.0380482941946</v>
      </c>
      <c r="C25" s="196">
        <f t="shared" si="16"/>
        <v>4187.5417663565186</v>
      </c>
      <c r="D25" s="196">
        <f t="shared" si="16"/>
        <v>4791.3456247230824</v>
      </c>
      <c r="E25" s="197">
        <f t="shared" si="16"/>
        <v>9727.6152463382186</v>
      </c>
      <c r="F25" s="197">
        <f t="shared" si="16"/>
        <v>14199.975970350399</v>
      </c>
      <c r="G25" s="197">
        <f t="shared" si="16"/>
        <v>16399.486767479564</v>
      </c>
      <c r="H25" s="198">
        <f t="shared" si="16"/>
        <v>17212.785960953592</v>
      </c>
      <c r="I25" s="199">
        <f t="shared" si="16"/>
        <v>19957.897600389391</v>
      </c>
      <c r="J25" s="199">
        <f t="shared" si="16"/>
        <v>26266.258201945137</v>
      </c>
      <c r="K25" s="199">
        <f t="shared" si="16"/>
        <v>31345.679313972098</v>
      </c>
      <c r="L25" s="200">
        <f t="shared" si="16"/>
        <v>28885.376683684797</v>
      </c>
      <c r="M25" s="195">
        <f t="shared" si="16"/>
        <v>35185.985606226233</v>
      </c>
      <c r="N25" s="196">
        <f t="shared" si="16"/>
        <v>36943.801017738551</v>
      </c>
      <c r="O25" s="196">
        <f t="shared" si="16"/>
        <v>42365.972825501252</v>
      </c>
      <c r="P25" s="197">
        <f t="shared" si="16"/>
        <v>41286.620762527535</v>
      </c>
      <c r="Q25" s="197">
        <f t="shared" si="16"/>
        <v>45737.802218647725</v>
      </c>
      <c r="R25" s="197">
        <f t="shared" si="16"/>
        <v>45345.906871421146</v>
      </c>
      <c r="S25" s="198">
        <f t="shared" si="16"/>
        <v>40650.833000767474</v>
      </c>
      <c r="T25" s="199">
        <f t="shared" si="16"/>
        <v>42582.839911442636</v>
      </c>
      <c r="U25" s="199">
        <f t="shared" si="16"/>
        <v>43365.023978821904</v>
      </c>
      <c r="V25" s="199">
        <f t="shared" si="16"/>
        <v>42136.532823219655</v>
      </c>
      <c r="W25" s="200">
        <f t="shared" si="16"/>
        <v>42881.394489557119</v>
      </c>
      <c r="X25" s="195">
        <f t="shared" si="16"/>
        <v>38955.671502451165</v>
      </c>
      <c r="Y25" s="196">
        <f t="shared" si="16"/>
        <v>35691.931411549922</v>
      </c>
      <c r="Z25" s="196">
        <f t="shared" si="16"/>
        <v>36274.233973339862</v>
      </c>
      <c r="AA25" s="197">
        <f t="shared" si="16"/>
        <v>36769.655572596639</v>
      </c>
      <c r="AB25" s="197">
        <f t="shared" si="16"/>
        <v>35104.562843773092</v>
      </c>
      <c r="AC25" s="197">
        <f t="shared" si="16"/>
        <v>33494.503697334483</v>
      </c>
      <c r="AD25" s="198">
        <f t="shared" si="16"/>
        <v>34540.255048084357</v>
      </c>
      <c r="AE25" s="199">
        <f t="shared" si="16"/>
        <v>35825.29538898664</v>
      </c>
      <c r="AF25" s="199">
        <f t="shared" si="16"/>
        <v>36478.444551204091</v>
      </c>
      <c r="AG25" s="199">
        <f t="shared" si="16"/>
        <v>36289.697758874128</v>
      </c>
      <c r="AH25" s="235">
        <f t="shared" ref="AH25:BM25" si="17">AH11/AH$4</f>
        <v>36434.199020696564</v>
      </c>
      <c r="AI25" s="195">
        <f t="shared" si="17"/>
        <v>40902.761602800616</v>
      </c>
      <c r="AJ25" s="196">
        <f t="shared" si="17"/>
        <v>46239.640794268089</v>
      </c>
      <c r="AK25" s="196">
        <f t="shared" si="17"/>
        <v>50242.080653328892</v>
      </c>
      <c r="AL25" s="197">
        <f t="shared" si="17"/>
        <v>57206.645624812845</v>
      </c>
      <c r="AM25" s="197">
        <f t="shared" si="17"/>
        <v>63017.415167192201</v>
      </c>
      <c r="AN25" s="197">
        <f t="shared" si="17"/>
        <v>67448.254801519986</v>
      </c>
      <c r="AO25" s="198">
        <f t="shared" si="17"/>
        <v>70410.324248724253</v>
      </c>
      <c r="AP25" s="199">
        <f t="shared" si="17"/>
        <v>70417.989376167185</v>
      </c>
      <c r="AQ25" s="199">
        <f t="shared" si="17"/>
        <v>68506.280429457955</v>
      </c>
      <c r="AR25" s="199">
        <f t="shared" si="17"/>
        <v>63430.464227915501</v>
      </c>
      <c r="AS25" s="200">
        <f t="shared" si="17"/>
        <v>59409.643526172811</v>
      </c>
      <c r="AT25" s="195">
        <f t="shared" si="17"/>
        <v>63276.81894073679</v>
      </c>
      <c r="AU25" s="196">
        <f t="shared" si="17"/>
        <v>61480.007607981388</v>
      </c>
      <c r="AV25" s="196">
        <f t="shared" si="17"/>
        <v>55109.866756500174</v>
      </c>
      <c r="AW25" s="197">
        <f t="shared" si="17"/>
        <v>53831.872368245677</v>
      </c>
      <c r="AX25" s="197">
        <f t="shared" si="17"/>
        <v>53906.854504121424</v>
      </c>
      <c r="AY25" s="197">
        <f t="shared" si="17"/>
        <v>55032.363048628016</v>
      </c>
      <c r="AZ25" s="198">
        <f t="shared" si="17"/>
        <v>55409.137449040507</v>
      </c>
      <c r="BA25" s="199">
        <f t="shared" si="17"/>
        <v>56068.689854272743</v>
      </c>
      <c r="BB25" s="199">
        <f t="shared" si="17"/>
        <v>55867.271573379534</v>
      </c>
      <c r="BC25" s="199">
        <f t="shared" si="17"/>
        <v>58772.641474366865</v>
      </c>
      <c r="BD25" s="200">
        <f t="shared" si="17"/>
        <v>67366.307710792171</v>
      </c>
      <c r="BE25" s="195">
        <f t="shared" si="17"/>
        <v>79266.531295839275</v>
      </c>
      <c r="BF25" s="196">
        <f t="shared" si="17"/>
        <v>85391.566495369902</v>
      </c>
      <c r="BG25" s="196">
        <f t="shared" si="17"/>
        <v>89125.816510050572</v>
      </c>
      <c r="BH25" s="197">
        <f t="shared" si="17"/>
        <v>90552.21824537564</v>
      </c>
      <c r="BI25" s="197">
        <f t="shared" si="17"/>
        <v>94093.553470765168</v>
      </c>
      <c r="BJ25" s="197">
        <f t="shared" si="17"/>
        <v>94394.99081493933</v>
      </c>
      <c r="BK25" s="198">
        <f t="shared" si="17"/>
        <v>94718.89519469699</v>
      </c>
      <c r="BL25" s="199">
        <f t="shared" si="17"/>
        <v>93900.246630697686</v>
      </c>
      <c r="BM25" s="199">
        <f t="shared" si="17"/>
        <v>86873.664495565405</v>
      </c>
      <c r="BN25" s="199">
        <f t="shared" ref="BN25:BT25" si="18">BN11/BN$4</f>
        <v>81762.615318868542</v>
      </c>
      <c r="BO25" s="200">
        <f t="shared" si="18"/>
        <v>70881.834482499573</v>
      </c>
      <c r="BP25" s="195">
        <f t="shared" si="18"/>
        <v>68675.39536376654</v>
      </c>
      <c r="BQ25" s="196">
        <f t="shared" si="18"/>
        <v>68530.879792207794</v>
      </c>
      <c r="BR25" s="196">
        <f t="shared" si="18"/>
        <v>74663.217072791682</v>
      </c>
      <c r="BS25" s="195">
        <f t="shared" si="18"/>
        <v>77752.921761716556</v>
      </c>
      <c r="BT25" s="202">
        <f t="shared" si="18"/>
        <v>76058.766824586492</v>
      </c>
      <c r="BU25" s="202">
        <f t="shared" si="9"/>
        <v>92365</v>
      </c>
      <c r="BV25" s="202">
        <f t="shared" si="9"/>
        <v>89092.511733404375</v>
      </c>
      <c r="BW25" s="202">
        <f t="shared" si="9"/>
        <v>87829.609293315763</v>
      </c>
      <c r="BX25" s="202">
        <f t="shared" si="9"/>
        <v>82876.805249444718</v>
      </c>
      <c r="BY25" s="202">
        <f t="shared" si="9"/>
        <v>79465.923080015957</v>
      </c>
    </row>
    <row r="26" spans="1:81" s="201" customFormat="1">
      <c r="A26" s="194" t="s">
        <v>377</v>
      </c>
      <c r="B26" s="195">
        <f t="shared" ref="B26:AG26" si="19">B12/B$4</f>
        <v>1860.1683466253132</v>
      </c>
      <c r="C26" s="198">
        <f t="shared" si="19"/>
        <v>2067.8150457834877</v>
      </c>
      <c r="D26" s="199">
        <f t="shared" si="19"/>
        <v>2296.0336176340265</v>
      </c>
      <c r="E26" s="198">
        <f t="shared" si="19"/>
        <v>13411.445872170443</v>
      </c>
      <c r="F26" s="199">
        <f t="shared" si="19"/>
        <v>16500.751586927217</v>
      </c>
      <c r="G26" s="199">
        <f t="shared" si="19"/>
        <v>17618.577403130268</v>
      </c>
      <c r="H26" s="198">
        <f t="shared" si="19"/>
        <v>11234.738585303638</v>
      </c>
      <c r="I26" s="199">
        <f t="shared" si="19"/>
        <v>17802.96245315162</v>
      </c>
      <c r="J26" s="199">
        <f t="shared" si="19"/>
        <v>15548.971724519655</v>
      </c>
      <c r="K26" s="199">
        <f t="shared" si="19"/>
        <v>14653.264376857991</v>
      </c>
      <c r="L26" s="200">
        <f t="shared" si="19"/>
        <v>11348.570690344064</v>
      </c>
      <c r="M26" s="199">
        <f t="shared" si="19"/>
        <v>11956.668514712957</v>
      </c>
      <c r="N26" s="198">
        <f t="shared" si="19"/>
        <v>9107.7668688727263</v>
      </c>
      <c r="O26" s="199">
        <f t="shared" si="19"/>
        <v>7420.3675306996383</v>
      </c>
      <c r="P26" s="198">
        <f t="shared" si="19"/>
        <v>6026.0421116147227</v>
      </c>
      <c r="Q26" s="199">
        <f t="shared" si="19"/>
        <v>8369.2108214543223</v>
      </c>
      <c r="R26" s="199">
        <f t="shared" si="19"/>
        <v>6281.4335762623641</v>
      </c>
      <c r="S26" s="198">
        <f t="shared" si="19"/>
        <v>6717.2136607828106</v>
      </c>
      <c r="T26" s="199">
        <f t="shared" si="19"/>
        <v>16049.741404530667</v>
      </c>
      <c r="U26" s="199">
        <f t="shared" si="19"/>
        <v>7304.530682661074</v>
      </c>
      <c r="V26" s="199">
        <f t="shared" si="19"/>
        <v>9032.9865903556383</v>
      </c>
      <c r="W26" s="200">
        <f t="shared" si="19"/>
        <v>6335.1296904365108</v>
      </c>
      <c r="X26" s="199">
        <f t="shared" si="19"/>
        <v>5343.966289361796</v>
      </c>
      <c r="Y26" s="198">
        <f t="shared" si="19"/>
        <v>6058.0577111559533</v>
      </c>
      <c r="Z26" s="199">
        <f t="shared" si="19"/>
        <v>6036.1396722514382</v>
      </c>
      <c r="AA26" s="198">
        <f t="shared" si="19"/>
        <v>7106.354879990623</v>
      </c>
      <c r="AB26" s="199">
        <f t="shared" si="19"/>
        <v>7907.0887283474276</v>
      </c>
      <c r="AC26" s="199">
        <f t="shared" si="19"/>
        <v>7093.1363251537805</v>
      </c>
      <c r="AD26" s="198">
        <f t="shared" si="19"/>
        <v>7789.6982760753272</v>
      </c>
      <c r="AE26" s="199">
        <f t="shared" si="19"/>
        <v>7479.8207661464785</v>
      </c>
      <c r="AF26" s="199">
        <f t="shared" si="19"/>
        <v>5898.4531744101196</v>
      </c>
      <c r="AG26" s="199">
        <f t="shared" si="19"/>
        <v>7441.7071524628636</v>
      </c>
      <c r="AH26" s="235">
        <f t="shared" ref="AH26:BM26" si="20">AH12/AH$4</f>
        <v>6089.4692255907767</v>
      </c>
      <c r="AI26" s="199">
        <f t="shared" si="20"/>
        <v>8369.9397314690614</v>
      </c>
      <c r="AJ26" s="198">
        <f t="shared" si="20"/>
        <v>11160.578308183472</v>
      </c>
      <c r="AK26" s="199">
        <f t="shared" si="20"/>
        <v>9268.4061199084936</v>
      </c>
      <c r="AL26" s="198">
        <f t="shared" si="20"/>
        <v>10101.929158537583</v>
      </c>
      <c r="AM26" s="199">
        <f t="shared" si="20"/>
        <v>11270.335125734511</v>
      </c>
      <c r="AN26" s="199">
        <f t="shared" si="20"/>
        <v>10291.551755941517</v>
      </c>
      <c r="AO26" s="198">
        <f t="shared" si="20"/>
        <v>10188.99680967681</v>
      </c>
      <c r="AP26" s="199">
        <f t="shared" si="20"/>
        <v>10427.697813960871</v>
      </c>
      <c r="AQ26" s="199">
        <f t="shared" si="20"/>
        <v>10430.377763344264</v>
      </c>
      <c r="AR26" s="199">
        <f t="shared" si="20"/>
        <v>9140.7351853040582</v>
      </c>
      <c r="AS26" s="200">
        <f t="shared" si="20"/>
        <v>9405.8708538297451</v>
      </c>
      <c r="AT26" s="199">
        <f t="shared" si="20"/>
        <v>8332.4473422317151</v>
      </c>
      <c r="AU26" s="198">
        <f t="shared" si="20"/>
        <v>6372.0420869274976</v>
      </c>
      <c r="AV26" s="199">
        <f t="shared" si="20"/>
        <v>10343.87988239978</v>
      </c>
      <c r="AW26" s="198">
        <f t="shared" si="20"/>
        <v>9186.2302681737001</v>
      </c>
      <c r="AX26" s="199">
        <f t="shared" si="20"/>
        <v>11295.646744733745</v>
      </c>
      <c r="AY26" s="199">
        <f t="shared" si="20"/>
        <v>9055.6529530691041</v>
      </c>
      <c r="AZ26" s="198">
        <f t="shared" si="20"/>
        <v>8149.5420801635792</v>
      </c>
      <c r="BA26" s="199">
        <f t="shared" si="20"/>
        <v>7575.1001304271495</v>
      </c>
      <c r="BB26" s="199">
        <f t="shared" si="20"/>
        <v>7790.5384249617582</v>
      </c>
      <c r="BC26" s="199">
        <f t="shared" si="20"/>
        <v>7433.1596000923882</v>
      </c>
      <c r="BD26" s="200">
        <f t="shared" si="20"/>
        <v>9345.0783684530616</v>
      </c>
      <c r="BE26" s="199">
        <f t="shared" si="20"/>
        <v>8961.6165177795538</v>
      </c>
      <c r="BF26" s="198">
        <f t="shared" si="20"/>
        <v>8629.765874631119</v>
      </c>
      <c r="BG26" s="199">
        <f t="shared" si="20"/>
        <v>9395.4065112837598</v>
      </c>
      <c r="BH26" s="198">
        <f t="shared" si="20"/>
        <v>12240.388720461418</v>
      </c>
      <c r="BI26" s="199">
        <f t="shared" si="20"/>
        <v>17430.391473473144</v>
      </c>
      <c r="BJ26" s="199">
        <f t="shared" si="20"/>
        <v>26641.562771163335</v>
      </c>
      <c r="BK26" s="198">
        <f t="shared" si="20"/>
        <v>31407.762014008276</v>
      </c>
      <c r="BL26" s="199">
        <f t="shared" si="20"/>
        <v>27218.323302697678</v>
      </c>
      <c r="BM26" s="199">
        <f t="shared" si="20"/>
        <v>19438.888137472284</v>
      </c>
      <c r="BN26" s="199">
        <f t="shared" ref="BN26:BT26" si="21">BN12/BN$4</f>
        <v>14223.580085757398</v>
      </c>
      <c r="BO26" s="200">
        <f t="shared" si="21"/>
        <v>11398.964334682534</v>
      </c>
      <c r="BP26" s="199">
        <f t="shared" si="21"/>
        <v>10504.008752256896</v>
      </c>
      <c r="BQ26" s="198">
        <f t="shared" si="21"/>
        <v>6887.520233766234</v>
      </c>
      <c r="BR26" s="199">
        <f t="shared" si="21"/>
        <v>7981.8491656399983</v>
      </c>
      <c r="BS26" s="200">
        <f t="shared" si="21"/>
        <v>7890.9597409240387</v>
      </c>
      <c r="BT26" s="202">
        <f t="shared" si="21"/>
        <v>7219.2201458343034</v>
      </c>
      <c r="BU26" s="202">
        <f t="shared" si="9"/>
        <v>9801</v>
      </c>
      <c r="BV26" s="202">
        <f t="shared" si="9"/>
        <v>10184.12822969047</v>
      </c>
      <c r="BW26" s="202">
        <f t="shared" si="9"/>
        <v>9900.0421674820809</v>
      </c>
      <c r="BX26" s="202">
        <f t="shared" si="9"/>
        <v>10283.509960396403</v>
      </c>
      <c r="BY26" s="202">
        <f t="shared" si="9"/>
        <v>9803.3773013434293</v>
      </c>
    </row>
    <row r="27" spans="1:81" s="201" customFormat="1">
      <c r="A27" s="194" t="s">
        <v>378</v>
      </c>
      <c r="B27" s="195">
        <f t="shared" ref="B27:AG27" si="22">B13/B$4</f>
        <v>0</v>
      </c>
      <c r="C27" s="198">
        <f t="shared" si="22"/>
        <v>0</v>
      </c>
      <c r="D27" s="199">
        <f t="shared" si="22"/>
        <v>0</v>
      </c>
      <c r="E27" s="198">
        <f t="shared" si="22"/>
        <v>0</v>
      </c>
      <c r="F27" s="199">
        <f t="shared" si="22"/>
        <v>0</v>
      </c>
      <c r="G27" s="199">
        <f t="shared" si="22"/>
        <v>0</v>
      </c>
      <c r="H27" s="198">
        <f t="shared" si="22"/>
        <v>0</v>
      </c>
      <c r="I27" s="199">
        <f t="shared" si="22"/>
        <v>335.04292041859338</v>
      </c>
      <c r="J27" s="199">
        <f t="shared" si="22"/>
        <v>185.54858859808658</v>
      </c>
      <c r="K27" s="199">
        <f t="shared" si="22"/>
        <v>21.464742739538075</v>
      </c>
      <c r="L27" s="200">
        <f t="shared" si="22"/>
        <v>291.70132741398447</v>
      </c>
      <c r="M27" s="210">
        <f t="shared" si="22"/>
        <v>287.28837392330905</v>
      </c>
      <c r="N27" s="198">
        <f t="shared" si="22"/>
        <v>215.88780726216831</v>
      </c>
      <c r="O27" s="199">
        <f t="shared" si="22"/>
        <v>718.74411956552547</v>
      </c>
      <c r="P27" s="198">
        <f t="shared" si="22"/>
        <v>2897.7688842737466</v>
      </c>
      <c r="Q27" s="199">
        <f t="shared" si="22"/>
        <v>3618.4146319818065</v>
      </c>
      <c r="R27" s="199">
        <f t="shared" si="22"/>
        <v>3870.4432066631971</v>
      </c>
      <c r="S27" s="198">
        <f t="shared" si="22"/>
        <v>3633.4881043745213</v>
      </c>
      <c r="T27" s="199">
        <f t="shared" si="22"/>
        <v>3791.3261969084001</v>
      </c>
      <c r="U27" s="199">
        <f t="shared" si="22"/>
        <v>2634.9128756682098</v>
      </c>
      <c r="V27" s="199">
        <f t="shared" si="22"/>
        <v>3550.5380817582854</v>
      </c>
      <c r="W27" s="200">
        <f t="shared" si="22"/>
        <v>2873.5526967128831</v>
      </c>
      <c r="X27" s="210">
        <f t="shared" si="22"/>
        <v>3122.1399109276308</v>
      </c>
      <c r="Y27" s="198">
        <f t="shared" si="22"/>
        <v>3577.7115018737395</v>
      </c>
      <c r="Z27" s="199">
        <f t="shared" si="22"/>
        <v>4012.9327932004412</v>
      </c>
      <c r="AA27" s="198">
        <f t="shared" si="22"/>
        <v>4465.5417116844301</v>
      </c>
      <c r="AB27" s="199">
        <f t="shared" si="22"/>
        <v>4726.272851161646</v>
      </c>
      <c r="AC27" s="199">
        <f t="shared" si="22"/>
        <v>4279.9394784707983</v>
      </c>
      <c r="AD27" s="198">
        <f t="shared" si="22"/>
        <v>4549.7352762917835</v>
      </c>
      <c r="AE27" s="199">
        <f t="shared" si="22"/>
        <v>4389.7409654714857</v>
      </c>
      <c r="AF27" s="199">
        <f t="shared" si="22"/>
        <v>4392.1277669666752</v>
      </c>
      <c r="AG27" s="199">
        <f t="shared" si="22"/>
        <v>4711.6134042220501</v>
      </c>
      <c r="AH27" s="235">
        <f t="shared" ref="AH27:BM27" si="23">AH13/AH$4</f>
        <v>4191.0670679010573</v>
      </c>
      <c r="AI27" s="210">
        <f t="shared" si="23"/>
        <v>5088.8643268908281</v>
      </c>
      <c r="AJ27" s="198">
        <f t="shared" si="23"/>
        <v>5332.8644957849256</v>
      </c>
      <c r="AK27" s="199">
        <f t="shared" si="23"/>
        <v>5785.0375020551592</v>
      </c>
      <c r="AL27" s="198">
        <f t="shared" si="23"/>
        <v>5600.3528007912819</v>
      </c>
      <c r="AM27" s="199">
        <f t="shared" si="23"/>
        <v>5824.7928063872951</v>
      </c>
      <c r="AN27" s="199">
        <f t="shared" si="23"/>
        <v>5505.4864690096383</v>
      </c>
      <c r="AO27" s="198">
        <f t="shared" si="23"/>
        <v>6173.7160007560005</v>
      </c>
      <c r="AP27" s="199">
        <f t="shared" si="23"/>
        <v>6211.5548413870556</v>
      </c>
      <c r="AQ27" s="199">
        <f t="shared" si="23"/>
        <v>6151.7192794371986</v>
      </c>
      <c r="AR27" s="199">
        <f t="shared" si="23"/>
        <v>5608.8458436384926</v>
      </c>
      <c r="AS27" s="200">
        <f t="shared" si="23"/>
        <v>5793.0991339544553</v>
      </c>
      <c r="AT27" s="210">
        <f t="shared" si="23"/>
        <v>6189.1975547250404</v>
      </c>
      <c r="AU27" s="198">
        <f t="shared" si="23"/>
        <v>6236.6055969876816</v>
      </c>
      <c r="AV27" s="199">
        <f t="shared" si="23"/>
        <v>5694.9630478057152</v>
      </c>
      <c r="AW27" s="198">
        <f t="shared" si="23"/>
        <v>5830.1440993788829</v>
      </c>
      <c r="AX27" s="199">
        <f t="shared" si="23"/>
        <v>6619.5744445898217</v>
      </c>
      <c r="AY27" s="199">
        <f t="shared" si="23"/>
        <v>6218.1245165002247</v>
      </c>
      <c r="AZ27" s="198">
        <f t="shared" si="23"/>
        <v>5857.7162035331921</v>
      </c>
      <c r="BA27" s="199">
        <f t="shared" si="23"/>
        <v>5228.1139789059171</v>
      </c>
      <c r="BB27" s="199">
        <f t="shared" si="23"/>
        <v>5191.2895759228886</v>
      </c>
      <c r="BC27" s="199">
        <f t="shared" si="23"/>
        <v>5246.8533768076386</v>
      </c>
      <c r="BD27" s="200">
        <f t="shared" si="23"/>
        <v>5395.0682233886164</v>
      </c>
      <c r="BE27" s="210">
        <f t="shared" si="23"/>
        <v>5876.982434217387</v>
      </c>
      <c r="BF27" s="198">
        <f t="shared" si="23"/>
        <v>5651.4685051389033</v>
      </c>
      <c r="BG27" s="199">
        <f t="shared" si="23"/>
        <v>5781.2939449993837</v>
      </c>
      <c r="BH27" s="198">
        <f t="shared" si="23"/>
        <v>5796.3086420015243</v>
      </c>
      <c r="BI27" s="199">
        <f t="shared" si="23"/>
        <v>5360.2122251966393</v>
      </c>
      <c r="BJ27" s="199">
        <f t="shared" si="23"/>
        <v>4112.1370356774878</v>
      </c>
      <c r="BK27" s="198">
        <f t="shared" si="23"/>
        <v>4162.1773390287299</v>
      </c>
      <c r="BL27" s="199">
        <f t="shared" si="23"/>
        <v>2823.235981395349</v>
      </c>
      <c r="BM27" s="199">
        <f t="shared" si="23"/>
        <v>3896.6777993348114</v>
      </c>
      <c r="BN27" s="199">
        <f t="shared" ref="BN27:BT27" si="24">BN13/BN$4</f>
        <v>2260.0410456099471</v>
      </c>
      <c r="BO27" s="200">
        <f t="shared" si="24"/>
        <v>2129.9369800813279</v>
      </c>
      <c r="BP27" s="210">
        <f t="shared" si="24"/>
        <v>1637.395965605263</v>
      </c>
      <c r="BQ27" s="198">
        <f t="shared" si="24"/>
        <v>1370.8742337662338</v>
      </c>
      <c r="BR27" s="199">
        <f t="shared" si="24"/>
        <v>1600.3866556454718</v>
      </c>
      <c r="BS27" s="200">
        <f t="shared" si="24"/>
        <v>1415.4467492609695</v>
      </c>
      <c r="BT27" s="202">
        <f t="shared" si="24"/>
        <v>1301.0910884300242</v>
      </c>
      <c r="BU27" s="202">
        <f t="shared" si="9"/>
        <v>1583</v>
      </c>
      <c r="BV27" s="202">
        <f t="shared" si="9"/>
        <v>1350.1069638778783</v>
      </c>
      <c r="BW27" s="202">
        <f t="shared" si="9"/>
        <v>1323.455215360096</v>
      </c>
      <c r="BX27" s="202">
        <f t="shared" si="9"/>
        <v>1380.4052488334319</v>
      </c>
      <c r="BY27" s="202">
        <f t="shared" si="9"/>
        <v>1299.577611267636</v>
      </c>
    </row>
    <row r="28" spans="1:81" s="201" customFormat="1">
      <c r="A28" s="194" t="s">
        <v>379</v>
      </c>
      <c r="B28" s="195">
        <f t="shared" ref="B28:AG28" si="25">B14/B$4</f>
        <v>0</v>
      </c>
      <c r="C28" s="199">
        <f t="shared" si="25"/>
        <v>0</v>
      </c>
      <c r="D28" s="199">
        <f t="shared" si="25"/>
        <v>0</v>
      </c>
      <c r="E28" s="199">
        <f t="shared" si="25"/>
        <v>0</v>
      </c>
      <c r="F28" s="199">
        <f t="shared" si="25"/>
        <v>0</v>
      </c>
      <c r="G28" s="199">
        <f t="shared" si="25"/>
        <v>0</v>
      </c>
      <c r="H28" s="200">
        <f t="shared" si="25"/>
        <v>0</v>
      </c>
      <c r="I28" s="199">
        <f t="shared" si="25"/>
        <v>0</v>
      </c>
      <c r="J28" s="199">
        <f t="shared" si="25"/>
        <v>0</v>
      </c>
      <c r="K28" s="199">
        <f t="shared" si="25"/>
        <v>0</v>
      </c>
      <c r="L28" s="200">
        <f t="shared" si="25"/>
        <v>0</v>
      </c>
      <c r="M28" s="199">
        <f t="shared" si="25"/>
        <v>0</v>
      </c>
      <c r="N28" s="199">
        <f t="shared" si="25"/>
        <v>0</v>
      </c>
      <c r="O28" s="199">
        <f t="shared" si="25"/>
        <v>0</v>
      </c>
      <c r="P28" s="199">
        <f t="shared" si="25"/>
        <v>0</v>
      </c>
      <c r="Q28" s="199">
        <f t="shared" si="25"/>
        <v>0</v>
      </c>
      <c r="R28" s="199">
        <f t="shared" si="25"/>
        <v>0</v>
      </c>
      <c r="S28" s="200">
        <f t="shared" si="25"/>
        <v>0</v>
      </c>
      <c r="T28" s="199">
        <f t="shared" si="25"/>
        <v>0</v>
      </c>
      <c r="U28" s="199">
        <f t="shared" si="25"/>
        <v>0</v>
      </c>
      <c r="V28" s="199">
        <f t="shared" si="25"/>
        <v>0</v>
      </c>
      <c r="W28" s="200">
        <f t="shared" si="25"/>
        <v>0</v>
      </c>
      <c r="X28" s="199">
        <f t="shared" si="25"/>
        <v>0</v>
      </c>
      <c r="Y28" s="199">
        <f t="shared" si="25"/>
        <v>0</v>
      </c>
      <c r="Z28" s="199">
        <f t="shared" si="25"/>
        <v>0</v>
      </c>
      <c r="AA28" s="199">
        <f t="shared" si="25"/>
        <v>0</v>
      </c>
      <c r="AB28" s="199">
        <f t="shared" si="25"/>
        <v>0</v>
      </c>
      <c r="AC28" s="199">
        <f t="shared" si="25"/>
        <v>0</v>
      </c>
      <c r="AD28" s="200">
        <f t="shared" si="25"/>
        <v>489.80403692136429</v>
      </c>
      <c r="AE28" s="199">
        <f t="shared" si="25"/>
        <v>744.59754233132367</v>
      </c>
      <c r="AF28" s="199">
        <f t="shared" si="25"/>
        <v>542.27714667964005</v>
      </c>
      <c r="AG28" s="199">
        <f t="shared" si="25"/>
        <v>296.49405222830347</v>
      </c>
      <c r="AH28" s="235">
        <f t="shared" ref="AH28:BM28" si="26">AH14/AH$4</f>
        <v>0</v>
      </c>
      <c r="AI28" s="199">
        <f t="shared" si="26"/>
        <v>1291.2778016518535</v>
      </c>
      <c r="AJ28" s="199">
        <f t="shared" si="26"/>
        <v>798.66378076709941</v>
      </c>
      <c r="AK28" s="199">
        <f t="shared" si="26"/>
        <v>2004.0392871067604</v>
      </c>
      <c r="AL28" s="199">
        <f t="shared" si="26"/>
        <v>5376.7645711018959</v>
      </c>
      <c r="AM28" s="199">
        <f t="shared" si="26"/>
        <v>3203.0177003276208</v>
      </c>
      <c r="AN28" s="199">
        <f t="shared" si="26"/>
        <v>3016.7325198050617</v>
      </c>
      <c r="AO28" s="200">
        <f t="shared" si="26"/>
        <v>1302.9458098658099</v>
      </c>
      <c r="AP28" s="199">
        <f t="shared" si="26"/>
        <v>1584.8725847990336</v>
      </c>
      <c r="AQ28" s="199">
        <f t="shared" si="26"/>
        <v>1325.833229777211</v>
      </c>
      <c r="AR28" s="199">
        <f t="shared" si="26"/>
        <v>242.78416447977042</v>
      </c>
      <c r="AS28" s="200">
        <f t="shared" si="26"/>
        <v>3202.0350013674406</v>
      </c>
      <c r="AT28" s="199">
        <f t="shared" si="26"/>
        <v>5853.4273230112121</v>
      </c>
      <c r="AU28" s="199">
        <f t="shared" si="26"/>
        <v>6332.8797283906833</v>
      </c>
      <c r="AV28" s="199">
        <f t="shared" si="26"/>
        <v>4220.916246592963</v>
      </c>
      <c r="AW28" s="199">
        <f t="shared" si="26"/>
        <v>2572.5823614480314</v>
      </c>
      <c r="AX28" s="199">
        <f t="shared" si="26"/>
        <v>2921.3938237603038</v>
      </c>
      <c r="AY28" s="199">
        <f t="shared" si="26"/>
        <v>3637.044689296953</v>
      </c>
      <c r="AZ28" s="200">
        <f t="shared" si="26"/>
        <v>3150.1429799718057</v>
      </c>
      <c r="BA28" s="199">
        <f t="shared" si="26"/>
        <v>2595.6636810554569</v>
      </c>
      <c r="BB28" s="199">
        <f t="shared" si="26"/>
        <v>4856.8327079378541</v>
      </c>
      <c r="BC28" s="199">
        <f t="shared" si="26"/>
        <v>2222.9089031336898</v>
      </c>
      <c r="BD28" s="200">
        <f t="shared" si="26"/>
        <v>3560.689608142975</v>
      </c>
      <c r="BE28" s="199">
        <f t="shared" si="26"/>
        <v>3382.3576905697105</v>
      </c>
      <c r="BF28" s="199">
        <f t="shared" si="26"/>
        <v>6256.4144296326449</v>
      </c>
      <c r="BG28" s="199">
        <f t="shared" si="26"/>
        <v>4721.4972351707984</v>
      </c>
      <c r="BH28" s="199">
        <f t="shared" si="26"/>
        <v>6832.7429403349151</v>
      </c>
      <c r="BI28" s="199">
        <f t="shared" si="26"/>
        <v>3456.2454393236249</v>
      </c>
      <c r="BJ28" s="199">
        <f t="shared" si="26"/>
        <v>6399.2979122100396</v>
      </c>
      <c r="BK28" s="200">
        <f t="shared" si="26"/>
        <v>5113.4650491340553</v>
      </c>
      <c r="BL28" s="199">
        <f t="shared" si="26"/>
        <v>5452.0470519069777</v>
      </c>
      <c r="BM28" s="199">
        <f t="shared" si="26"/>
        <v>3602.2874999999999</v>
      </c>
      <c r="BN28" s="199">
        <f t="shared" ref="BN28:BT28" si="27">BN14/BN$4</f>
        <v>3901.5681312909451</v>
      </c>
      <c r="BO28" s="200">
        <f t="shared" si="27"/>
        <v>2716.1379492501155</v>
      </c>
      <c r="BP28" s="199">
        <f t="shared" si="27"/>
        <v>2802.9448452859424</v>
      </c>
      <c r="BQ28" s="199">
        <f t="shared" si="27"/>
        <v>2424.1590389610392</v>
      </c>
      <c r="BR28" s="199">
        <f t="shared" si="27"/>
        <v>2385.7811636669949</v>
      </c>
      <c r="BS28" s="200">
        <f t="shared" si="27"/>
        <v>2440.1387424851368</v>
      </c>
      <c r="BT28" s="202">
        <f t="shared" si="27"/>
        <v>1965.9119267187198</v>
      </c>
      <c r="BU28" s="202">
        <f t="shared" si="9"/>
        <v>1557</v>
      </c>
      <c r="BV28" s="202">
        <f t="shared" si="9"/>
        <v>241.16107344031386</v>
      </c>
      <c r="BW28" s="202">
        <f t="shared" si="9"/>
        <v>265.308157923294</v>
      </c>
      <c r="BX28" s="202">
        <f t="shared" si="9"/>
        <v>227.15850620525356</v>
      </c>
      <c r="BY28" s="202">
        <f t="shared" si="9"/>
        <v>218.96831844195736</v>
      </c>
    </row>
    <row r="29" spans="1:81" s="211" customFormat="1">
      <c r="A29" s="194" t="s">
        <v>380</v>
      </c>
      <c r="B29" s="195">
        <f t="shared" ref="B29:AG29" si="28">B15/B$4</f>
        <v>0</v>
      </c>
      <c r="C29" s="198">
        <f t="shared" si="28"/>
        <v>0</v>
      </c>
      <c r="D29" s="199">
        <f t="shared" si="28"/>
        <v>0</v>
      </c>
      <c r="E29" s="198">
        <f t="shared" si="28"/>
        <v>0</v>
      </c>
      <c r="F29" s="199">
        <f t="shared" si="28"/>
        <v>0</v>
      </c>
      <c r="G29" s="199">
        <f t="shared" si="28"/>
        <v>0</v>
      </c>
      <c r="H29" s="198">
        <f t="shared" si="28"/>
        <v>0</v>
      </c>
      <c r="I29" s="199">
        <f t="shared" si="28"/>
        <v>0</v>
      </c>
      <c r="J29" s="199">
        <f t="shared" si="28"/>
        <v>0</v>
      </c>
      <c r="K29" s="199">
        <f t="shared" si="28"/>
        <v>0</v>
      </c>
      <c r="L29" s="200">
        <f t="shared" si="28"/>
        <v>0</v>
      </c>
      <c r="M29" s="210">
        <f t="shared" si="28"/>
        <v>0</v>
      </c>
      <c r="N29" s="198">
        <f t="shared" si="28"/>
        <v>0</v>
      </c>
      <c r="O29" s="199">
        <f t="shared" si="28"/>
        <v>0</v>
      </c>
      <c r="P29" s="198">
        <f t="shared" si="28"/>
        <v>0</v>
      </c>
      <c r="Q29" s="199">
        <f t="shared" si="28"/>
        <v>0</v>
      </c>
      <c r="R29" s="199">
        <f t="shared" si="28"/>
        <v>0</v>
      </c>
      <c r="S29" s="198">
        <f t="shared" si="28"/>
        <v>0</v>
      </c>
      <c r="T29" s="199">
        <f t="shared" si="28"/>
        <v>0</v>
      </c>
      <c r="U29" s="199">
        <f t="shared" si="28"/>
        <v>0</v>
      </c>
      <c r="V29" s="199">
        <f t="shared" si="28"/>
        <v>0</v>
      </c>
      <c r="W29" s="200">
        <f t="shared" si="28"/>
        <v>0</v>
      </c>
      <c r="X29" s="210">
        <f t="shared" si="28"/>
        <v>0</v>
      </c>
      <c r="Y29" s="198">
        <f t="shared" si="28"/>
        <v>0</v>
      </c>
      <c r="Z29" s="199">
        <f t="shared" si="28"/>
        <v>0</v>
      </c>
      <c r="AA29" s="198">
        <f t="shared" si="28"/>
        <v>0</v>
      </c>
      <c r="AB29" s="199">
        <f t="shared" si="28"/>
        <v>0</v>
      </c>
      <c r="AC29" s="199">
        <f t="shared" si="28"/>
        <v>0</v>
      </c>
      <c r="AD29" s="198">
        <f t="shared" si="28"/>
        <v>0</v>
      </c>
      <c r="AE29" s="199">
        <f t="shared" si="28"/>
        <v>0</v>
      </c>
      <c r="AF29" s="199">
        <f t="shared" si="28"/>
        <v>0</v>
      </c>
      <c r="AG29" s="199">
        <f t="shared" si="28"/>
        <v>0</v>
      </c>
      <c r="AH29" s="235">
        <f t="shared" ref="AH29:BM29" si="29">AH15/AH$4</f>
        <v>0</v>
      </c>
      <c r="AI29" s="210">
        <f t="shared" si="29"/>
        <v>0</v>
      </c>
      <c r="AJ29" s="198">
        <f t="shared" si="29"/>
        <v>0</v>
      </c>
      <c r="AK29" s="199">
        <f t="shared" si="29"/>
        <v>0</v>
      </c>
      <c r="AL29" s="198">
        <f t="shared" si="29"/>
        <v>0</v>
      </c>
      <c r="AM29" s="199">
        <f t="shared" si="29"/>
        <v>0</v>
      </c>
      <c r="AN29" s="199">
        <f t="shared" si="29"/>
        <v>0</v>
      </c>
      <c r="AO29" s="198">
        <f t="shared" si="29"/>
        <v>0</v>
      </c>
      <c r="AP29" s="199">
        <f t="shared" si="29"/>
        <v>0</v>
      </c>
      <c r="AQ29" s="199">
        <f t="shared" si="29"/>
        <v>0</v>
      </c>
      <c r="AR29" s="199">
        <f t="shared" si="29"/>
        <v>0</v>
      </c>
      <c r="AS29" s="200">
        <f t="shared" si="29"/>
        <v>0</v>
      </c>
      <c r="AT29" s="210">
        <f t="shared" si="29"/>
        <v>0</v>
      </c>
      <c r="AU29" s="198">
        <f t="shared" si="29"/>
        <v>0</v>
      </c>
      <c r="AV29" s="199">
        <f t="shared" si="29"/>
        <v>0</v>
      </c>
      <c r="AW29" s="198">
        <f t="shared" si="29"/>
        <v>0</v>
      </c>
      <c r="AX29" s="199">
        <f t="shared" si="29"/>
        <v>0</v>
      </c>
      <c r="AY29" s="199">
        <f t="shared" si="29"/>
        <v>0</v>
      </c>
      <c r="AZ29" s="198">
        <f t="shared" si="29"/>
        <v>0</v>
      </c>
      <c r="BA29" s="199">
        <f t="shared" si="29"/>
        <v>0</v>
      </c>
      <c r="BB29" s="199">
        <f t="shared" si="29"/>
        <v>0</v>
      </c>
      <c r="BC29" s="199">
        <f t="shared" si="29"/>
        <v>0</v>
      </c>
      <c r="BD29" s="200">
        <f t="shared" si="29"/>
        <v>114.9950340373023</v>
      </c>
      <c r="BE29" s="210">
        <f t="shared" si="29"/>
        <v>0</v>
      </c>
      <c r="BF29" s="198">
        <f t="shared" si="29"/>
        <v>0</v>
      </c>
      <c r="BG29" s="199">
        <f t="shared" si="29"/>
        <v>0</v>
      </c>
      <c r="BH29" s="198">
        <f t="shared" si="29"/>
        <v>0</v>
      </c>
      <c r="BI29" s="199">
        <f t="shared" si="29"/>
        <v>90.953827350621708</v>
      </c>
      <c r="BJ29" s="199">
        <f t="shared" si="29"/>
        <v>0</v>
      </c>
      <c r="BK29" s="198">
        <f t="shared" si="29"/>
        <v>0</v>
      </c>
      <c r="BL29" s="199">
        <f t="shared" si="29"/>
        <v>0</v>
      </c>
      <c r="BM29" s="199">
        <f t="shared" si="29"/>
        <v>2.2820953436807092</v>
      </c>
      <c r="BN29" s="199">
        <f t="shared" ref="BN29:BT29" si="30">BN15/BN$4</f>
        <v>57.145311515174669</v>
      </c>
      <c r="BO29" s="200">
        <f t="shared" si="30"/>
        <v>0</v>
      </c>
      <c r="BP29" s="210">
        <f t="shared" si="30"/>
        <v>0</v>
      </c>
      <c r="BQ29" s="198">
        <f t="shared" si="30"/>
        <v>31.010415584415586</v>
      </c>
      <c r="BR29" s="199">
        <f t="shared" si="30"/>
        <v>0</v>
      </c>
      <c r="BS29" s="200">
        <f t="shared" si="30"/>
        <v>0</v>
      </c>
      <c r="BT29" s="202">
        <f t="shared" si="30"/>
        <v>0</v>
      </c>
      <c r="BU29" s="202">
        <f t="shared" si="9"/>
        <v>0</v>
      </c>
      <c r="BV29" s="202">
        <f t="shared" si="9"/>
        <v>0</v>
      </c>
      <c r="BW29" s="202">
        <f t="shared" si="9"/>
        <v>0</v>
      </c>
      <c r="BX29" s="202">
        <f t="shared" si="9"/>
        <v>0</v>
      </c>
      <c r="BY29" s="202">
        <f t="shared" si="9"/>
        <v>0</v>
      </c>
    </row>
    <row r="30" spans="1:81" s="298" customFormat="1">
      <c r="A30" s="298" t="s">
        <v>762</v>
      </c>
      <c r="B30" s="299"/>
      <c r="C30" s="299"/>
      <c r="D30" s="299"/>
      <c r="E30" s="299"/>
      <c r="F30" s="299"/>
      <c r="G30" s="299"/>
      <c r="H30" s="299"/>
      <c r="I30" s="299"/>
      <c r="J30" s="299"/>
      <c r="K30" s="299"/>
      <c r="L30" s="299"/>
      <c r="M30" s="299"/>
      <c r="N30" s="299"/>
      <c r="O30" s="299"/>
      <c r="P30" s="299"/>
      <c r="Q30" s="299"/>
      <c r="R30" s="299"/>
      <c r="S30" s="299"/>
      <c r="T30" s="299"/>
      <c r="U30" s="299"/>
      <c r="V30" s="299"/>
      <c r="W30" s="299"/>
      <c r="X30" s="299"/>
      <c r="Y30" s="299"/>
      <c r="Z30" s="299"/>
      <c r="AA30" s="299"/>
      <c r="AB30" s="299"/>
      <c r="AC30" s="299"/>
      <c r="AD30" s="299"/>
      <c r="AE30" s="299"/>
      <c r="AF30" s="299"/>
      <c r="AG30" s="299"/>
      <c r="AH30" s="235">
        <f t="shared" ref="AH30:AH31" si="31">AH16/AH$4</f>
        <v>0</v>
      </c>
      <c r="AI30" s="381"/>
      <c r="AJ30" s="299"/>
      <c r="AK30" s="299"/>
      <c r="AL30" s="299"/>
      <c r="AM30" s="299"/>
      <c r="AN30" s="299"/>
      <c r="AO30" s="299"/>
      <c r="AP30" s="299"/>
      <c r="AQ30" s="299"/>
      <c r="AR30" s="299"/>
      <c r="AS30" s="299"/>
      <c r="AT30" s="299"/>
      <c r="AU30" s="299"/>
      <c r="AV30" s="299"/>
      <c r="AW30" s="299"/>
      <c r="AX30" s="299"/>
      <c r="AY30" s="299"/>
      <c r="AZ30" s="299"/>
      <c r="BA30" s="299"/>
      <c r="BB30" s="299"/>
      <c r="BC30" s="299"/>
      <c r="BD30" s="299"/>
      <c r="BE30" s="299"/>
      <c r="BF30" s="299"/>
      <c r="BG30" s="299"/>
      <c r="BH30" s="299"/>
      <c r="BI30" s="299"/>
      <c r="BJ30" s="299"/>
      <c r="BK30" s="299"/>
      <c r="BL30" s="299"/>
      <c r="BM30" s="299"/>
      <c r="BN30" s="299"/>
      <c r="BO30" s="299"/>
      <c r="BP30" s="299"/>
      <c r="BQ30" s="299"/>
      <c r="BR30" s="299"/>
      <c r="BS30" s="299"/>
      <c r="BT30" s="299"/>
      <c r="BU30" s="299"/>
      <c r="BV30" s="299">
        <v>53000</v>
      </c>
      <c r="BW30" s="299">
        <v>45800</v>
      </c>
      <c r="BX30" s="299">
        <v>45800</v>
      </c>
      <c r="BY30" s="300">
        <v>45800</v>
      </c>
      <c r="BZ30" s="297"/>
      <c r="CA30" s="297"/>
      <c r="CB30" s="297"/>
      <c r="CC30" s="297"/>
    </row>
    <row r="31" spans="1:81" s="298" customFormat="1">
      <c r="A31" s="298" t="s">
        <v>763</v>
      </c>
      <c r="B31" s="303"/>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c r="AA31" s="303"/>
      <c r="AB31" s="303"/>
      <c r="AC31" s="303"/>
      <c r="AD31" s="303"/>
      <c r="AE31" s="303"/>
      <c r="AF31" s="303"/>
      <c r="AG31" s="303"/>
      <c r="AH31" s="235">
        <f t="shared" si="31"/>
        <v>0</v>
      </c>
      <c r="AI31" s="303"/>
      <c r="AJ31" s="303"/>
      <c r="AK31" s="303"/>
      <c r="AL31" s="303"/>
      <c r="AM31" s="303"/>
      <c r="AN31" s="303"/>
      <c r="AO31" s="303"/>
      <c r="AP31" s="303"/>
      <c r="AQ31" s="303"/>
      <c r="AR31" s="303"/>
      <c r="AS31" s="303"/>
      <c r="AT31" s="303"/>
      <c r="AU31" s="303"/>
      <c r="AV31" s="303"/>
      <c r="AW31" s="303"/>
      <c r="AX31" s="303"/>
      <c r="AY31" s="303"/>
      <c r="AZ31" s="303"/>
      <c r="BA31" s="303"/>
      <c r="BB31" s="303"/>
      <c r="BC31" s="299">
        <f>OCO_CBO_TOA!G11*1000/BC4</f>
        <v>21830.682939134982</v>
      </c>
      <c r="BD31" s="299">
        <f>OCO_CBO_TOA!H11*1000/BD4</f>
        <v>42514.911017694678</v>
      </c>
      <c r="BE31" s="299">
        <f>OCO_CBO_TOA!I11*1000/BE4</f>
        <v>106821.5988320762</v>
      </c>
      <c r="BF31" s="299">
        <f>OCO_CBO_TOA!J11*1000/BF4</f>
        <v>91818.125946173823</v>
      </c>
      <c r="BG31" s="299">
        <f>OCO_CBO_TOA!K11*1000/BG4</f>
        <v>130480.71369361947</v>
      </c>
      <c r="BH31" s="299">
        <f>OCO_CBO_TOA!L11*1000/BH4</f>
        <v>154124.75616226019</v>
      </c>
      <c r="BI31" s="299">
        <f>OCO_CBO_TOA!M11*1000/BI4</f>
        <v>205034.18120226153</v>
      </c>
      <c r="BJ31" s="299">
        <f>OCO_CBO_TOA!N11*1000/BJ4</f>
        <v>221921.14061279307</v>
      </c>
      <c r="BK31" s="299">
        <f>OCO_CBO_TOA!O11*1000/BK4</f>
        <v>179846.22652713448</v>
      </c>
      <c r="BL31" s="299">
        <f>OCO_CBO_TOA!P11*1000/BL4</f>
        <v>186694.48328930236</v>
      </c>
      <c r="BM31" s="299">
        <f>OCO_CBO_TOA!Q11*1000/BM4</f>
        <v>181320.46238913527</v>
      </c>
      <c r="BN31" s="299">
        <f>OCO_CBO_TOA!R11*1000/BN4</f>
        <v>128950.07617844795</v>
      </c>
      <c r="BO31" s="299">
        <f>OCO_CBO_TOA!S11*1000/BO4</f>
        <v>90665.015310425166</v>
      </c>
      <c r="BP31" s="299">
        <f>OCO_CBO_TOA!T11*1000/BP4</f>
        <v>92196.32326625484</v>
      </c>
      <c r="BQ31" s="299">
        <f>OCO_CBO_TOA!U11*1000/BQ4</f>
        <v>68797.141636363624</v>
      </c>
      <c r="BR31" s="299">
        <f>OCO_CBO_TOA!V11*1000/BR4</f>
        <v>61985.913795938221</v>
      </c>
      <c r="BS31" s="299">
        <f>OCO_CBO_TOA!W11*1000/BS4</f>
        <v>85727.020812435672</v>
      </c>
      <c r="BT31" s="299">
        <f>OCO_CBO_TOA!X11*1000/BT4</f>
        <v>89850.740227489718</v>
      </c>
      <c r="BU31" s="299">
        <f>OCO_CBO_TOA!Y11*1000/BU4</f>
        <v>69000.000000000015</v>
      </c>
      <c r="BV31" s="299">
        <f>OCO_CBO_TOA!Z11*1000/BV4</f>
        <v>19587.831608452543</v>
      </c>
      <c r="BW31" s="299">
        <f>OCO_CBO_TOA!AA11*1000/BW4</f>
        <v>19172.202413158589</v>
      </c>
      <c r="BX31" s="299">
        <f>OCO_CBO_TOA!AB11*1000/BX4</f>
        <v>18766.113031733046</v>
      </c>
      <c r="BY31" s="299">
        <f>OCO_CBO_TOA!AC11*1000/BY4</f>
        <v>18365.2525480197</v>
      </c>
      <c r="BZ31" s="297"/>
      <c r="CA31" s="297"/>
      <c r="CB31" s="297"/>
      <c r="CC31" s="297"/>
    </row>
    <row r="32" spans="1:81" s="211" customFormat="1">
      <c r="A32" s="372" t="s">
        <v>776</v>
      </c>
      <c r="B32" s="379">
        <f t="shared" ref="B32" si="32">B18/B$4</f>
        <v>102984.11083665628</v>
      </c>
      <c r="C32" s="374">
        <f t="shared" ref="C32:BM32" si="33">C18/C$4</f>
        <v>114240.29232018899</v>
      </c>
      <c r="D32" s="375">
        <f t="shared" si="33"/>
        <v>124219.75085290204</v>
      </c>
      <c r="E32" s="374">
        <f t="shared" si="33"/>
        <v>371450.1804926765</v>
      </c>
      <c r="F32" s="375">
        <f t="shared" si="33"/>
        <v>452153.80055256048</v>
      </c>
      <c r="G32" s="375">
        <f t="shared" si="33"/>
        <v>343853.44343006512</v>
      </c>
      <c r="H32" s="374">
        <f t="shared" si="33"/>
        <v>233512.19973511228</v>
      </c>
      <c r="I32" s="375">
        <f t="shared" si="33"/>
        <v>257297.73365782431</v>
      </c>
      <c r="J32" s="375">
        <f t="shared" si="33"/>
        <v>282516.28099944664</v>
      </c>
      <c r="K32" s="375">
        <f t="shared" si="33"/>
        <v>284221.81352847011</v>
      </c>
      <c r="L32" s="376">
        <f t="shared" si="33"/>
        <v>285617.27115649282</v>
      </c>
      <c r="M32" s="373">
        <f t="shared" si="33"/>
        <v>288608.53240348044</v>
      </c>
      <c r="N32" s="374">
        <f t="shared" si="33"/>
        <v>271593.60802978469</v>
      </c>
      <c r="O32" s="375">
        <f t="shared" si="33"/>
        <v>297100.86786818295</v>
      </c>
      <c r="P32" s="374">
        <f t="shared" si="33"/>
        <v>318978.49577480601</v>
      </c>
      <c r="Q32" s="375">
        <f t="shared" si="33"/>
        <v>321622.39408730372</v>
      </c>
      <c r="R32" s="375">
        <f t="shared" si="33"/>
        <v>318552.90624674654</v>
      </c>
      <c r="S32" s="374">
        <f t="shared" si="33"/>
        <v>313175.07904835005</v>
      </c>
      <c r="T32" s="375">
        <f t="shared" si="33"/>
        <v>399115.93933555624</v>
      </c>
      <c r="U32" s="375">
        <f t="shared" si="33"/>
        <v>429688.86735555157</v>
      </c>
      <c r="V32" s="375">
        <f t="shared" si="33"/>
        <v>434911.90735132335</v>
      </c>
      <c r="W32" s="376">
        <f t="shared" si="33"/>
        <v>431321.36925640941</v>
      </c>
      <c r="X32" s="373">
        <f t="shared" si="33"/>
        <v>397570.0319628453</v>
      </c>
      <c r="Y32" s="374">
        <f t="shared" si="33"/>
        <v>365016.76759873168</v>
      </c>
      <c r="Z32" s="375">
        <f t="shared" si="33"/>
        <v>365741.27758958063</v>
      </c>
      <c r="AA32" s="374">
        <f t="shared" si="33"/>
        <v>361851.00574403867</v>
      </c>
      <c r="AB32" s="375">
        <f t="shared" si="33"/>
        <v>349731.34785321407</v>
      </c>
      <c r="AC32" s="375">
        <f t="shared" si="33"/>
        <v>334215.54592896358</v>
      </c>
      <c r="AD32" s="374">
        <f t="shared" si="33"/>
        <v>347064.25602832495</v>
      </c>
      <c r="AE32" s="375">
        <f t="shared" si="33"/>
        <v>364064.19925433409</v>
      </c>
      <c r="AF32" s="375">
        <f t="shared" si="33"/>
        <v>368266.43561177334</v>
      </c>
      <c r="AG32" s="375">
        <f t="shared" si="33"/>
        <v>366129.05631649739</v>
      </c>
      <c r="AH32" s="377">
        <f t="shared" si="33"/>
        <v>383415.12596765195</v>
      </c>
      <c r="AI32" s="373">
        <f t="shared" si="33"/>
        <v>431776.24152796424</v>
      </c>
      <c r="AJ32" s="374">
        <f t="shared" si="33"/>
        <v>484876.37666530989</v>
      </c>
      <c r="AK32" s="375">
        <f t="shared" si="33"/>
        <v>519182.86450894648</v>
      </c>
      <c r="AL32" s="374">
        <f t="shared" si="33"/>
        <v>543577.05696227809</v>
      </c>
      <c r="AM32" s="375">
        <f t="shared" si="33"/>
        <v>569232.30846369371</v>
      </c>
      <c r="AN32" s="375">
        <f t="shared" si="33"/>
        <v>560503.66269778216</v>
      </c>
      <c r="AO32" s="374">
        <f t="shared" si="33"/>
        <v>557286.28362124367</v>
      </c>
      <c r="AP32" s="375">
        <f t="shared" si="33"/>
        <v>549561.25197671168</v>
      </c>
      <c r="AQ32" s="375">
        <f t="shared" si="33"/>
        <v>535364.84738123009</v>
      </c>
      <c r="AR32" s="375">
        <f t="shared" si="33"/>
        <v>516325.71551947441</v>
      </c>
      <c r="AS32" s="376">
        <f t="shared" si="33"/>
        <v>531595.99792878376</v>
      </c>
      <c r="AT32" s="373">
        <f t="shared" si="33"/>
        <v>476417.86683395627</v>
      </c>
      <c r="AU32" s="374">
        <f t="shared" si="33"/>
        <v>440013.57463519444</v>
      </c>
      <c r="AV32" s="375">
        <f t="shared" si="33"/>
        <v>401392.68577466084</v>
      </c>
      <c r="AW32" s="374">
        <f t="shared" si="33"/>
        <v>397561.71733465738</v>
      </c>
      <c r="AX32" s="375">
        <f t="shared" si="33"/>
        <v>391543.52997252392</v>
      </c>
      <c r="AY32" s="375">
        <f t="shared" si="33"/>
        <v>383444.97776592092</v>
      </c>
      <c r="AZ32" s="374">
        <f t="shared" si="33"/>
        <v>386127.95619642112</v>
      </c>
      <c r="BA32" s="375">
        <f t="shared" si="33"/>
        <v>401311.0884753819</v>
      </c>
      <c r="BB32" s="375">
        <f t="shared" si="33"/>
        <v>413685.6634622828</v>
      </c>
      <c r="BC32" s="375">
        <f t="shared" si="33"/>
        <v>445623.5492070539</v>
      </c>
      <c r="BD32" s="376">
        <f t="shared" si="33"/>
        <v>492369.9422422701</v>
      </c>
      <c r="BE32" s="373">
        <f t="shared" si="33"/>
        <v>588682.49863394629</v>
      </c>
      <c r="BF32" s="374">
        <f t="shared" si="33"/>
        <v>605014.90955530689</v>
      </c>
      <c r="BG32" s="375">
        <f t="shared" si="33"/>
        <v>646265.06258231599</v>
      </c>
      <c r="BH32" s="374">
        <f t="shared" si="33"/>
        <v>668041.6995623128</v>
      </c>
      <c r="BI32" s="375">
        <f t="shared" si="33"/>
        <v>732326.26173166174</v>
      </c>
      <c r="BJ32" s="375">
        <f t="shared" si="33"/>
        <v>795194.15287523635</v>
      </c>
      <c r="BK32" s="374">
        <f t="shared" si="33"/>
        <v>782006.64930671826</v>
      </c>
      <c r="BL32" s="375">
        <f t="shared" si="33"/>
        <v>805397.62589916284</v>
      </c>
      <c r="BM32" s="375">
        <f t="shared" si="33"/>
        <v>786286.82228381373</v>
      </c>
      <c r="BN32" s="375">
        <f t="shared" ref="BN32:BT32" si="34">BN18/BN$4</f>
        <v>730886.29328647559</v>
      </c>
      <c r="BO32" s="376">
        <f t="shared" si="34"/>
        <v>645033.72921921825</v>
      </c>
      <c r="BP32" s="373">
        <f t="shared" si="34"/>
        <v>628972.16553746967</v>
      </c>
      <c r="BQ32" s="374">
        <f t="shared" si="34"/>
        <v>604599.37940259743</v>
      </c>
      <c r="BR32" s="375">
        <f t="shared" si="34"/>
        <v>621527.1763626904</v>
      </c>
      <c r="BS32" s="376">
        <f t="shared" si="34"/>
        <v>633196.25808881666</v>
      </c>
      <c r="BT32" s="380">
        <f t="shared" si="34"/>
        <v>624508.42748847546</v>
      </c>
      <c r="BU32" s="380">
        <f t="shared" ref="BU32:BY32" si="35">BU18/BU$4</f>
        <v>686356</v>
      </c>
      <c r="BV32" s="380">
        <f t="shared" si="35"/>
        <v>667274.68272399413</v>
      </c>
      <c r="BW32" s="380">
        <f t="shared" si="35"/>
        <v>665250.98960820434</v>
      </c>
      <c r="BX32" s="380">
        <f t="shared" si="35"/>
        <v>663756.20740551036</v>
      </c>
      <c r="BY32" s="380">
        <f t="shared" si="35"/>
        <v>662797.1554064597</v>
      </c>
    </row>
    <row r="33" spans="1:78" s="302" customFormat="1">
      <c r="A33" s="371" t="s">
        <v>775</v>
      </c>
      <c r="B33" s="306"/>
      <c r="C33" s="306"/>
      <c r="D33" s="306"/>
      <c r="E33" s="306"/>
      <c r="F33" s="306"/>
      <c r="G33" s="306"/>
      <c r="H33" s="306"/>
      <c r="I33" s="306"/>
      <c r="J33" s="306"/>
      <c r="K33" s="306"/>
      <c r="L33" s="306"/>
      <c r="M33" s="306"/>
      <c r="N33" s="306"/>
      <c r="O33" s="306"/>
      <c r="P33" s="306"/>
      <c r="Q33" s="306"/>
      <c r="R33" s="306"/>
      <c r="S33" s="306"/>
      <c r="T33" s="306"/>
      <c r="U33" s="306"/>
      <c r="V33" s="306"/>
      <c r="W33" s="306"/>
      <c r="X33" s="306"/>
      <c r="Y33" s="306"/>
      <c r="Z33" s="306"/>
      <c r="AA33" s="306"/>
      <c r="AB33" s="306"/>
      <c r="AC33" s="306"/>
      <c r="AD33" s="306"/>
      <c r="AE33" s="306"/>
      <c r="AF33" s="306"/>
      <c r="AG33" s="306"/>
      <c r="AH33" s="236"/>
      <c r="AI33" s="306"/>
      <c r="AJ33" s="306"/>
      <c r="AK33" s="306"/>
      <c r="AL33" s="306"/>
      <c r="AM33" s="307"/>
      <c r="AN33" s="307"/>
      <c r="AO33" s="305"/>
      <c r="AP33" s="305"/>
      <c r="AQ33" s="305"/>
      <c r="AR33" s="305"/>
      <c r="AS33" s="305"/>
      <c r="AT33" s="308"/>
      <c r="AU33" s="308"/>
      <c r="AV33" s="308"/>
      <c r="AW33" s="308"/>
      <c r="AX33" s="308"/>
      <c r="AY33" s="308"/>
      <c r="AZ33" s="308"/>
      <c r="BA33" s="308"/>
      <c r="BB33" s="308"/>
      <c r="BC33" s="309">
        <f t="shared" ref="BC33:BU33" si="36">SUM(BC21:BC30)-BC31</f>
        <v>423792.86626791896</v>
      </c>
      <c r="BD33" s="309">
        <f t="shared" si="36"/>
        <v>449853.64574223768</v>
      </c>
      <c r="BE33" s="309">
        <f t="shared" si="36"/>
        <v>481858.18086481967</v>
      </c>
      <c r="BF33" s="309">
        <f t="shared" si="36"/>
        <v>513196.78360913298</v>
      </c>
      <c r="BG33" s="309">
        <f t="shared" si="36"/>
        <v>515783.06272764085</v>
      </c>
      <c r="BH33" s="309">
        <f t="shared" si="36"/>
        <v>513915.69768575171</v>
      </c>
      <c r="BI33" s="309">
        <f t="shared" si="36"/>
        <v>527292.08052940015</v>
      </c>
      <c r="BJ33" s="309">
        <f t="shared" si="36"/>
        <v>573274.20039796352</v>
      </c>
      <c r="BK33" s="309">
        <f t="shared" si="36"/>
        <v>602161.59720885544</v>
      </c>
      <c r="BL33" s="309">
        <f t="shared" si="36"/>
        <v>618703.14260986052</v>
      </c>
      <c r="BM33" s="309">
        <f t="shared" si="36"/>
        <v>604967.50094235025</v>
      </c>
      <c r="BN33" s="309">
        <f t="shared" si="36"/>
        <v>601936.21710802778</v>
      </c>
      <c r="BO33" s="309">
        <f t="shared" si="36"/>
        <v>554368.71390879317</v>
      </c>
      <c r="BP33" s="309">
        <f t="shared" si="36"/>
        <v>536776.92448930175</v>
      </c>
      <c r="BQ33" s="309">
        <f t="shared" si="36"/>
        <v>535803.3070909091</v>
      </c>
      <c r="BR33" s="309">
        <f t="shared" si="36"/>
        <v>559542.3196253092</v>
      </c>
      <c r="BS33" s="309">
        <f t="shared" si="36"/>
        <v>547469.237276381</v>
      </c>
      <c r="BT33" s="309">
        <f t="shared" si="36"/>
        <v>534657.68726098584</v>
      </c>
      <c r="BU33" s="309">
        <f t="shared" si="36"/>
        <v>617356</v>
      </c>
      <c r="BV33" s="309">
        <f>SUM(BV21:BV30)</f>
        <v>720274.68272399413</v>
      </c>
      <c r="BW33" s="309">
        <f>SUM(BW21:BW30)</f>
        <v>711050.98960820434</v>
      </c>
      <c r="BX33" s="309">
        <f>SUM(BX21:BX30)</f>
        <v>709556.20740551071</v>
      </c>
      <c r="BY33" s="309">
        <f>SUM(BY21:BY30)</f>
        <v>708597.15540645993</v>
      </c>
      <c r="BZ33" s="301"/>
    </row>
    <row r="34" spans="1:78" ht="15" customHeight="1">
      <c r="A34" s="214" t="s">
        <v>381</v>
      </c>
      <c r="B34" s="214"/>
      <c r="C34" s="214"/>
      <c r="D34" s="214"/>
      <c r="E34" s="214"/>
      <c r="F34" s="214"/>
      <c r="G34" s="214"/>
      <c r="H34" s="214"/>
      <c r="I34" s="214"/>
      <c r="J34" s="214"/>
      <c r="K34" s="214"/>
      <c r="L34" s="214"/>
      <c r="M34" s="214"/>
      <c r="N34" s="214"/>
      <c r="O34" s="214"/>
      <c r="P34" s="214"/>
      <c r="Q34" s="214"/>
      <c r="R34" s="214"/>
      <c r="S34" s="214"/>
      <c r="T34" s="214"/>
      <c r="U34" s="214"/>
      <c r="V34" s="214"/>
      <c r="W34" s="214"/>
      <c r="X34" s="214"/>
      <c r="Y34" s="214"/>
      <c r="Z34" s="214"/>
      <c r="AA34" s="214"/>
      <c r="AB34" s="214"/>
      <c r="AC34" s="214"/>
      <c r="AD34" s="214"/>
      <c r="AE34" s="214"/>
      <c r="AF34" s="214"/>
      <c r="AG34" s="214"/>
      <c r="AH34" s="236"/>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402"/>
      <c r="BU34" s="214"/>
      <c r="BV34" s="214"/>
      <c r="BW34" s="214"/>
      <c r="BX34" s="214"/>
      <c r="BY34" s="214"/>
    </row>
    <row r="35" spans="1:78" s="201" customFormat="1" ht="15.5" customHeight="1">
      <c r="A35" s="194" t="s">
        <v>372</v>
      </c>
      <c r="B35" s="215"/>
      <c r="C35" s="216">
        <f t="shared" ref="C35:AH35" si="37">IF(B21&lt;&gt;0,C21/B21-1,0)</f>
        <v>8.7192816635160764E-2</v>
      </c>
      <c r="D35" s="216">
        <f t="shared" si="37"/>
        <v>7.564530601240449E-2</v>
      </c>
      <c r="E35" s="217">
        <f t="shared" si="37"/>
        <v>0.63654540968740903</v>
      </c>
      <c r="F35" s="217">
        <f t="shared" si="37"/>
        <v>0.25702027130034688</v>
      </c>
      <c r="G35" s="217">
        <f t="shared" si="37"/>
        <v>7.3776350854809714E-2</v>
      </c>
      <c r="H35" s="218">
        <f t="shared" si="37"/>
        <v>-9.2111123230686376E-2</v>
      </c>
      <c r="I35" s="219">
        <f t="shared" si="37"/>
        <v>-2.1040193598436896E-2</v>
      </c>
      <c r="J35" s="219">
        <f t="shared" si="37"/>
        <v>-3.8722192236687603E-2</v>
      </c>
      <c r="K35" s="219">
        <f t="shared" si="37"/>
        <v>-3.0931581808729236E-2</v>
      </c>
      <c r="L35" s="220">
        <f t="shared" si="37"/>
        <v>-2.5575846136139058E-2</v>
      </c>
      <c r="M35" s="221">
        <f t="shared" si="37"/>
        <v>1.2391067486647867E-2</v>
      </c>
      <c r="N35" s="216">
        <f t="shared" si="37"/>
        <v>-1.8327690982327338E-2</v>
      </c>
      <c r="O35" s="216">
        <f t="shared" si="37"/>
        <v>-3.4643308204448386E-3</v>
      </c>
      <c r="P35" s="217">
        <f t="shared" si="37"/>
        <v>5.949100617556291E-2</v>
      </c>
      <c r="Q35" s="217">
        <f t="shared" si="37"/>
        <v>-2.1256355630582147E-2</v>
      </c>
      <c r="R35" s="217">
        <f t="shared" si="37"/>
        <v>6.5116476197706552E-2</v>
      </c>
      <c r="S35" s="218">
        <f t="shared" si="37"/>
        <v>1.6699583553257291E-2</v>
      </c>
      <c r="T35" s="219">
        <f t="shared" si="37"/>
        <v>0.12633550892397971</v>
      </c>
      <c r="U35" s="219">
        <f t="shared" si="37"/>
        <v>0.14506894469070786</v>
      </c>
      <c r="V35" s="219">
        <f t="shared" si="37"/>
        <v>5.8019627931252815E-2</v>
      </c>
      <c r="W35" s="220">
        <f t="shared" si="37"/>
        <v>2.4409537299671769E-2</v>
      </c>
      <c r="X35" s="221">
        <f t="shared" si="37"/>
        <v>1.979113422977008E-2</v>
      </c>
      <c r="Y35" s="216">
        <f t="shared" si="37"/>
        <v>-6.2900296330653527E-2</v>
      </c>
      <c r="Z35" s="216">
        <f t="shared" si="37"/>
        <v>-2.3439972108805329E-2</v>
      </c>
      <c r="AA35" s="217">
        <f t="shared" si="37"/>
        <v>-2.1074465454280489E-2</v>
      </c>
      <c r="AB35" s="217">
        <f t="shared" si="37"/>
        <v>-4.7873744483271641E-2</v>
      </c>
      <c r="AC35" s="217">
        <f t="shared" si="37"/>
        <v>-6.4247653083414291E-2</v>
      </c>
      <c r="AD35" s="218">
        <f t="shared" si="37"/>
        <v>-4.4490099275617201E-2</v>
      </c>
      <c r="AE35" s="219">
        <f t="shared" si="37"/>
        <v>-4.8188127883446286E-2</v>
      </c>
      <c r="AF35" s="219">
        <f t="shared" si="37"/>
        <v>-1.8359463910330498E-2</v>
      </c>
      <c r="AG35" s="219">
        <f t="shared" si="37"/>
        <v>-2.438002209826784E-2</v>
      </c>
      <c r="AH35" s="237">
        <f t="shared" si="37"/>
        <v>-2.5640583810437878E-3</v>
      </c>
      <c r="AI35" s="221">
        <f t="shared" ref="AI35:BN35" si="38">IF(AH21&lt;&gt;0,AI21/AH21-1,0)</f>
        <v>7.7373280746048323E-2</v>
      </c>
      <c r="AJ35" s="216">
        <f t="shared" si="38"/>
        <v>9.0691671322067346E-2</v>
      </c>
      <c r="AK35" s="216">
        <f t="shared" si="38"/>
        <v>2.0696211296662215E-2</v>
      </c>
      <c r="AL35" s="217">
        <f t="shared" si="38"/>
        <v>1.9601437567587254E-2</v>
      </c>
      <c r="AM35" s="217">
        <f t="shared" si="38"/>
        <v>0.36779843011646562</v>
      </c>
      <c r="AN35" s="217">
        <f t="shared" si="38"/>
        <v>2.9632829948831763E-2</v>
      </c>
      <c r="AO35" s="218">
        <f t="shared" si="38"/>
        <v>1.630678475646774E-2</v>
      </c>
      <c r="AP35" s="219">
        <f t="shared" si="38"/>
        <v>-4.3504441843815744E-3</v>
      </c>
      <c r="AQ35" s="219">
        <f t="shared" si="38"/>
        <v>-1.4632179834372705E-2</v>
      </c>
      <c r="AR35" s="219">
        <f t="shared" si="38"/>
        <v>-2.9836319260137301E-2</v>
      </c>
      <c r="AS35" s="220">
        <f t="shared" si="38"/>
        <v>2.8296926850455595E-2</v>
      </c>
      <c r="AT35" s="221">
        <f t="shared" si="38"/>
        <v>-5.7830990645572067E-2</v>
      </c>
      <c r="AU35" s="216">
        <f t="shared" si="38"/>
        <v>-8.4310802224497383E-2</v>
      </c>
      <c r="AV35" s="216">
        <f t="shared" si="38"/>
        <v>-8.1704559916412678E-2</v>
      </c>
      <c r="AW35" s="217">
        <f t="shared" si="38"/>
        <v>-1.827706956641173E-2</v>
      </c>
      <c r="AX35" s="217">
        <f t="shared" si="38"/>
        <v>-4.2734364194723762E-2</v>
      </c>
      <c r="AY35" s="217">
        <f t="shared" si="38"/>
        <v>-1.0467093302554908E-2</v>
      </c>
      <c r="AZ35" s="218">
        <f t="shared" si="38"/>
        <v>-1.9240072166829991E-2</v>
      </c>
      <c r="BA35" s="219">
        <f t="shared" si="38"/>
        <v>2.2794317103289607E-3</v>
      </c>
      <c r="BB35" s="219">
        <f t="shared" si="38"/>
        <v>1.86014968012711E-2</v>
      </c>
      <c r="BC35" s="219">
        <f t="shared" si="38"/>
        <v>2.5840160915150179E-2</v>
      </c>
      <c r="BD35" s="220">
        <f t="shared" si="38"/>
        <v>0.11020916008907</v>
      </c>
      <c r="BE35" s="221">
        <f t="shared" si="38"/>
        <v>0.2279768544415639</v>
      </c>
      <c r="BF35" s="216">
        <f t="shared" si="38"/>
        <v>3.3901752019220632E-2</v>
      </c>
      <c r="BG35" s="216">
        <f t="shared" si="38"/>
        <v>1.7835593701790442E-2</v>
      </c>
      <c r="BH35" s="217">
        <f t="shared" si="38"/>
        <v>1.1298911306240056E-2</v>
      </c>
      <c r="BI35" s="217">
        <f t="shared" si="38"/>
        <v>1.3495846124345068E-3</v>
      </c>
      <c r="BJ35" s="217">
        <f t="shared" si="38"/>
        <v>3.0209966786560072E-2</v>
      </c>
      <c r="BK35" s="218">
        <f t="shared" si="38"/>
        <v>4.7504956438926715E-2</v>
      </c>
      <c r="BL35" s="219">
        <f t="shared" si="38"/>
        <v>4.4661811945757579E-2</v>
      </c>
      <c r="BM35" s="219">
        <f t="shared" si="38"/>
        <v>-1.5862425909310418E-2</v>
      </c>
      <c r="BN35" s="219">
        <f t="shared" si="38"/>
        <v>-2.4434915742629459E-2</v>
      </c>
      <c r="BO35" s="220">
        <f t="shared" ref="BO35:BY35" si="39">IF(BN21&lt;&gt;0,BO21/BN21-1,0)</f>
        <v>-5.774664140918595E-2</v>
      </c>
      <c r="BP35" s="221">
        <f t="shared" si="39"/>
        <v>-3.5528797122900801E-2</v>
      </c>
      <c r="BQ35" s="216">
        <f t="shared" si="39"/>
        <v>-4.3412965312387364E-2</v>
      </c>
      <c r="BR35" s="216">
        <f t="shared" si="39"/>
        <v>-1.6618749967616031E-2</v>
      </c>
      <c r="BS35" s="221">
        <f t="shared" si="39"/>
        <v>-1.1708828452210662E-2</v>
      </c>
      <c r="BT35" s="222">
        <f t="shared" si="39"/>
        <v>-1.3361808854240209E-2</v>
      </c>
      <c r="BU35" s="222">
        <f t="shared" si="39"/>
        <v>7.2463624781029079E-2</v>
      </c>
      <c r="BV35" s="222">
        <f t="shared" si="39"/>
        <v>3.1491353458377169E-3</v>
      </c>
      <c r="BW35" s="222">
        <f t="shared" si="39"/>
        <v>1.0794662583600845E-2</v>
      </c>
      <c r="BX35" s="222">
        <f t="shared" si="39"/>
        <v>7.3364553354149376E-3</v>
      </c>
      <c r="BY35" s="222">
        <f t="shared" si="39"/>
        <v>3.4833450774081065E-3</v>
      </c>
    </row>
    <row r="36" spans="1:78" s="201" customFormat="1">
      <c r="A36" s="194" t="s">
        <v>373</v>
      </c>
      <c r="B36" s="215"/>
      <c r="C36" s="216">
        <f t="shared" ref="C36:AH36" si="40">IF(B22&lt;&gt;0,C22/B22-1,0)</f>
        <v>0.10285714285714276</v>
      </c>
      <c r="D36" s="216">
        <f t="shared" si="40"/>
        <v>2.2180274011408541E-2</v>
      </c>
      <c r="E36" s="217">
        <f t="shared" si="40"/>
        <v>0.56087475137789489</v>
      </c>
      <c r="F36" s="217">
        <f t="shared" si="40"/>
        <v>-1.7703445808792351E-2</v>
      </c>
      <c r="G36" s="217">
        <f t="shared" si="40"/>
        <v>5.6275167694659567E-2</v>
      </c>
      <c r="H36" s="218">
        <f t="shared" si="40"/>
        <v>7.1575704998399825E-2</v>
      </c>
      <c r="I36" s="219">
        <f t="shared" si="40"/>
        <v>8.4803357220407438E-2</v>
      </c>
      <c r="J36" s="219">
        <f t="shared" si="40"/>
        <v>0.10635101818725579</v>
      </c>
      <c r="K36" s="219">
        <f t="shared" si="40"/>
        <v>2.8423929276904403E-2</v>
      </c>
      <c r="L36" s="220">
        <f t="shared" si="40"/>
        <v>6.5679577594801364E-2</v>
      </c>
      <c r="M36" s="221">
        <f t="shared" si="40"/>
        <v>0.1147834428408081</v>
      </c>
      <c r="N36" s="216">
        <f t="shared" si="40"/>
        <v>7.638809437409555E-2</v>
      </c>
      <c r="O36" s="216">
        <f t="shared" si="40"/>
        <v>0.12167075021219809</v>
      </c>
      <c r="P36" s="217">
        <f t="shared" si="40"/>
        <v>0.12523261407251662</v>
      </c>
      <c r="Q36" s="217">
        <f t="shared" si="40"/>
        <v>0.1194134060056018</v>
      </c>
      <c r="R36" s="217">
        <f t="shared" si="40"/>
        <v>0.17868774864875903</v>
      </c>
      <c r="S36" s="218">
        <f t="shared" si="40"/>
        <v>0.12489186803241958</v>
      </c>
      <c r="T36" s="219">
        <f t="shared" si="40"/>
        <v>0.12422855577448866</v>
      </c>
      <c r="U36" s="219">
        <f t="shared" si="40"/>
        <v>0.11613401335397788</v>
      </c>
      <c r="V36" s="219">
        <f t="shared" si="40"/>
        <v>0.10489726243781616</v>
      </c>
      <c r="W36" s="220">
        <f t="shared" si="40"/>
        <v>0.11609430423749378</v>
      </c>
      <c r="X36" s="221">
        <f t="shared" si="40"/>
        <v>0.10837460370094454</v>
      </c>
      <c r="Y36" s="216">
        <f t="shared" si="40"/>
        <v>0.13052256436021992</v>
      </c>
      <c r="Z36" s="216">
        <f t="shared" si="40"/>
        <v>9.5365843994625665E-2</v>
      </c>
      <c r="AA36" s="217">
        <f t="shared" si="40"/>
        <v>8.2529290751928386E-2</v>
      </c>
      <c r="AB36" s="217">
        <f t="shared" si="40"/>
        <v>9.214866073970529E-2</v>
      </c>
      <c r="AC36" s="217">
        <f t="shared" si="40"/>
        <v>0.10082382027376768</v>
      </c>
      <c r="AD36" s="218">
        <f t="shared" si="40"/>
        <v>9.7939488128500951E-2</v>
      </c>
      <c r="AE36" s="219">
        <f t="shared" si="40"/>
        <v>4.6555807466760246E-2</v>
      </c>
      <c r="AF36" s="219">
        <f t="shared" si="40"/>
        <v>4.5727881137164417E-2</v>
      </c>
      <c r="AG36" s="219">
        <f t="shared" si="40"/>
        <v>3.7613529934155121E-2</v>
      </c>
      <c r="AH36" s="237">
        <f t="shared" si="40"/>
        <v>6.6441256143489502E-2</v>
      </c>
      <c r="AI36" s="221">
        <f t="shared" ref="AI36:BN36" si="41">IF(AH22&lt;&gt;0,AI22/AH22-1,0)</f>
        <v>4.8653333912032526E-2</v>
      </c>
      <c r="AJ36" s="216">
        <f t="shared" si="41"/>
        <v>1.8694640527738393E-2</v>
      </c>
      <c r="AK36" s="216">
        <f t="shared" si="41"/>
        <v>2.2885031263211175E-2</v>
      </c>
      <c r="AL36" s="217">
        <f t="shared" si="41"/>
        <v>-8.9621955414997956E-4</v>
      </c>
      <c r="AM36" s="217">
        <f t="shared" si="41"/>
        <v>-1</v>
      </c>
      <c r="AN36" s="217">
        <f t="shared" si="41"/>
        <v>0</v>
      </c>
      <c r="AO36" s="218">
        <f t="shared" si="41"/>
        <v>0</v>
      </c>
      <c r="AP36" s="219">
        <f t="shared" si="41"/>
        <v>0</v>
      </c>
      <c r="AQ36" s="219">
        <f t="shared" si="41"/>
        <v>0</v>
      </c>
      <c r="AR36" s="219">
        <f t="shared" si="41"/>
        <v>0</v>
      </c>
      <c r="AS36" s="220">
        <f t="shared" si="41"/>
        <v>0</v>
      </c>
      <c r="AT36" s="221">
        <f t="shared" si="41"/>
        <v>0</v>
      </c>
      <c r="AU36" s="216">
        <f t="shared" si="41"/>
        <v>0</v>
      </c>
      <c r="AV36" s="216">
        <f t="shared" si="41"/>
        <v>0</v>
      </c>
      <c r="AW36" s="217">
        <f t="shared" si="41"/>
        <v>0</v>
      </c>
      <c r="AX36" s="217">
        <f t="shared" si="41"/>
        <v>0</v>
      </c>
      <c r="AY36" s="217">
        <f t="shared" si="41"/>
        <v>0</v>
      </c>
      <c r="AZ36" s="218">
        <f t="shared" si="41"/>
        <v>0</v>
      </c>
      <c r="BA36" s="219">
        <f t="shared" si="41"/>
        <v>0</v>
      </c>
      <c r="BB36" s="219">
        <f t="shared" si="41"/>
        <v>0</v>
      </c>
      <c r="BC36" s="219">
        <f t="shared" si="41"/>
        <v>0</v>
      </c>
      <c r="BD36" s="220">
        <f t="shared" si="41"/>
        <v>0</v>
      </c>
      <c r="BE36" s="221">
        <f t="shared" si="41"/>
        <v>0</v>
      </c>
      <c r="BF36" s="216">
        <f t="shared" si="41"/>
        <v>0</v>
      </c>
      <c r="BG36" s="216">
        <f t="shared" si="41"/>
        <v>0</v>
      </c>
      <c r="BH36" s="217">
        <f t="shared" si="41"/>
        <v>0</v>
      </c>
      <c r="BI36" s="217">
        <f t="shared" si="41"/>
        <v>0</v>
      </c>
      <c r="BJ36" s="217">
        <f t="shared" si="41"/>
        <v>0</v>
      </c>
      <c r="BK36" s="218">
        <f t="shared" si="41"/>
        <v>0</v>
      </c>
      <c r="BL36" s="219">
        <f t="shared" si="41"/>
        <v>0</v>
      </c>
      <c r="BM36" s="219">
        <f t="shared" si="41"/>
        <v>0</v>
      </c>
      <c r="BN36" s="219">
        <f t="shared" si="41"/>
        <v>0</v>
      </c>
      <c r="BO36" s="220">
        <f t="shared" ref="BO36:BY36" si="42">IF(BN22&lt;&gt;0,BO22/BN22-1,0)</f>
        <v>0</v>
      </c>
      <c r="BP36" s="221">
        <f t="shared" si="42"/>
        <v>0</v>
      </c>
      <c r="BQ36" s="216">
        <f t="shared" si="42"/>
        <v>0</v>
      </c>
      <c r="BR36" s="216">
        <f t="shared" si="42"/>
        <v>0</v>
      </c>
      <c r="BS36" s="221">
        <f t="shared" si="42"/>
        <v>0</v>
      </c>
      <c r="BT36" s="222">
        <f t="shared" si="42"/>
        <v>0</v>
      </c>
      <c r="BU36" s="222">
        <f t="shared" si="42"/>
        <v>0</v>
      </c>
      <c r="BV36" s="222">
        <f t="shared" si="42"/>
        <v>0</v>
      </c>
      <c r="BW36" s="222">
        <f t="shared" si="42"/>
        <v>0</v>
      </c>
      <c r="BX36" s="222">
        <f t="shared" si="42"/>
        <v>0</v>
      </c>
      <c r="BY36" s="222">
        <f t="shared" si="42"/>
        <v>0</v>
      </c>
    </row>
    <row r="37" spans="1:78" s="201" customFormat="1">
      <c r="A37" s="194" t="s">
        <v>374</v>
      </c>
      <c r="B37" s="215"/>
      <c r="C37" s="216">
        <f t="shared" ref="C37:AH37" si="43">IF(B23&lt;&gt;0,C23/B23-1,0)</f>
        <v>0.14300438031435192</v>
      </c>
      <c r="D37" s="216">
        <f t="shared" si="43"/>
        <v>-5.0722819206413639E-2</v>
      </c>
      <c r="E37" s="217">
        <f t="shared" si="43"/>
        <v>1.6352229111627801</v>
      </c>
      <c r="F37" s="217">
        <f t="shared" si="43"/>
        <v>0.12498839395945627</v>
      </c>
      <c r="G37" s="217">
        <f t="shared" si="43"/>
        <v>-0.21754186973713985</v>
      </c>
      <c r="H37" s="218">
        <f t="shared" si="43"/>
        <v>-0.21201733290119829</v>
      </c>
      <c r="I37" s="219">
        <f t="shared" si="43"/>
        <v>-3.8725822960643863E-2</v>
      </c>
      <c r="J37" s="219">
        <f t="shared" si="43"/>
        <v>6.6057337237813707E-2</v>
      </c>
      <c r="K37" s="219">
        <f t="shared" si="43"/>
        <v>7.9504212930852081E-3</v>
      </c>
      <c r="L37" s="220">
        <f t="shared" si="43"/>
        <v>2.0980917811543431E-2</v>
      </c>
      <c r="M37" s="221">
        <f t="shared" si="43"/>
        <v>-5.1939029665003522E-3</v>
      </c>
      <c r="N37" s="216">
        <f t="shared" si="43"/>
        <v>-2.5944049841797323E-3</v>
      </c>
      <c r="O37" s="216">
        <f t="shared" si="43"/>
        <v>1.9105756011910557E-2</v>
      </c>
      <c r="P37" s="217">
        <f t="shared" si="43"/>
        <v>7.223101259486997E-2</v>
      </c>
      <c r="Q37" s="217">
        <f t="shared" si="43"/>
        <v>-1.994755029062012E-2</v>
      </c>
      <c r="R37" s="217">
        <f t="shared" si="43"/>
        <v>7.3880754160802198E-3</v>
      </c>
      <c r="S37" s="218">
        <f t="shared" si="43"/>
        <v>5.5988284923031983E-2</v>
      </c>
      <c r="T37" s="219">
        <f t="shared" si="43"/>
        <v>0.1980674690389741</v>
      </c>
      <c r="U37" s="219">
        <f t="shared" si="43"/>
        <v>0.22204924482721777</v>
      </c>
      <c r="V37" s="219">
        <f t="shared" si="43"/>
        <v>4.5701038888194878E-2</v>
      </c>
      <c r="W37" s="220">
        <f t="shared" si="43"/>
        <v>1.7355399387909198E-2</v>
      </c>
      <c r="X37" s="221">
        <f t="shared" si="43"/>
        <v>-8.3821886184730188E-2</v>
      </c>
      <c r="Y37" s="216">
        <f t="shared" si="43"/>
        <v>-9.671252203574221E-2</v>
      </c>
      <c r="Z37" s="216">
        <f t="shared" si="43"/>
        <v>-6.5746807423890941E-3</v>
      </c>
      <c r="AA37" s="217">
        <f t="shared" si="43"/>
        <v>-9.9438609557167545E-4</v>
      </c>
      <c r="AB37" s="217">
        <f t="shared" si="43"/>
        <v>6.0107577879626728E-3</v>
      </c>
      <c r="AC37" s="217">
        <f t="shared" si="43"/>
        <v>-6.6042706907352144E-3</v>
      </c>
      <c r="AD37" s="218">
        <f t="shared" si="43"/>
        <v>3.1373618581039597E-2</v>
      </c>
      <c r="AE37" s="219">
        <f t="shared" si="43"/>
        <v>3.5149224900120846E-2</v>
      </c>
      <c r="AF37" s="219">
        <f t="shared" si="43"/>
        <v>2.1522573494004549E-2</v>
      </c>
      <c r="AG37" s="219">
        <f t="shared" si="43"/>
        <v>4.5193985889948607E-3</v>
      </c>
      <c r="AH37" s="237">
        <f t="shared" si="43"/>
        <v>0.13206642911868283</v>
      </c>
      <c r="AI37" s="221">
        <f t="shared" ref="AI37:BN37" si="44">IF(AH23&lt;&gt;0,AI23/AH23-1,0)</f>
        <v>7.9558823002439327E-2</v>
      </c>
      <c r="AJ37" s="216">
        <f t="shared" si="44"/>
        <v>5.0382112001944757E-2</v>
      </c>
      <c r="AK37" s="216">
        <f t="shared" si="44"/>
        <v>3.1179845503584547E-2</v>
      </c>
      <c r="AL37" s="217">
        <f t="shared" si="44"/>
        <v>1.8949086586262709E-2</v>
      </c>
      <c r="AM37" s="217">
        <f t="shared" si="44"/>
        <v>6.7141095106593607E-2</v>
      </c>
      <c r="AN37" s="217">
        <f t="shared" si="44"/>
        <v>-3.878004733788587E-2</v>
      </c>
      <c r="AO37" s="218">
        <f t="shared" si="44"/>
        <v>2.9132238281024181E-2</v>
      </c>
      <c r="AP37" s="219">
        <f t="shared" si="44"/>
        <v>-2.3003467978911507E-3</v>
      </c>
      <c r="AQ37" s="219">
        <f t="shared" si="44"/>
        <v>7.0664693479018936E-3</v>
      </c>
      <c r="AR37" s="219">
        <f t="shared" si="44"/>
        <v>-1.3697266738628588E-2</v>
      </c>
      <c r="AS37" s="220">
        <f t="shared" si="44"/>
        <v>0.19733879203925464</v>
      </c>
      <c r="AT37" s="221">
        <f t="shared" si="44"/>
        <v>-0.18058163198380117</v>
      </c>
      <c r="AU37" s="216">
        <f t="shared" si="44"/>
        <v>-3.7794862056253042E-2</v>
      </c>
      <c r="AV37" s="216">
        <f t="shared" si="44"/>
        <v>-3.9366281588282592E-2</v>
      </c>
      <c r="AW37" s="217">
        <f t="shared" si="44"/>
        <v>3.3087267330246473E-2</v>
      </c>
      <c r="AX37" s="217">
        <f t="shared" si="44"/>
        <v>-2.6265487566617951E-2</v>
      </c>
      <c r="AY37" s="217">
        <f t="shared" si="44"/>
        <v>-3.2092286643645052E-2</v>
      </c>
      <c r="AZ37" s="218">
        <f t="shared" si="44"/>
        <v>3.1073576403935155E-2</v>
      </c>
      <c r="BA37" s="219">
        <f t="shared" si="44"/>
        <v>5.7573949312399009E-2</v>
      </c>
      <c r="BB37" s="219">
        <f t="shared" si="44"/>
        <v>1.9134390333894524E-2</v>
      </c>
      <c r="BC37" s="219">
        <f t="shared" si="44"/>
        <v>0.13412776856057396</v>
      </c>
      <c r="BD37" s="220">
        <f t="shared" si="44"/>
        <v>0.13451251343434767</v>
      </c>
      <c r="BE37" s="221">
        <f t="shared" si="44"/>
        <v>0.18509491784644316</v>
      </c>
      <c r="BF37" s="216">
        <f t="shared" si="44"/>
        <v>3.0537184497114733E-3</v>
      </c>
      <c r="BG37" s="216">
        <f t="shared" si="44"/>
        <v>8.0666354400731555E-2</v>
      </c>
      <c r="BH37" s="217">
        <f t="shared" si="44"/>
        <v>3.6050620514432641E-2</v>
      </c>
      <c r="BI37" s="217">
        <f t="shared" si="44"/>
        <v>0.10349687266347063</v>
      </c>
      <c r="BJ37" s="217">
        <f t="shared" si="44"/>
        <v>4.9092517243600753E-2</v>
      </c>
      <c r="BK37" s="218">
        <f t="shared" si="44"/>
        <v>4.1073794014944376E-2</v>
      </c>
      <c r="BL37" s="219">
        <f t="shared" si="44"/>
        <v>6.903333529201916E-2</v>
      </c>
      <c r="BM37" s="219">
        <f t="shared" si="44"/>
        <v>2.2035233655393061E-2</v>
      </c>
      <c r="BN37" s="219">
        <f t="shared" si="44"/>
        <v>-6.8480851472051407E-2</v>
      </c>
      <c r="BO37" s="220">
        <f t="shared" ref="BO37:BY37" si="45">IF(BN23&lt;&gt;0,BO23/BN23-1,0)</f>
        <v>-0.12602850507794605</v>
      </c>
      <c r="BP37" s="221">
        <f t="shared" si="45"/>
        <v>-6.1130301874031678E-3</v>
      </c>
      <c r="BQ37" s="216">
        <f t="shared" si="45"/>
        <v>-5.5013666787425364E-2</v>
      </c>
      <c r="BR37" s="216">
        <f t="shared" si="45"/>
        <v>-1.3099594657880798E-2</v>
      </c>
      <c r="BS37" s="221">
        <f t="shared" si="45"/>
        <v>2.4099662643461528E-2</v>
      </c>
      <c r="BT37" s="222">
        <f t="shared" si="45"/>
        <v>-3.3582051964673454E-3</v>
      </c>
      <c r="BU37" s="222">
        <f t="shared" si="45"/>
        <v>6.074588552914606E-2</v>
      </c>
      <c r="BV37" s="222">
        <f t="shared" si="45"/>
        <v>-2.7055004603676713E-2</v>
      </c>
      <c r="BW37" s="222">
        <f t="shared" si="45"/>
        <v>-1.2436306038192457E-2</v>
      </c>
      <c r="BX37" s="222">
        <f t="shared" si="45"/>
        <v>4.370288688444024E-3</v>
      </c>
      <c r="BY37" s="222">
        <f t="shared" si="45"/>
        <v>-9.03134469280098E-3</v>
      </c>
    </row>
    <row r="38" spans="1:78" s="201" customFormat="1">
      <c r="A38" s="194" t="s">
        <v>375</v>
      </c>
      <c r="B38" s="215"/>
      <c r="C38" s="216">
        <f t="shared" ref="C38:AH38" si="46">IF(B24&lt;&gt;0,C24/B24-1,0)</f>
        <v>8.547579298831387E-2</v>
      </c>
      <c r="D38" s="216">
        <f t="shared" si="46"/>
        <v>0.28635873239226184</v>
      </c>
      <c r="E38" s="217">
        <f t="shared" si="46"/>
        <v>3.962742658910928</v>
      </c>
      <c r="F38" s="217">
        <f t="shared" si="46"/>
        <v>0.24050853931610594</v>
      </c>
      <c r="G38" s="217">
        <f t="shared" si="46"/>
        <v>-0.42547949987230271</v>
      </c>
      <c r="H38" s="218">
        <f t="shared" si="46"/>
        <v>-0.61208270413977495</v>
      </c>
      <c r="I38" s="219">
        <f t="shared" si="46"/>
        <v>0.36775241345163789</v>
      </c>
      <c r="J38" s="219">
        <f t="shared" si="46"/>
        <v>0.29464145586447743</v>
      </c>
      <c r="K38" s="219">
        <f t="shared" si="46"/>
        <v>-5.2930969179617593E-3</v>
      </c>
      <c r="L38" s="220">
        <f t="shared" si="46"/>
        <v>8.2455528369909326E-2</v>
      </c>
      <c r="M38" s="221">
        <f t="shared" si="46"/>
        <v>-5.1985134474508254E-2</v>
      </c>
      <c r="N38" s="216">
        <f t="shared" si="46"/>
        <v>-0.1626443225325882</v>
      </c>
      <c r="O38" s="216">
        <f t="shared" si="46"/>
        <v>0.26111061428227789</v>
      </c>
      <c r="P38" s="217">
        <f t="shared" si="46"/>
        <v>0.12555226318440971</v>
      </c>
      <c r="Q38" s="217">
        <f t="shared" si="46"/>
        <v>-2.2079670497519577E-2</v>
      </c>
      <c r="R38" s="217">
        <f t="shared" si="46"/>
        <v>-7.3603903205497589E-2</v>
      </c>
      <c r="S38" s="218">
        <f t="shared" si="46"/>
        <v>-7.7113494905016733E-2</v>
      </c>
      <c r="T38" s="219">
        <f t="shared" si="46"/>
        <v>0.52678010259002428</v>
      </c>
      <c r="U38" s="219">
        <f t="shared" si="46"/>
        <v>2.6215487513591818E-2</v>
      </c>
      <c r="V38" s="219">
        <f t="shared" si="46"/>
        <v>-6.4515395986105006E-2</v>
      </c>
      <c r="W38" s="220">
        <f t="shared" si="46"/>
        <v>-5.581645845740868E-2</v>
      </c>
      <c r="X38" s="221">
        <f t="shared" si="46"/>
        <v>-0.18270154151215823</v>
      </c>
      <c r="Y38" s="216">
        <f t="shared" si="46"/>
        <v>-0.13731074949559841</v>
      </c>
      <c r="Z38" s="216">
        <f t="shared" si="46"/>
        <v>1.6490775025166604E-2</v>
      </c>
      <c r="AA38" s="217">
        <f t="shared" si="46"/>
        <v>-5.6585831580750034E-2</v>
      </c>
      <c r="AB38" s="217">
        <f t="shared" si="46"/>
        <v>-0.10533846480149378</v>
      </c>
      <c r="AC38" s="217">
        <f t="shared" si="46"/>
        <v>-0.10130876634326014</v>
      </c>
      <c r="AD38" s="218">
        <f t="shared" si="46"/>
        <v>0.1355157597712735</v>
      </c>
      <c r="AE38" s="219">
        <f t="shared" si="46"/>
        <v>0.20293518278797706</v>
      </c>
      <c r="AF38" s="219">
        <f t="shared" si="46"/>
        <v>3.6395773916876539E-2</v>
      </c>
      <c r="AG38" s="219">
        <f t="shared" si="46"/>
        <v>-3.2171216974159922E-2</v>
      </c>
      <c r="AH38" s="237">
        <f t="shared" si="46"/>
        <v>3.0831261166071267E-2</v>
      </c>
      <c r="AI38" s="221">
        <f t="shared" ref="AI38:BN38" si="47">IF(AH24&lt;&gt;0,AI24/AH24-1,0)</f>
        <v>0.22534971120228442</v>
      </c>
      <c r="AJ38" s="216">
        <f t="shared" si="47"/>
        <v>0.25449422094539242</v>
      </c>
      <c r="AK38" s="216">
        <f t="shared" si="47"/>
        <v>0.15969193493730582</v>
      </c>
      <c r="AL38" s="217">
        <f t="shared" si="47"/>
        <v>5.1404898841312496E-2</v>
      </c>
      <c r="AM38" s="217">
        <f t="shared" si="47"/>
        <v>4.4842844197311216E-2</v>
      </c>
      <c r="AN38" s="217">
        <f t="shared" si="47"/>
        <v>-5.1881176845691823E-2</v>
      </c>
      <c r="AO38" s="218">
        <f t="shared" si="47"/>
        <v>-6.7453351253078497E-2</v>
      </c>
      <c r="AP38" s="219">
        <f t="shared" si="47"/>
        <v>-4.4435693945267696E-2</v>
      </c>
      <c r="AQ38" s="219">
        <f t="shared" si="47"/>
        <v>-6.980686832090377E-2</v>
      </c>
      <c r="AR38" s="219">
        <f t="shared" si="47"/>
        <v>-3.1344577235541071E-2</v>
      </c>
      <c r="AS38" s="220">
        <f t="shared" si="47"/>
        <v>-0.13475189058892267</v>
      </c>
      <c r="AT38" s="221">
        <f t="shared" si="47"/>
        <v>-0.15370405953149124</v>
      </c>
      <c r="AU38" s="216">
        <f t="shared" si="47"/>
        <v>-0.15409334891671156</v>
      </c>
      <c r="AV38" s="216">
        <f t="shared" si="47"/>
        <v>-0.20126208031393966</v>
      </c>
      <c r="AW38" s="217">
        <f t="shared" si="47"/>
        <v>-3.5898866958177122E-2</v>
      </c>
      <c r="AX38" s="217">
        <f t="shared" si="47"/>
        <v>-1.0440882607509305E-2</v>
      </c>
      <c r="AY38" s="217">
        <f t="shared" si="47"/>
        <v>-2.3750071588141242E-2</v>
      </c>
      <c r="AZ38" s="218">
        <f t="shared" si="47"/>
        <v>2.7530388571193498E-2</v>
      </c>
      <c r="BA38" s="219">
        <f t="shared" si="47"/>
        <v>0.11696654674796947</v>
      </c>
      <c r="BB38" s="219">
        <f t="shared" si="47"/>
        <v>7.1035247673428836E-2</v>
      </c>
      <c r="BC38" s="219">
        <f t="shared" si="47"/>
        <v>0.10722657344067676</v>
      </c>
      <c r="BD38" s="220">
        <f t="shared" si="47"/>
        <v>-9.4064435814866787E-3</v>
      </c>
      <c r="BE38" s="221">
        <f t="shared" si="47"/>
        <v>0.23262566887520264</v>
      </c>
      <c r="BF38" s="216">
        <f t="shared" si="47"/>
        <v>1.9876165497195064E-2</v>
      </c>
      <c r="BG38" s="216">
        <f t="shared" si="47"/>
        <v>0.14888394734902977</v>
      </c>
      <c r="BH38" s="217">
        <f t="shared" si="47"/>
        <v>3.5049465305773353E-2</v>
      </c>
      <c r="BI38" s="217">
        <f t="shared" si="47"/>
        <v>0.24222022880065119</v>
      </c>
      <c r="BJ38" s="217">
        <f t="shared" si="47"/>
        <v>0.20063253333681308</v>
      </c>
      <c r="BK38" s="218">
        <f t="shared" si="47"/>
        <v>-0.19068318860997913</v>
      </c>
      <c r="BL38" s="219">
        <f t="shared" si="47"/>
        <v>-9.5789604364682202E-4</v>
      </c>
      <c r="BM38" s="219">
        <f t="shared" si="47"/>
        <v>-5.1762080111239617E-2</v>
      </c>
      <c r="BN38" s="219">
        <f t="shared" si="47"/>
        <v>-0.10489255377028839</v>
      </c>
      <c r="BO38" s="220">
        <f t="shared" ref="BO38:BY38" si="48">IF(BN24&lt;&gt;0,BO24/BN24-1,0)</f>
        <v>-0.15000700074767004</v>
      </c>
      <c r="BP38" s="221">
        <f t="shared" si="48"/>
        <v>-4.4688079665892388E-2</v>
      </c>
      <c r="BQ38" s="216">
        <f t="shared" si="48"/>
        <v>2.0204096645085601E-2</v>
      </c>
      <c r="BR38" s="216">
        <f t="shared" si="48"/>
        <v>0.13923921014326401</v>
      </c>
      <c r="BS38" s="221">
        <f t="shared" si="48"/>
        <v>3.3126763113928703E-2</v>
      </c>
      <c r="BT38" s="222">
        <f t="shared" si="48"/>
        <v>-2.21637672073004E-2</v>
      </c>
      <c r="BU38" s="222">
        <f t="shared" si="48"/>
        <v>0.12899117312126207</v>
      </c>
      <c r="BV38" s="222">
        <f t="shared" si="48"/>
        <v>-5.1550914907153245E-2</v>
      </c>
      <c r="BW38" s="222">
        <f t="shared" si="48"/>
        <v>9.4985527108024659E-3</v>
      </c>
      <c r="BX38" s="222">
        <f t="shared" si="48"/>
        <v>5.2565511708377866E-3</v>
      </c>
      <c r="BY38" s="222">
        <f t="shared" si="48"/>
        <v>3.5574487553389877E-2</v>
      </c>
    </row>
    <row r="39" spans="1:78" s="201" customFormat="1">
      <c r="A39" s="194" t="s">
        <v>376</v>
      </c>
      <c r="B39" s="215"/>
      <c r="C39" s="216">
        <f t="shared" ref="C39:AH39" si="49">IF(B25&lt;&gt;0,C25/B25-1,0)</f>
        <v>0.19506172839506153</v>
      </c>
      <c r="D39" s="216">
        <f t="shared" si="49"/>
        <v>0.14419052801279153</v>
      </c>
      <c r="E39" s="217">
        <f t="shared" si="49"/>
        <v>1.0302470346001034</v>
      </c>
      <c r="F39" s="217">
        <f t="shared" si="49"/>
        <v>0.45975921238206019</v>
      </c>
      <c r="G39" s="217">
        <f t="shared" si="49"/>
        <v>0.15489538867683672</v>
      </c>
      <c r="H39" s="218">
        <f t="shared" si="49"/>
        <v>4.9592966231529312E-2</v>
      </c>
      <c r="I39" s="219">
        <f t="shared" si="49"/>
        <v>0.15948096058726091</v>
      </c>
      <c r="J39" s="219">
        <f t="shared" si="49"/>
        <v>0.31608342360833963</v>
      </c>
      <c r="K39" s="219">
        <f t="shared" si="49"/>
        <v>0.19338198356897318</v>
      </c>
      <c r="L39" s="220">
        <f t="shared" si="49"/>
        <v>-7.8489370277920245E-2</v>
      </c>
      <c r="M39" s="221">
        <f t="shared" si="49"/>
        <v>0.21812451994438353</v>
      </c>
      <c r="N39" s="216">
        <f t="shared" si="49"/>
        <v>4.9957827846131675E-2</v>
      </c>
      <c r="O39" s="216">
        <f t="shared" si="49"/>
        <v>0.14676810881368829</v>
      </c>
      <c r="P39" s="217">
        <f t="shared" si="49"/>
        <v>-2.5476862467419314E-2</v>
      </c>
      <c r="Q39" s="217">
        <f t="shared" si="49"/>
        <v>0.10781171657817445</v>
      </c>
      <c r="R39" s="217">
        <f t="shared" si="49"/>
        <v>-8.568302983889331E-3</v>
      </c>
      <c r="S39" s="218">
        <f t="shared" si="49"/>
        <v>-0.10353908863189376</v>
      </c>
      <c r="T39" s="219">
        <f t="shared" si="49"/>
        <v>4.7526871359282685E-2</v>
      </c>
      <c r="U39" s="219">
        <f t="shared" si="49"/>
        <v>1.8368527533765722E-2</v>
      </c>
      <c r="V39" s="219">
        <f t="shared" si="49"/>
        <v>-2.8329078203720215E-2</v>
      </c>
      <c r="W39" s="220">
        <f t="shared" si="49"/>
        <v>1.7677336421163758E-2</v>
      </c>
      <c r="X39" s="221">
        <f t="shared" si="49"/>
        <v>-9.1548398409990628E-2</v>
      </c>
      <c r="Y39" s="216">
        <f t="shared" si="49"/>
        <v>-8.3780871052264727E-2</v>
      </c>
      <c r="Z39" s="216">
        <f t="shared" si="49"/>
        <v>1.6314683424543119E-2</v>
      </c>
      <c r="AA39" s="217">
        <f t="shared" si="49"/>
        <v>1.3657672264585807E-2</v>
      </c>
      <c r="AB39" s="217">
        <f t="shared" si="49"/>
        <v>-4.5284425510487836E-2</v>
      </c>
      <c r="AC39" s="217">
        <f t="shared" si="49"/>
        <v>-4.5864668749868942E-2</v>
      </c>
      <c r="AD39" s="218">
        <f t="shared" si="49"/>
        <v>3.1221580716632502E-2</v>
      </c>
      <c r="AE39" s="219">
        <f t="shared" si="49"/>
        <v>3.7204135844201014E-2</v>
      </c>
      <c r="AF39" s="219">
        <f t="shared" si="49"/>
        <v>1.8231508076224756E-2</v>
      </c>
      <c r="AG39" s="219">
        <f t="shared" si="49"/>
        <v>-5.1742006725374878E-3</v>
      </c>
      <c r="AH39" s="237">
        <f t="shared" si="49"/>
        <v>3.9818811052814151E-3</v>
      </c>
      <c r="AI39" s="221">
        <f t="shared" ref="AI39:BN39" si="50">IF(AH25&lt;&gt;0,AI25/AH25-1,0)</f>
        <v>0.12264747688197208</v>
      </c>
      <c r="AJ39" s="216">
        <f t="shared" si="50"/>
        <v>0.1304772338673108</v>
      </c>
      <c r="AK39" s="216">
        <f t="shared" si="50"/>
        <v>8.6558627842043157E-2</v>
      </c>
      <c r="AL39" s="217">
        <f t="shared" si="50"/>
        <v>0.13862015427942875</v>
      </c>
      <c r="AM39" s="217">
        <f t="shared" si="50"/>
        <v>0.10157507889011752</v>
      </c>
      <c r="AN39" s="217">
        <f t="shared" si="50"/>
        <v>7.0311351593401294E-2</v>
      </c>
      <c r="AO39" s="218">
        <f t="shared" si="50"/>
        <v>4.3916176273511409E-2</v>
      </c>
      <c r="AP39" s="219">
        <f t="shared" si="50"/>
        <v>1.0886368618123754E-4</v>
      </c>
      <c r="AQ39" s="219">
        <f t="shared" si="50"/>
        <v>-2.7148019471232465E-2</v>
      </c>
      <c r="AR39" s="219">
        <f t="shared" si="50"/>
        <v>-7.4092713393907106E-2</v>
      </c>
      <c r="AS39" s="220">
        <f t="shared" si="50"/>
        <v>-6.3389425738636485E-2</v>
      </c>
      <c r="AT39" s="221">
        <f t="shared" si="50"/>
        <v>6.5093395365355189E-2</v>
      </c>
      <c r="AU39" s="216">
        <f t="shared" si="50"/>
        <v>-2.8396043967353068E-2</v>
      </c>
      <c r="AV39" s="216">
        <f t="shared" si="50"/>
        <v>-0.10361320857504641</v>
      </c>
      <c r="AW39" s="217">
        <f t="shared" si="50"/>
        <v>-2.318993790896362E-2</v>
      </c>
      <c r="AX39" s="217">
        <f t="shared" si="50"/>
        <v>1.3928948144850128E-3</v>
      </c>
      <c r="AY39" s="217">
        <f t="shared" si="50"/>
        <v>2.0878764952248163E-2</v>
      </c>
      <c r="AZ39" s="218">
        <f t="shared" si="50"/>
        <v>6.8464150826952341E-3</v>
      </c>
      <c r="BA39" s="219">
        <f t="shared" si="50"/>
        <v>1.1903314788807684E-2</v>
      </c>
      <c r="BB39" s="219">
        <f t="shared" si="50"/>
        <v>-3.5923486248156111E-3</v>
      </c>
      <c r="BC39" s="219">
        <f t="shared" si="50"/>
        <v>5.2004864729634059E-2</v>
      </c>
      <c r="BD39" s="220">
        <f t="shared" si="50"/>
        <v>0.14621881917921553</v>
      </c>
      <c r="BE39" s="221">
        <f t="shared" si="50"/>
        <v>0.1766494853203997</v>
      </c>
      <c r="BF39" s="216">
        <f t="shared" si="50"/>
        <v>7.7271391839649262E-2</v>
      </c>
      <c r="BG39" s="216">
        <f t="shared" si="50"/>
        <v>4.3730899524874633E-2</v>
      </c>
      <c r="BH39" s="217">
        <f t="shared" si="50"/>
        <v>1.6004360926827665E-2</v>
      </c>
      <c r="BI39" s="217">
        <f t="shared" si="50"/>
        <v>3.910821064364578E-2</v>
      </c>
      <c r="BJ39" s="217">
        <f t="shared" si="50"/>
        <v>3.2035918833464017E-3</v>
      </c>
      <c r="BK39" s="218">
        <f t="shared" si="50"/>
        <v>3.4313725438319675E-3</v>
      </c>
      <c r="BL39" s="219">
        <f t="shared" si="50"/>
        <v>-8.6429277106384594E-3</v>
      </c>
      <c r="BM39" s="219">
        <f t="shared" si="50"/>
        <v>-7.4830284128723057E-2</v>
      </c>
      <c r="BN39" s="219">
        <f t="shared" si="50"/>
        <v>-5.8833125163699762E-2</v>
      </c>
      <c r="BO39" s="220">
        <f t="shared" ref="BO39:BY39" si="51">IF(BN25&lt;&gt;0,BO25/BN25-1,0)</f>
        <v>-0.1330777005350755</v>
      </c>
      <c r="BP39" s="221">
        <f t="shared" si="51"/>
        <v>-3.1128414421579209E-2</v>
      </c>
      <c r="BQ39" s="216">
        <f t="shared" si="51"/>
        <v>-2.104328206532502E-3</v>
      </c>
      <c r="BR39" s="216">
        <f t="shared" si="51"/>
        <v>8.9482833128331718E-2</v>
      </c>
      <c r="BS39" s="221">
        <f t="shared" si="51"/>
        <v>4.1381885352095304E-2</v>
      </c>
      <c r="BT39" s="222">
        <f t="shared" si="51"/>
        <v>-2.1788955305396929E-2</v>
      </c>
      <c r="BU39" s="222">
        <f t="shared" si="51"/>
        <v>0.21438992316323513</v>
      </c>
      <c r="BV39" s="222">
        <f t="shared" si="51"/>
        <v>-3.5429960121210691E-2</v>
      </c>
      <c r="BW39" s="222">
        <f t="shared" si="51"/>
        <v>-1.4175180556898592E-2</v>
      </c>
      <c r="BX39" s="222">
        <f t="shared" si="51"/>
        <v>-5.6391051761720323E-2</v>
      </c>
      <c r="BY39" s="222">
        <f t="shared" si="51"/>
        <v>-4.115605276002865E-2</v>
      </c>
    </row>
    <row r="40" spans="1:78" s="201" customFormat="1">
      <c r="A40" s="194" t="s">
        <v>377</v>
      </c>
      <c r="B40" s="223"/>
      <c r="C40" s="216">
        <f t="shared" ref="C40:AH40" si="52">IF(B26&lt;&gt;0,C26/B26-1,0)</f>
        <v>0.11162790697674407</v>
      </c>
      <c r="D40" s="219">
        <f t="shared" si="52"/>
        <v>0.11036701387578285</v>
      </c>
      <c r="E40" s="218">
        <f t="shared" si="52"/>
        <v>4.8411365448518202</v>
      </c>
      <c r="F40" s="219">
        <f t="shared" si="52"/>
        <v>0.23034844596191295</v>
      </c>
      <c r="G40" s="219">
        <f t="shared" si="52"/>
        <v>6.7743933378686449E-2</v>
      </c>
      <c r="H40" s="218">
        <f t="shared" si="52"/>
        <v>-0.36233565694653769</v>
      </c>
      <c r="I40" s="219">
        <f t="shared" si="52"/>
        <v>0.58463522030143134</v>
      </c>
      <c r="J40" s="219">
        <f t="shared" si="52"/>
        <v>-0.12660762131939152</v>
      </c>
      <c r="K40" s="219">
        <f t="shared" si="52"/>
        <v>-5.7605567977797256E-2</v>
      </c>
      <c r="L40" s="220">
        <f t="shared" si="52"/>
        <v>-0.22552610814372898</v>
      </c>
      <c r="M40" s="219">
        <f t="shared" si="52"/>
        <v>5.3583648633945824E-2</v>
      </c>
      <c r="N40" s="218">
        <f t="shared" si="52"/>
        <v>-0.238268849080711</v>
      </c>
      <c r="O40" s="219">
        <f t="shared" si="52"/>
        <v>-0.18527037005526015</v>
      </c>
      <c r="P40" s="218">
        <f t="shared" si="52"/>
        <v>-0.18790516956421566</v>
      </c>
      <c r="Q40" s="219">
        <f t="shared" si="52"/>
        <v>0.38884041406271064</v>
      </c>
      <c r="R40" s="219">
        <f t="shared" si="52"/>
        <v>-0.24945927277157109</v>
      </c>
      <c r="S40" s="218">
        <f t="shared" si="52"/>
        <v>6.9375896318838226E-2</v>
      </c>
      <c r="T40" s="219">
        <f t="shared" si="52"/>
        <v>1.3893450789326631</v>
      </c>
      <c r="U40" s="219">
        <f t="shared" si="52"/>
        <v>-0.54488172123451872</v>
      </c>
      <c r="V40" s="219">
        <f t="shared" si="52"/>
        <v>0.23662792077763983</v>
      </c>
      <c r="W40" s="220">
        <f t="shared" si="52"/>
        <v>-0.29866720966901272</v>
      </c>
      <c r="X40" s="219">
        <f t="shared" si="52"/>
        <v>-0.15645510818365271</v>
      </c>
      <c r="Y40" s="218">
        <f t="shared" si="52"/>
        <v>0.13362573473109207</v>
      </c>
      <c r="Z40" s="219">
        <f t="shared" si="52"/>
        <v>-3.6179977064517699E-3</v>
      </c>
      <c r="AA40" s="218">
        <f t="shared" si="52"/>
        <v>0.1773012663472715</v>
      </c>
      <c r="AB40" s="219">
        <f t="shared" si="52"/>
        <v>0.11267856191807035</v>
      </c>
      <c r="AC40" s="219">
        <f t="shared" si="52"/>
        <v>-0.10293958132473902</v>
      </c>
      <c r="AD40" s="218">
        <f t="shared" si="52"/>
        <v>9.8202250597015706E-2</v>
      </c>
      <c r="AE40" s="219">
        <f t="shared" si="52"/>
        <v>-3.9780425241961237E-2</v>
      </c>
      <c r="AF40" s="219">
        <f t="shared" si="52"/>
        <v>-0.21141784558442867</v>
      </c>
      <c r="AG40" s="219">
        <f t="shared" si="52"/>
        <v>0.26163706524754748</v>
      </c>
      <c r="AH40" s="237">
        <f t="shared" si="52"/>
        <v>-0.18171071491634261</v>
      </c>
      <c r="AI40" s="219">
        <f t="shared" ref="AI40:BN40" si="53">IF(AH26&lt;&gt;0,AI26/AH26-1,0)</f>
        <v>0.37449413428262179</v>
      </c>
      <c r="AJ40" s="218">
        <f t="shared" si="53"/>
        <v>0.3334120275946848</v>
      </c>
      <c r="AK40" s="219">
        <f t="shared" si="53"/>
        <v>-0.16954069368318914</v>
      </c>
      <c r="AL40" s="218">
        <f t="shared" si="53"/>
        <v>8.9931648208496862E-2</v>
      </c>
      <c r="AM40" s="219">
        <f t="shared" si="53"/>
        <v>0.11566166707964465</v>
      </c>
      <c r="AN40" s="219">
        <f t="shared" si="53"/>
        <v>-8.6845986288203281E-2</v>
      </c>
      <c r="AO40" s="218">
        <f t="shared" si="53"/>
        <v>-9.9649643413103339E-3</v>
      </c>
      <c r="AP40" s="219">
        <f t="shared" si="53"/>
        <v>2.3427331340152957E-2</v>
      </c>
      <c r="AQ40" s="219">
        <f t="shared" si="53"/>
        <v>2.5700297718689313E-4</v>
      </c>
      <c r="AR40" s="219">
        <f t="shared" si="53"/>
        <v>-0.12364294058192493</v>
      </c>
      <c r="AS40" s="220">
        <f t="shared" si="53"/>
        <v>2.9005945709045022E-2</v>
      </c>
      <c r="AT40" s="219">
        <f t="shared" si="53"/>
        <v>-0.11412271423660569</v>
      </c>
      <c r="AU40" s="218">
        <f t="shared" si="53"/>
        <v>-0.23527364467918177</v>
      </c>
      <c r="AV40" s="219">
        <f t="shared" si="53"/>
        <v>0.62332259286558522</v>
      </c>
      <c r="AW40" s="218">
        <f t="shared" si="53"/>
        <v>-0.11191638218806399</v>
      </c>
      <c r="AX40" s="219">
        <f t="shared" si="53"/>
        <v>0.22962808627476461</v>
      </c>
      <c r="AY40" s="219">
        <f t="shared" si="53"/>
        <v>-0.19830593522313988</v>
      </c>
      <c r="AZ40" s="218">
        <f t="shared" si="53"/>
        <v>-0.10006024718498396</v>
      </c>
      <c r="BA40" s="219">
        <f t="shared" si="53"/>
        <v>-7.0487635266606175E-2</v>
      </c>
      <c r="BB40" s="219">
        <f t="shared" si="53"/>
        <v>2.844032300896604E-2</v>
      </c>
      <c r="BC40" s="219">
        <f t="shared" si="53"/>
        <v>-4.5873443576670891E-2</v>
      </c>
      <c r="BD40" s="220">
        <f t="shared" si="53"/>
        <v>0.25721481459067674</v>
      </c>
      <c r="BE40" s="219">
        <f t="shared" si="53"/>
        <v>-4.1033561790984163E-2</v>
      </c>
      <c r="BF40" s="218">
        <f t="shared" si="53"/>
        <v>-3.7030221332284619E-2</v>
      </c>
      <c r="BG40" s="219">
        <f t="shared" si="53"/>
        <v>8.8720904805006384E-2</v>
      </c>
      <c r="BH40" s="218">
        <f t="shared" si="53"/>
        <v>0.302805653567078</v>
      </c>
      <c r="BI40" s="219">
        <f t="shared" si="53"/>
        <v>0.42400636708015282</v>
      </c>
      <c r="BJ40" s="219">
        <f t="shared" si="53"/>
        <v>0.528454642668722</v>
      </c>
      <c r="BK40" s="218">
        <f t="shared" si="53"/>
        <v>0.17890088820179306</v>
      </c>
      <c r="BL40" s="219">
        <f t="shared" si="53"/>
        <v>-0.13338864161801955</v>
      </c>
      <c r="BM40" s="219">
        <f t="shared" si="53"/>
        <v>-0.28581610552235426</v>
      </c>
      <c r="BN40" s="219">
        <f t="shared" si="53"/>
        <v>-0.26829250802988847</v>
      </c>
      <c r="BO40" s="220">
        <f t="shared" ref="BO40:BU40" si="54">IF(BN26&lt;&gt;0,BO26/BN26-1,0)</f>
        <v>-0.19858683496310869</v>
      </c>
      <c r="BP40" s="219">
        <f t="shared" si="54"/>
        <v>-7.8512008297336511E-2</v>
      </c>
      <c r="BQ40" s="218">
        <f t="shared" si="54"/>
        <v>-0.34429603057153024</v>
      </c>
      <c r="BR40" s="219">
        <f t="shared" si="54"/>
        <v>0.15888576653594289</v>
      </c>
      <c r="BS40" s="220">
        <f t="shared" si="54"/>
        <v>-1.1387013564127191E-2</v>
      </c>
      <c r="BT40" s="222">
        <f t="shared" si="54"/>
        <v>-8.5127743283996749E-2</v>
      </c>
      <c r="BU40" s="222">
        <f t="shared" si="54"/>
        <v>0.35762586567684296</v>
      </c>
      <c r="BV40" s="222">
        <f>IF(BU26&lt;&gt;0,BV26/BU26-1,0)</f>
        <v>3.9090728465510649E-2</v>
      </c>
      <c r="BW40" s="222">
        <f>IF(BV26&lt;&gt;0,BW26/BV26-1,0)</f>
        <v>-2.7894980876239761E-2</v>
      </c>
      <c r="BX40" s="222">
        <f>IF(BW26&lt;&gt;0,BX26/BW26-1,0)</f>
        <v>3.8733955515247054E-2</v>
      </c>
      <c r="BY40" s="222">
        <f>IF(BX26&lt;&gt;0,BY26/BX26-1,0)</f>
        <v>-4.668957008862229E-2</v>
      </c>
    </row>
    <row r="41" spans="1:78" s="211" customFormat="1">
      <c r="A41" s="212" t="s">
        <v>686</v>
      </c>
      <c r="B41" s="224"/>
      <c r="C41" s="216">
        <f>IF(B32&lt;&gt;0,C32/B32-1,0)</f>
        <v>0.10930017642611101</v>
      </c>
      <c r="D41" s="225">
        <f t="shared" ref="D41:BO41" si="55">IF(C32&lt;&gt;0,D32/C32-1,0)</f>
        <v>8.7354980716811692E-2</v>
      </c>
      <c r="E41" s="226">
        <f t="shared" si="55"/>
        <v>1.9902666680803329</v>
      </c>
      <c r="F41" s="225">
        <f t="shared" si="55"/>
        <v>0.21726633690914343</v>
      </c>
      <c r="G41" s="225">
        <f t="shared" si="55"/>
        <v>-0.23952105896300213</v>
      </c>
      <c r="H41" s="226">
        <f t="shared" si="55"/>
        <v>-0.32089614282834622</v>
      </c>
      <c r="I41" s="225">
        <f t="shared" si="55"/>
        <v>0.1018599197373562</v>
      </c>
      <c r="J41" s="225">
        <f t="shared" si="55"/>
        <v>9.801309550266013E-2</v>
      </c>
      <c r="K41" s="225">
        <f t="shared" si="55"/>
        <v>6.0369353687861338E-3</v>
      </c>
      <c r="L41" s="227">
        <f t="shared" si="55"/>
        <v>4.9097485189431023E-3</v>
      </c>
      <c r="M41" s="228">
        <f t="shared" si="55"/>
        <v>1.0472970471553378E-2</v>
      </c>
      <c r="N41" s="226">
        <f t="shared" si="55"/>
        <v>-5.8955028917539232E-2</v>
      </c>
      <c r="O41" s="225">
        <f t="shared" si="55"/>
        <v>9.3917010873101781E-2</v>
      </c>
      <c r="P41" s="226">
        <f t="shared" si="55"/>
        <v>7.3637038032247304E-2</v>
      </c>
      <c r="Q41" s="225">
        <f t="shared" si="55"/>
        <v>8.288641232932159E-3</v>
      </c>
      <c r="R41" s="225">
        <f t="shared" si="55"/>
        <v>-9.5437628006834752E-3</v>
      </c>
      <c r="S41" s="226">
        <f t="shared" si="55"/>
        <v>-1.6882053476639514E-2</v>
      </c>
      <c r="T41" s="225">
        <f t="shared" si="55"/>
        <v>0.27441794075172266</v>
      </c>
      <c r="U41" s="225">
        <f t="shared" si="55"/>
        <v>7.6601621250438567E-2</v>
      </c>
      <c r="V41" s="225">
        <f t="shared" si="55"/>
        <v>1.2155399854588023E-2</v>
      </c>
      <c r="W41" s="227">
        <f t="shared" si="55"/>
        <v>-8.2557824566837912E-3</v>
      </c>
      <c r="X41" s="228">
        <f t="shared" si="55"/>
        <v>-7.8251020467061116E-2</v>
      </c>
      <c r="Y41" s="226">
        <f t="shared" si="55"/>
        <v>-8.1880578884164668E-2</v>
      </c>
      <c r="Z41" s="225">
        <f t="shared" si="55"/>
        <v>1.9848676969420609E-3</v>
      </c>
      <c r="AA41" s="226">
        <f t="shared" si="55"/>
        <v>-1.0636677028036834E-2</v>
      </c>
      <c r="AB41" s="225">
        <f t="shared" si="55"/>
        <v>-3.3493503399014024E-2</v>
      </c>
      <c r="AC41" s="225">
        <f t="shared" si="55"/>
        <v>-4.4364916154907119E-2</v>
      </c>
      <c r="AD41" s="226">
        <f t="shared" si="55"/>
        <v>3.8444381944137129E-2</v>
      </c>
      <c r="AE41" s="225">
        <f t="shared" si="55"/>
        <v>4.8982120546063213E-2</v>
      </c>
      <c r="AF41" s="225">
        <f t="shared" si="55"/>
        <v>1.1542569596368235E-2</v>
      </c>
      <c r="AG41" s="225">
        <f t="shared" si="55"/>
        <v>-5.8038938349764813E-3</v>
      </c>
      <c r="AH41" s="238">
        <f t="shared" si="55"/>
        <v>4.721305057037517E-2</v>
      </c>
      <c r="AI41" s="228">
        <f t="shared" si="55"/>
        <v>0.12613251873738651</v>
      </c>
      <c r="AJ41" s="226">
        <f t="shared" si="55"/>
        <v>0.12298067848623528</v>
      </c>
      <c r="AK41" s="225">
        <f t="shared" si="55"/>
        <v>7.0753060975203841E-2</v>
      </c>
      <c r="AL41" s="226">
        <f t="shared" si="55"/>
        <v>4.6985742636949546E-2</v>
      </c>
      <c r="AM41" s="225">
        <f t="shared" si="55"/>
        <v>4.719708304980208E-2</v>
      </c>
      <c r="AN41" s="225">
        <f t="shared" si="55"/>
        <v>-1.5334065962400056E-2</v>
      </c>
      <c r="AO41" s="226">
        <f t="shared" si="55"/>
        <v>-5.7401570955893932E-3</v>
      </c>
      <c r="AP41" s="225">
        <f t="shared" si="55"/>
        <v>-1.3861872921642315E-2</v>
      </c>
      <c r="AQ41" s="225">
        <f t="shared" si="55"/>
        <v>-2.5832251717927135E-2</v>
      </c>
      <c r="AR41" s="225">
        <f t="shared" si="55"/>
        <v>-3.5562909957362221E-2</v>
      </c>
      <c r="AS41" s="227">
        <f t="shared" si="55"/>
        <v>2.9574901947205801E-2</v>
      </c>
      <c r="AT41" s="228">
        <f t="shared" si="55"/>
        <v>-0.10379711530901992</v>
      </c>
      <c r="AU41" s="226">
        <f t="shared" si="55"/>
        <v>-7.6412525081578586E-2</v>
      </c>
      <c r="AV41" s="225">
        <f t="shared" si="55"/>
        <v>-8.7772039516174738E-2</v>
      </c>
      <c r="AW41" s="226">
        <f t="shared" si="55"/>
        <v>-9.5441909525828539E-3</v>
      </c>
      <c r="AX41" s="225">
        <f t="shared" si="55"/>
        <v>-1.5137743650170177E-2</v>
      </c>
      <c r="AY41" s="225">
        <f t="shared" si="55"/>
        <v>-2.0683657337336903E-2</v>
      </c>
      <c r="AZ41" s="226">
        <f t="shared" si="55"/>
        <v>6.9970363052662687E-3</v>
      </c>
      <c r="BA41" s="225">
        <f t="shared" si="55"/>
        <v>3.9321504789560535E-2</v>
      </c>
      <c r="BB41" s="225">
        <f t="shared" si="55"/>
        <v>3.08353677290929E-2</v>
      </c>
      <c r="BC41" s="225">
        <f t="shared" si="55"/>
        <v>7.7203269452152501E-2</v>
      </c>
      <c r="BD41" s="227">
        <f t="shared" si="55"/>
        <v>0.10490108325378467</v>
      </c>
      <c r="BE41" s="228">
        <f t="shared" si="55"/>
        <v>0.19561014621052086</v>
      </c>
      <c r="BF41" s="226">
        <f t="shared" si="55"/>
        <v>2.7744006249991182E-2</v>
      </c>
      <c r="BG41" s="225">
        <f t="shared" si="55"/>
        <v>6.8180390888760822E-2</v>
      </c>
      <c r="BH41" s="226">
        <f t="shared" si="55"/>
        <v>3.3696138381645868E-2</v>
      </c>
      <c r="BI41" s="225">
        <f t="shared" si="55"/>
        <v>9.6228367497817713E-2</v>
      </c>
      <c r="BJ41" s="225">
        <f t="shared" si="55"/>
        <v>8.5846834162299324E-2</v>
      </c>
      <c r="BK41" s="226">
        <f t="shared" si="55"/>
        <v>-1.6584004699776944E-2</v>
      </c>
      <c r="BL41" s="225">
        <f t="shared" si="55"/>
        <v>2.9911480437131432E-2</v>
      </c>
      <c r="BM41" s="225">
        <f t="shared" si="55"/>
        <v>-2.3728408181006744E-2</v>
      </c>
      <c r="BN41" s="225">
        <f t="shared" si="55"/>
        <v>-7.0458422330447079E-2</v>
      </c>
      <c r="BO41" s="227">
        <f t="shared" si="55"/>
        <v>-0.11746363949611904</v>
      </c>
      <c r="BP41" s="228">
        <f t="shared" ref="BP41:BU41" si="56">IF(BO32&lt;&gt;0,BP32/BO32-1,0)</f>
        <v>-2.4900346996102551E-2</v>
      </c>
      <c r="BQ41" s="226">
        <f t="shared" si="56"/>
        <v>-3.8750182393278432E-2</v>
      </c>
      <c r="BR41" s="225">
        <f t="shared" si="56"/>
        <v>2.7998369725121597E-2</v>
      </c>
      <c r="BS41" s="227">
        <f t="shared" si="56"/>
        <v>1.8774853570227235E-2</v>
      </c>
      <c r="BT41" s="222">
        <f t="shared" si="56"/>
        <v>-1.3720596875546609E-2</v>
      </c>
      <c r="BU41" s="222">
        <f t="shared" si="56"/>
        <v>9.9034007851985129E-2</v>
      </c>
      <c r="BV41" s="222">
        <f t="shared" ref="BV41" si="57">IF(BU32&lt;&gt;0,BV32/BU32-1,0)</f>
        <v>-2.7800904014834704E-2</v>
      </c>
      <c r="BW41" s="222">
        <f t="shared" ref="BW41" si="58">IF(BV32&lt;&gt;0,BW32/BV32-1,0)</f>
        <v>-3.0327737110128483E-3</v>
      </c>
      <c r="BX41" s="222">
        <f t="shared" ref="BX41" si="59">IF(BW32&lt;&gt;0,BX32/BW32-1,0)</f>
        <v>-2.2469447261916908E-3</v>
      </c>
      <c r="BY41" s="222">
        <f t="shared" ref="BY41" si="60">IF(BX32&lt;&gt;0,BY32/BX32-1,0)</f>
        <v>-1.4448859209911236E-3</v>
      </c>
    </row>
    <row r="42" spans="1:78">
      <c r="AH42" s="232"/>
    </row>
    <row r="43" spans="1:78">
      <c r="A43" s="229" t="s">
        <v>382</v>
      </c>
    </row>
    <row r="44" spans="1:78">
      <c r="BS44" s="230" t="s">
        <v>3</v>
      </c>
      <c r="BT44" s="202">
        <f>BT9+BT14</f>
        <v>264157</v>
      </c>
      <c r="BU44" s="202">
        <f>BU9+BU14</f>
        <v>285185</v>
      </c>
      <c r="BV44" s="230" t="s">
        <v>383</v>
      </c>
    </row>
    <row r="45" spans="1:78">
      <c r="BS45" s="230" t="s">
        <v>667</v>
      </c>
      <c r="BT45" s="202">
        <f>BT7+BT44</f>
        <v>403961</v>
      </c>
      <c r="BU45" s="202">
        <f>BU7+BU44</f>
        <v>438068</v>
      </c>
    </row>
    <row r="46" spans="1:78" s="178" customFormat="1">
      <c r="BS46" s="230" t="s">
        <v>668</v>
      </c>
      <c r="BT46" s="231">
        <f>BT45/BT18</f>
        <v>0.65956585274260571</v>
      </c>
      <c r="BU46" s="231">
        <f>BU45/BU18</f>
        <v>0.63825186929232058</v>
      </c>
    </row>
    <row r="47" spans="1:78" s="178" customFormat="1">
      <c r="BT47" s="179"/>
      <c r="BU47" s="179"/>
    </row>
    <row r="48" spans="1:78" s="178" customFormat="1">
      <c r="BS48" s="230" t="s">
        <v>3</v>
      </c>
      <c r="BT48" s="202">
        <f>BT23+BT28</f>
        <v>269351.34690157516</v>
      </c>
      <c r="BU48" s="202">
        <f>BU23+BU28</f>
        <v>285185</v>
      </c>
      <c r="BV48" s="230" t="s">
        <v>669</v>
      </c>
    </row>
    <row r="49" spans="71:73" s="178" customFormat="1">
      <c r="BS49" s="230" t="s">
        <v>667</v>
      </c>
      <c r="BT49" s="202">
        <f>BT21+BT48</f>
        <v>411904.43352138007</v>
      </c>
      <c r="BU49" s="202">
        <f>BU21+BU48</f>
        <v>438068</v>
      </c>
    </row>
    <row r="50" spans="71:73" s="178" customFormat="1">
      <c r="BS50" s="230" t="s">
        <v>668</v>
      </c>
      <c r="BT50" s="231">
        <f>BT49/BT32</f>
        <v>0.65956585274260571</v>
      </c>
      <c r="BU50" s="231">
        <f>BU49/BU32</f>
        <v>0.63825186929232058</v>
      </c>
    </row>
    <row r="51" spans="71:73" s="178" customFormat="1">
      <c r="BT51" s="179"/>
    </row>
    <row r="52" spans="71:73" s="178" customFormat="1">
      <c r="BT52" s="179"/>
    </row>
    <row r="53" spans="71:73" s="178" customFormat="1">
      <c r="BT53" s="179"/>
    </row>
    <row r="54" spans="71:73" s="178" customFormat="1">
      <c r="BT54" s="179"/>
    </row>
    <row r="55" spans="71:73" s="178" customFormat="1">
      <c r="BT55" s="179"/>
    </row>
    <row r="57" spans="71:73" s="178" customFormat="1">
      <c r="BT57" s="179"/>
    </row>
    <row r="59" spans="71:73" s="178" customFormat="1">
      <c r="BT59" s="179"/>
    </row>
    <row r="60" spans="71:73" s="178" customFormat="1">
      <c r="BT60" s="179"/>
    </row>
    <row r="61" spans="71:73" s="178" customFormat="1">
      <c r="BT61" s="179"/>
    </row>
    <row r="62" spans="71:73" s="178" customFormat="1">
      <c r="BT62" s="179"/>
    </row>
    <row r="63" spans="71:73" s="178" customFormat="1">
      <c r="BT63" s="179"/>
    </row>
    <row r="64" spans="71:73" s="178" customFormat="1">
      <c r="BT64" s="179"/>
    </row>
    <row r="65" spans="72:72" s="178" customFormat="1">
      <c r="BT65" s="179"/>
    </row>
    <row r="66" spans="72:72" s="178" customFormat="1">
      <c r="BT66" s="179"/>
    </row>
    <row r="67" spans="72:72" s="178" customFormat="1">
      <c r="BT67" s="179"/>
    </row>
    <row r="68" spans="72:72" s="178" customFormat="1">
      <c r="BT68" s="179"/>
    </row>
    <row r="69" spans="72:72" s="178" customFormat="1">
      <c r="BT69" s="179"/>
    </row>
    <row r="70" spans="72:72" s="178" customFormat="1">
      <c r="BT70" s="179"/>
    </row>
    <row r="71" spans="72:72" s="178" customFormat="1">
      <c r="BT71" s="179"/>
    </row>
    <row r="72" spans="72:72" s="178" customFormat="1">
      <c r="BT72" s="179"/>
    </row>
    <row r="73" spans="72:72" s="178" customFormat="1">
      <c r="BT73" s="179"/>
    </row>
    <row r="74" spans="72:72" s="178" customFormat="1">
      <c r="BT74" s="179"/>
    </row>
    <row r="75" spans="72:72" s="178" customFormat="1">
      <c r="BT75" s="179"/>
    </row>
  </sheetData>
  <printOptions horizontalCentered="1"/>
  <pageMargins left="0.5" right="0.5" top="0.75" bottom="0.5" header="0.3" footer="0.3"/>
  <pageSetup orientation="landscape" r:id="rId1"/>
  <ignoredErrors>
    <ignoredError sqref="BV19:BY19"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1F40-3736-2D4D-BB86-17CED0CD94A6}">
  <sheetPr>
    <pageSetUpPr fitToPage="1"/>
  </sheetPr>
  <dimension ref="A1:W14"/>
  <sheetViews>
    <sheetView tabSelected="1" zoomScalePageLayoutView="80" workbookViewId="0">
      <selection activeCell="K14" sqref="K14"/>
    </sheetView>
  </sheetViews>
  <sheetFormatPr baseColWidth="10" defaultRowHeight="16"/>
  <cols>
    <col min="1" max="1" width="33" bestFit="1" customWidth="1"/>
    <col min="2" max="2" width="6.1640625" bestFit="1" customWidth="1"/>
    <col min="3" max="3" width="7.1640625" bestFit="1" customWidth="1"/>
    <col min="4" max="4" width="6.1640625" bestFit="1" customWidth="1"/>
    <col min="5" max="8" width="6.6640625" bestFit="1" customWidth="1"/>
    <col min="9" max="13" width="7.1640625" bestFit="1" customWidth="1"/>
    <col min="14" max="15" width="7.6640625" bestFit="1" customWidth="1"/>
    <col min="16" max="16" width="7.1640625" bestFit="1" customWidth="1"/>
    <col min="17" max="23" width="6.6640625" bestFit="1" customWidth="1"/>
  </cols>
  <sheetData>
    <row r="1" spans="1:23" s="3" customFormat="1" ht="19">
      <c r="A1" s="3" t="s">
        <v>324</v>
      </c>
      <c r="B1" s="3">
        <v>1990</v>
      </c>
      <c r="C1" s="3">
        <v>1991</v>
      </c>
      <c r="D1" s="3">
        <v>1992</v>
      </c>
      <c r="E1" s="3">
        <v>2001</v>
      </c>
      <c r="F1" s="3">
        <v>2002</v>
      </c>
      <c r="G1" s="3">
        <v>2003</v>
      </c>
      <c r="H1" s="3">
        <v>2004</v>
      </c>
      <c r="I1" s="3">
        <v>2005</v>
      </c>
      <c r="J1" s="3">
        <v>2006</v>
      </c>
      <c r="K1" s="3">
        <v>2007</v>
      </c>
      <c r="L1" s="3">
        <v>2008</v>
      </c>
      <c r="M1" s="3">
        <v>2009</v>
      </c>
      <c r="N1" s="3">
        <v>2010</v>
      </c>
      <c r="O1" s="3">
        <v>2011</v>
      </c>
      <c r="P1" s="3">
        <v>2012</v>
      </c>
      <c r="Q1" s="3">
        <v>2013</v>
      </c>
      <c r="R1" s="3">
        <v>2014</v>
      </c>
      <c r="S1" s="3">
        <v>2015</v>
      </c>
      <c r="T1" s="3">
        <v>2016</v>
      </c>
      <c r="U1" s="3">
        <v>2017</v>
      </c>
      <c r="V1" s="3">
        <v>2018</v>
      </c>
      <c r="W1" s="3">
        <v>2019</v>
      </c>
    </row>
    <row r="2" spans="1:23">
      <c r="A2" t="s">
        <v>302</v>
      </c>
      <c r="B2">
        <f>OCO_DoD_BA!C3</f>
        <v>0.28100000000000003</v>
      </c>
      <c r="C2">
        <f>OCO_DoD_BA!D3</f>
        <v>5.8239999999999998</v>
      </c>
      <c r="D2">
        <f>OCO_DoD_BA!E3</f>
        <v>2.4089999999999998</v>
      </c>
      <c r="E2">
        <f>OCO_DoD_BA!G3</f>
        <v>0.51500000000000001</v>
      </c>
      <c r="F2">
        <f>OCO_DoD_BA!H3</f>
        <v>0.20599999999999999</v>
      </c>
      <c r="G2">
        <f>OCO_DoD_BA!I3</f>
        <v>15.019</v>
      </c>
      <c r="H2">
        <f>OCO_DoD_BA!J3</f>
        <v>19.064</v>
      </c>
      <c r="I2">
        <f>OCO_DoD_BA!K3</f>
        <v>17.446999999999999</v>
      </c>
      <c r="J2">
        <f>OCO_DoD_BA!L3</f>
        <v>17.036999999999999</v>
      </c>
      <c r="K2">
        <f>OCO_DoD_BA!M3</f>
        <v>18.893999999999998</v>
      </c>
      <c r="L2">
        <f>OCO_DoD_BA!N3</f>
        <v>19.138000000000002</v>
      </c>
      <c r="M2">
        <f>OCO_DoD_BA!O3</f>
        <v>19.920000000000002</v>
      </c>
      <c r="N2">
        <f>OCO_DoD_BA!P3</f>
        <v>16.869</v>
      </c>
      <c r="O2">
        <f>OCO_DoD_BA!Q3</f>
        <v>15.64</v>
      </c>
      <c r="P2">
        <f>OCO_DoD_BA!R3</f>
        <v>11.292999999999999</v>
      </c>
      <c r="Q2">
        <f>OCO_DoD_BA!S3</f>
        <v>12.122999999999999</v>
      </c>
      <c r="R2">
        <f>OCO_DoD_BA!T3</f>
        <v>7.81</v>
      </c>
      <c r="S2">
        <f>OCO_DoD_BA!U3</f>
        <v>4.7750000000000004</v>
      </c>
      <c r="T2">
        <f>OCO_DoD_BA!V3</f>
        <v>3.18</v>
      </c>
      <c r="U2">
        <f>OCO_DoD_BA!W3</f>
        <v>3.7519999999999998</v>
      </c>
      <c r="V2">
        <f>OCO_DoD_BA!X3</f>
        <v>3.839</v>
      </c>
      <c r="W2">
        <f>OCO_DoD_BA!Y3</f>
        <v>4.6609999999999996</v>
      </c>
    </row>
    <row r="3" spans="1:23">
      <c r="A3" t="s">
        <v>3</v>
      </c>
      <c r="B3">
        <f>OCO_DoD_BA!C4</f>
        <v>1.3280000000000001</v>
      </c>
      <c r="C3">
        <f>OCO_DoD_BA!D4</f>
        <v>24.366</v>
      </c>
      <c r="D3">
        <f>OCO_DoD_BA!E4</f>
        <v>8.1319999999999997</v>
      </c>
      <c r="E3">
        <f>OCO_DoD_BA!G4</f>
        <v>26.492999999999999</v>
      </c>
      <c r="F3">
        <f>OCO_DoD_BA!H4</f>
        <v>15.379</v>
      </c>
      <c r="G3">
        <f>OCO_DoD_BA!I4</f>
        <v>52.784999999999997</v>
      </c>
      <c r="H3">
        <f>OCO_DoD_BA!J4</f>
        <v>62.143000000000001</v>
      </c>
      <c r="I3">
        <f>OCO_DoD_BA!K4</f>
        <v>40.380000000000003</v>
      </c>
      <c r="J3">
        <f>OCO_DoD_BA!L4</f>
        <v>75.290000000000006</v>
      </c>
      <c r="K3">
        <f>OCO_DoD_BA!M4</f>
        <v>93.614999999999995</v>
      </c>
      <c r="L3">
        <f>OCO_DoD_BA!N4</f>
        <v>93.349000000000004</v>
      </c>
      <c r="M3">
        <f>OCO_DoD_BA!O4</f>
        <v>91.572999999999993</v>
      </c>
      <c r="N3">
        <f>OCO_DoD_BA!P4</f>
        <v>108.971</v>
      </c>
      <c r="O3">
        <f>OCO_DoD_BA!Q4</f>
        <v>110.21899999999999</v>
      </c>
      <c r="P3">
        <f>OCO_DoD_BA!R4</f>
        <v>86.775999999999996</v>
      </c>
      <c r="Q3">
        <f>OCO_DoD_BA!S4</f>
        <v>61.585999999999999</v>
      </c>
      <c r="R3">
        <f>OCO_DoD_BA!T4</f>
        <v>68.792000000000002</v>
      </c>
      <c r="S3">
        <f>OCO_DoD_BA!U4</f>
        <v>49.482999999999997</v>
      </c>
      <c r="T3">
        <f>OCO_DoD_BA!V4</f>
        <v>47.154000000000003</v>
      </c>
      <c r="U3">
        <f>OCO_DoD_BA!W4</f>
        <v>60.134999999999998</v>
      </c>
      <c r="V3">
        <f>OCO_DoD_BA!X4</f>
        <v>61.973999999999997</v>
      </c>
      <c r="W3">
        <f>OCO_DoD_BA!Y4</f>
        <v>49.313000000000002</v>
      </c>
    </row>
    <row r="4" spans="1:23">
      <c r="A4" t="s">
        <v>4</v>
      </c>
      <c r="B4">
        <f>OCO_DoD_BA!C5</f>
        <v>0.01</v>
      </c>
      <c r="C4">
        <f>OCO_DoD_BA!D5</f>
        <v>5.2779999999999996</v>
      </c>
      <c r="D4">
        <f>OCO_DoD_BA!E5</f>
        <v>1.95</v>
      </c>
      <c r="E4">
        <f>OCO_DoD_BA!G5</f>
        <v>0.97799999999999998</v>
      </c>
      <c r="F4">
        <f>OCO_DoD_BA!H5</f>
        <v>1.194</v>
      </c>
      <c r="G4">
        <f>OCO_DoD_BA!I5</f>
        <v>3.734</v>
      </c>
      <c r="H4">
        <f>OCO_DoD_BA!J5</f>
        <v>6.92</v>
      </c>
      <c r="I4">
        <f>OCO_DoD_BA!K5</f>
        <v>17.526</v>
      </c>
      <c r="J4">
        <f>OCO_DoD_BA!L5</f>
        <v>25.739000000000001</v>
      </c>
      <c r="K4">
        <f>OCO_DoD_BA!M5</f>
        <v>49.466000000000001</v>
      </c>
      <c r="L4">
        <f>OCO_DoD_BA!N5</f>
        <v>65.869</v>
      </c>
      <c r="M4">
        <f>OCO_DoD_BA!O5</f>
        <v>34.552</v>
      </c>
      <c r="N4">
        <f>OCO_DoD_BA!P5</f>
        <v>32.631999999999998</v>
      </c>
      <c r="O4">
        <f>OCO_DoD_BA!Q5</f>
        <v>29.824999999999999</v>
      </c>
      <c r="P4">
        <f>OCO_DoD_BA!R5</f>
        <v>16.052</v>
      </c>
      <c r="Q4">
        <f>OCO_DoD_BA!S5</f>
        <v>8.1349999999999998</v>
      </c>
      <c r="R4">
        <f>OCO_DoD_BA!T5</f>
        <v>8.2430000000000003</v>
      </c>
      <c r="S4">
        <f>OCO_DoD_BA!U5</f>
        <v>8.234</v>
      </c>
      <c r="T4">
        <f>OCO_DoD_BA!V5</f>
        <v>8.3629999999999995</v>
      </c>
      <c r="U4">
        <f>OCO_DoD_BA!W5</f>
        <v>16.271000000000001</v>
      </c>
      <c r="V4">
        <f>OCO_DoD_BA!X5</f>
        <v>18.420999999999999</v>
      </c>
      <c r="W4">
        <f>OCO_DoD_BA!Y5</f>
        <v>12.782</v>
      </c>
    </row>
    <row r="5" spans="1:23">
      <c r="A5" t="s">
        <v>5</v>
      </c>
      <c r="B5">
        <f>OCO_DoD_BA!C6</f>
        <v>8.9999999999999993E-3</v>
      </c>
      <c r="C5">
        <f>OCO_DoD_BA!D6</f>
        <v>6.9000000000000006E-2</v>
      </c>
      <c r="D5">
        <f>OCO_DoD_BA!E6</f>
        <v>0.106</v>
      </c>
      <c r="E5">
        <f>OCO_DoD_BA!G6</f>
        <v>0.48699999999999999</v>
      </c>
      <c r="F5">
        <f>OCO_DoD_BA!H6</f>
        <v>-1.4E-2</v>
      </c>
      <c r="G5">
        <f>OCO_DoD_BA!I6</f>
        <v>0.80900000000000005</v>
      </c>
      <c r="H5">
        <f>OCO_DoD_BA!J6</f>
        <v>0.33400000000000002</v>
      </c>
      <c r="I5">
        <f>OCO_DoD_BA!K6</f>
        <v>0.64600000000000002</v>
      </c>
      <c r="J5">
        <f>OCO_DoD_BA!L6</f>
        <v>0.81699999999999995</v>
      </c>
      <c r="K5">
        <f>OCO_DoD_BA!M6</f>
        <v>1.506</v>
      </c>
      <c r="L5">
        <f>OCO_DoD_BA!N6</f>
        <v>1.6080000000000001</v>
      </c>
      <c r="M5">
        <f>OCO_DoD_BA!O6</f>
        <v>0.61199999999999999</v>
      </c>
      <c r="N5">
        <f>OCO_DoD_BA!P6</f>
        <v>0.96899999999999997</v>
      </c>
      <c r="O5">
        <f>OCO_DoD_BA!Q6</f>
        <v>1.3959999999999999</v>
      </c>
      <c r="P5">
        <f>OCO_DoD_BA!R6</f>
        <v>0.52600000000000002</v>
      </c>
      <c r="Q5">
        <f>OCO_DoD_BA!S6</f>
        <v>0.192</v>
      </c>
      <c r="R5">
        <f>OCO_DoD_BA!T6</f>
        <v>0.31</v>
      </c>
      <c r="S5">
        <f>OCO_DoD_BA!U6</f>
        <v>0.38100000000000001</v>
      </c>
      <c r="T5">
        <f>OCO_DoD_BA!V6</f>
        <v>0.24199999999999999</v>
      </c>
      <c r="U5">
        <f>OCO_DoD_BA!W6</f>
        <v>1.534</v>
      </c>
      <c r="V5">
        <f>OCO_DoD_BA!X6</f>
        <v>2.8260000000000001</v>
      </c>
      <c r="W5">
        <f>OCO_DoD_BA!Y6</f>
        <v>1.3080000000000001</v>
      </c>
    </row>
    <row r="6" spans="1:23">
      <c r="A6" t="s">
        <v>304</v>
      </c>
      <c r="B6">
        <f>OCO_DoD_BA!C7</f>
        <v>0</v>
      </c>
      <c r="C6">
        <f>OCO_DoD_BA!D7</f>
        <v>3.5000000000000003E-2</v>
      </c>
      <c r="D6">
        <f>OCO_DoD_BA!E7</f>
        <v>0</v>
      </c>
      <c r="E6">
        <f>OCO_DoD_BA!G7</f>
        <v>6.3E-2</v>
      </c>
      <c r="F6">
        <f>OCO_DoD_BA!H7</f>
        <v>0.105</v>
      </c>
      <c r="G6">
        <f>OCO_DoD_BA!I7</f>
        <v>0.186</v>
      </c>
      <c r="H6">
        <f>OCO_DoD_BA!J7</f>
        <v>0.501</v>
      </c>
      <c r="I6">
        <f>OCO_DoD_BA!K7</f>
        <v>1.276</v>
      </c>
      <c r="J6">
        <f>OCO_DoD_BA!L7</f>
        <v>1.4750000000000001</v>
      </c>
      <c r="K6">
        <f>OCO_DoD_BA!M7</f>
        <v>4.8070000000000004</v>
      </c>
      <c r="L6">
        <f>OCO_DoD_BA!N7</f>
        <v>4.234</v>
      </c>
      <c r="M6">
        <f>OCO_DoD_BA!O7</f>
        <v>4.9160000000000004</v>
      </c>
      <c r="N6">
        <f>OCO_DoD_BA!P7</f>
        <v>2.048</v>
      </c>
      <c r="O6">
        <f>OCO_DoD_BA!Q7</f>
        <v>1.2230000000000001</v>
      </c>
      <c r="P6">
        <f>OCO_DoD_BA!R7</f>
        <v>0</v>
      </c>
      <c r="Q6">
        <f>OCO_DoD_BA!S7</f>
        <v>1.4999999999999999E-2</v>
      </c>
      <c r="R6">
        <f>OCO_DoD_BA!T7</f>
        <v>0</v>
      </c>
      <c r="S6">
        <f>OCO_DoD_BA!U7</f>
        <v>0.221</v>
      </c>
      <c r="T6">
        <f>OCO_DoD_BA!V7</f>
        <v>0</v>
      </c>
      <c r="U6">
        <f>OCO_DoD_BA!W7</f>
        <v>0.42</v>
      </c>
      <c r="V6">
        <f>OCO_DoD_BA!X7</f>
        <v>0.63200000000000001</v>
      </c>
      <c r="W6">
        <f>OCO_DoD_BA!Y7</f>
        <v>0.92100000000000004</v>
      </c>
    </row>
    <row r="7" spans="1:23">
      <c r="A7" t="s">
        <v>19</v>
      </c>
      <c r="B7">
        <f>OCO_DoD_BA!C8</f>
        <v>0</v>
      </c>
      <c r="C7">
        <f>OCO_DoD_BA!D8</f>
        <v>0</v>
      </c>
      <c r="D7">
        <f>OCO_DoD_BA!E8</f>
        <v>0</v>
      </c>
      <c r="E7">
        <f>OCO_DoD_BA!G8</f>
        <v>0.06</v>
      </c>
      <c r="F7">
        <f>OCO_DoD_BA!H8</f>
        <v>0</v>
      </c>
      <c r="G7">
        <f>OCO_DoD_BA!I8</f>
        <v>2E-3</v>
      </c>
      <c r="H7">
        <f>OCO_DoD_BA!J8</f>
        <v>2.4E-2</v>
      </c>
      <c r="I7">
        <f>OCO_DoD_BA!K8</f>
        <v>2.1000000000000001E-2</v>
      </c>
      <c r="J7">
        <f>OCO_DoD_BA!L8</f>
        <v>0.46</v>
      </c>
      <c r="K7">
        <f>OCO_DoD_BA!M8</f>
        <v>0</v>
      </c>
      <c r="L7">
        <f>OCO_DoD_BA!N8</f>
        <v>1.2E-2</v>
      </c>
      <c r="M7">
        <f>OCO_DoD_BA!O8</f>
        <v>0.69</v>
      </c>
      <c r="N7">
        <f>OCO_DoD_BA!P8</f>
        <v>8.0000000000000002E-3</v>
      </c>
      <c r="O7">
        <f>OCO_DoD_BA!Q8</f>
        <v>0</v>
      </c>
      <c r="P7">
        <f>OCO_DoD_BA!R8</f>
        <v>0</v>
      </c>
      <c r="Q7">
        <f>OCO_DoD_BA!S8</f>
        <v>0</v>
      </c>
      <c r="R7">
        <f>OCO_DoD_BA!T8</f>
        <v>0</v>
      </c>
      <c r="S7">
        <f>OCO_DoD_BA!U8</f>
        <v>0</v>
      </c>
      <c r="T7">
        <f>OCO_DoD_BA!V8</f>
        <v>0</v>
      </c>
      <c r="U7">
        <f>OCO_DoD_BA!W8</f>
        <v>0</v>
      </c>
      <c r="V7">
        <f>OCO_DoD_BA!X8</f>
        <v>0</v>
      </c>
      <c r="W7">
        <f>OCO_DoD_BA!Y8</f>
        <v>0</v>
      </c>
    </row>
    <row r="8" spans="1:23">
      <c r="A8" t="s">
        <v>8</v>
      </c>
      <c r="B8">
        <f>OCO_DoD_BA!C9</f>
        <v>0.4</v>
      </c>
      <c r="C8">
        <f>OCO_DoD_BA!D9</f>
        <v>0.27100000000000002</v>
      </c>
      <c r="D8">
        <f>OCO_DoD_BA!E9</f>
        <v>0</v>
      </c>
      <c r="E8">
        <f>OCO_DoD_BA!G9</f>
        <v>0.17799999999999999</v>
      </c>
      <c r="F8">
        <f>OCO_DoD_BA!H9</f>
        <v>0</v>
      </c>
      <c r="G8">
        <f>OCO_DoD_BA!I9</f>
        <v>0</v>
      </c>
      <c r="H8">
        <f>OCO_DoD_BA!J9</f>
        <v>2.1019999999999999</v>
      </c>
      <c r="I8">
        <f>OCO_DoD_BA!K9</f>
        <v>1.5469999999999999</v>
      </c>
      <c r="J8">
        <f>OCO_DoD_BA!L9</f>
        <v>3.0990000000000002</v>
      </c>
      <c r="K8">
        <f>OCO_DoD_BA!M9</f>
        <v>1.121</v>
      </c>
      <c r="L8">
        <f>OCO_DoD_BA!N9</f>
        <v>2.698</v>
      </c>
      <c r="M8">
        <f>OCO_DoD_BA!O9</f>
        <v>0.86199999999999999</v>
      </c>
      <c r="N8">
        <f>OCO_DoD_BA!P9</f>
        <v>1.5469999999999999</v>
      </c>
      <c r="O8">
        <f>OCO_DoD_BA!Q9</f>
        <v>0.48499999999999999</v>
      </c>
      <c r="P8">
        <f>OCO_DoD_BA!R9</f>
        <v>0.435</v>
      </c>
      <c r="Q8">
        <f>OCO_DoD_BA!S9</f>
        <v>3.4000000000000002E-2</v>
      </c>
      <c r="R8">
        <f>OCO_DoD_BA!T9</f>
        <v>0</v>
      </c>
      <c r="S8">
        <f>OCO_DoD_BA!U9</f>
        <v>0</v>
      </c>
      <c r="T8">
        <f>OCO_DoD_BA!V9</f>
        <v>3.0000000000000001E-3</v>
      </c>
      <c r="U8">
        <f>OCO_DoD_BA!W9</f>
        <v>0.378</v>
      </c>
      <c r="V8">
        <f>OCO_DoD_BA!X9</f>
        <v>0.42599999999999999</v>
      </c>
      <c r="W8">
        <f>OCO_DoD_BA!Y9</f>
        <v>1.4999999999999999E-2</v>
      </c>
    </row>
    <row r="9" spans="1:23" ht="21">
      <c r="A9" s="144" t="s">
        <v>633</v>
      </c>
      <c r="B9" s="145">
        <f t="shared" ref="B9:U9" si="0">SUM(B2:B8)</f>
        <v>2.028</v>
      </c>
      <c r="C9" s="145">
        <f t="shared" si="0"/>
        <v>35.842999999999996</v>
      </c>
      <c r="D9" s="145">
        <f t="shared" si="0"/>
        <v>12.597</v>
      </c>
      <c r="E9" s="145">
        <f>SUM(E2:E8)</f>
        <v>28.773999999999997</v>
      </c>
      <c r="F9" s="145">
        <f t="shared" si="0"/>
        <v>16.87</v>
      </c>
      <c r="G9" s="145">
        <f t="shared" si="0"/>
        <v>72.534999999999997</v>
      </c>
      <c r="H9" s="145">
        <f t="shared" si="0"/>
        <v>91.088000000000008</v>
      </c>
      <c r="I9" s="145">
        <f t="shared" si="0"/>
        <v>78.842999999999989</v>
      </c>
      <c r="J9" s="145">
        <f t="shared" si="0"/>
        <v>123.91699999999999</v>
      </c>
      <c r="K9" s="145">
        <f t="shared" si="0"/>
        <v>169.40899999999999</v>
      </c>
      <c r="L9" s="145">
        <f t="shared" si="0"/>
        <v>186.90800000000002</v>
      </c>
      <c r="M9" s="145">
        <f t="shared" si="0"/>
        <v>153.12499999999997</v>
      </c>
      <c r="N9" s="145">
        <f t="shared" si="0"/>
        <v>163.04400000000001</v>
      </c>
      <c r="O9" s="145">
        <f t="shared" si="0"/>
        <v>158.78800000000001</v>
      </c>
      <c r="P9" s="145">
        <f t="shared" si="0"/>
        <v>115.08199999999998</v>
      </c>
      <c r="Q9" s="145">
        <f t="shared" si="0"/>
        <v>82.085000000000008</v>
      </c>
      <c r="R9" s="145">
        <f t="shared" si="0"/>
        <v>85.155000000000001</v>
      </c>
      <c r="S9" s="145">
        <f t="shared" si="0"/>
        <v>63.093999999999994</v>
      </c>
      <c r="T9" s="145">
        <f t="shared" si="0"/>
        <v>58.942</v>
      </c>
      <c r="U9" s="145">
        <f t="shared" si="0"/>
        <v>82.490000000000009</v>
      </c>
      <c r="V9" s="145">
        <f>SUM(V2:V8)</f>
        <v>88.118000000000009</v>
      </c>
      <c r="W9" s="145">
        <f>SUM(W2:W8)</f>
        <v>69.000000000000014</v>
      </c>
    </row>
    <row r="10" spans="1:23">
      <c r="E10" s="89"/>
      <c r="F10" s="89"/>
      <c r="G10" s="89"/>
      <c r="H10" s="89"/>
      <c r="I10" s="89"/>
      <c r="J10" s="89"/>
      <c r="K10" s="89"/>
      <c r="L10" s="89"/>
      <c r="M10" s="89"/>
      <c r="N10" s="89"/>
      <c r="O10" s="89"/>
      <c r="P10" s="89"/>
      <c r="Q10" s="89"/>
      <c r="R10" s="89"/>
      <c r="S10" s="89"/>
      <c r="T10" s="89"/>
      <c r="U10" s="89"/>
      <c r="V10" s="89"/>
      <c r="W10" s="89"/>
    </row>
    <row r="11" spans="1:23" ht="17" thickBot="1">
      <c r="A11" t="s">
        <v>778</v>
      </c>
      <c r="B11" s="89">
        <f>B4+B5</f>
        <v>1.9E-2</v>
      </c>
      <c r="C11" s="89">
        <f t="shared" ref="C11:D11" si="1">C4+C5</f>
        <v>5.3469999999999995</v>
      </c>
      <c r="D11" s="89">
        <f t="shared" si="1"/>
        <v>2.056</v>
      </c>
      <c r="E11" s="89">
        <f>E4+E5</f>
        <v>1.4649999999999999</v>
      </c>
      <c r="F11" s="89">
        <f t="shared" ref="F11:T11" si="2">F4+F5</f>
        <v>1.18</v>
      </c>
      <c r="G11" s="89">
        <f t="shared" si="2"/>
        <v>4.5430000000000001</v>
      </c>
      <c r="H11" s="89">
        <f t="shared" si="2"/>
        <v>7.2539999999999996</v>
      </c>
      <c r="I11" s="89">
        <f t="shared" si="2"/>
        <v>18.172000000000001</v>
      </c>
      <c r="J11" s="89">
        <f t="shared" si="2"/>
        <v>26.556000000000001</v>
      </c>
      <c r="K11" s="89">
        <f t="shared" si="2"/>
        <v>50.972000000000001</v>
      </c>
      <c r="L11" s="89">
        <f t="shared" si="2"/>
        <v>67.477000000000004</v>
      </c>
      <c r="M11" s="89">
        <f t="shared" si="2"/>
        <v>35.164000000000001</v>
      </c>
      <c r="N11" s="89">
        <f t="shared" si="2"/>
        <v>33.600999999999999</v>
      </c>
      <c r="O11" s="89">
        <f t="shared" si="2"/>
        <v>31.221</v>
      </c>
      <c r="P11" s="89">
        <f t="shared" si="2"/>
        <v>16.577999999999999</v>
      </c>
      <c r="Q11" s="89">
        <f t="shared" si="2"/>
        <v>8.327</v>
      </c>
      <c r="R11" s="89">
        <f t="shared" si="2"/>
        <v>8.5530000000000008</v>
      </c>
      <c r="S11" s="89">
        <f t="shared" si="2"/>
        <v>8.6150000000000002</v>
      </c>
      <c r="T11" s="89">
        <f t="shared" si="2"/>
        <v>8.6050000000000004</v>
      </c>
    </row>
    <row r="12" spans="1:23" ht="17" thickBot="1">
      <c r="A12" t="s">
        <v>779</v>
      </c>
      <c r="B12" s="89">
        <f t="shared" ref="B12:D12" si="3">B11/B9</f>
        <v>9.3688362919132143E-3</v>
      </c>
      <c r="C12" s="89">
        <f t="shared" si="3"/>
        <v>0.14917836118628464</v>
      </c>
      <c r="D12" s="89">
        <f t="shared" si="3"/>
        <v>0.16321346352306107</v>
      </c>
      <c r="E12" s="89">
        <f>E11/E9</f>
        <v>5.0914019601028704E-2</v>
      </c>
      <c r="F12" s="89">
        <f t="shared" ref="F12:T12" si="4">F11/F9</f>
        <v>6.9946650859513917E-2</v>
      </c>
      <c r="G12" s="89">
        <f t="shared" si="4"/>
        <v>6.2631832908251195E-2</v>
      </c>
      <c r="H12" s="389">
        <f t="shared" si="4"/>
        <v>7.9637273845072881E-2</v>
      </c>
      <c r="I12" s="392">
        <f t="shared" si="4"/>
        <v>0.23048336567609048</v>
      </c>
      <c r="J12" s="89">
        <f t="shared" si="4"/>
        <v>0.21430473623473781</v>
      </c>
      <c r="K12" s="89">
        <f t="shared" si="4"/>
        <v>0.30088129910453404</v>
      </c>
      <c r="L12" s="89">
        <f t="shared" si="4"/>
        <v>0.36101718492520385</v>
      </c>
      <c r="M12" s="89">
        <f t="shared" si="4"/>
        <v>0.22964244897959188</v>
      </c>
      <c r="N12" s="89">
        <f t="shared" si="4"/>
        <v>0.20608547385981696</v>
      </c>
      <c r="O12" s="89">
        <f t="shared" si="4"/>
        <v>0.19662065143461721</v>
      </c>
      <c r="P12" s="89">
        <f t="shared" si="4"/>
        <v>0.14405380511287605</v>
      </c>
      <c r="Q12" s="89">
        <f t="shared" si="4"/>
        <v>0.10144362551014191</v>
      </c>
      <c r="R12" s="89">
        <f t="shared" si="4"/>
        <v>0.10044037343667431</v>
      </c>
      <c r="S12" s="89">
        <f t="shared" si="4"/>
        <v>0.13654230196215172</v>
      </c>
      <c r="T12" s="89">
        <f t="shared" si="4"/>
        <v>0.14599097417800549</v>
      </c>
    </row>
    <row r="13" spans="1:23" ht="17" thickBot="1"/>
    <row r="14" spans="1:23" ht="17" thickBot="1">
      <c r="A14" t="s">
        <v>780</v>
      </c>
      <c r="B14" s="89">
        <f t="shared" ref="B14:H14" si="5">B6/B9</f>
        <v>0</v>
      </c>
      <c r="C14" s="89">
        <f t="shared" si="5"/>
        <v>9.7648076332896259E-4</v>
      </c>
      <c r="D14" s="89">
        <f t="shared" si="5"/>
        <v>0</v>
      </c>
      <c r="E14" s="89">
        <f t="shared" si="5"/>
        <v>2.1894766108292211E-3</v>
      </c>
      <c r="F14" s="89">
        <f t="shared" si="5"/>
        <v>6.2240663900414933E-3</v>
      </c>
      <c r="G14" s="89">
        <f t="shared" si="5"/>
        <v>2.5642793134348935E-3</v>
      </c>
      <c r="H14" s="389">
        <f t="shared" si="5"/>
        <v>5.500175654312313E-3</v>
      </c>
      <c r="I14" s="389">
        <f>I6/I9</f>
        <v>1.6184061996626208E-2</v>
      </c>
      <c r="J14" s="89">
        <f t="shared" ref="J14:T14" si="6">J6/J9</f>
        <v>1.1903128707118476E-2</v>
      </c>
      <c r="K14" s="89">
        <f t="shared" si="6"/>
        <v>2.8375115843904401E-2</v>
      </c>
      <c r="L14" s="89">
        <f t="shared" si="6"/>
        <v>2.2652855950521109E-2</v>
      </c>
      <c r="M14" s="89">
        <f t="shared" si="6"/>
        <v>3.2104489795918373E-2</v>
      </c>
      <c r="N14" s="89">
        <f t="shared" si="6"/>
        <v>1.2561026471381957E-2</v>
      </c>
      <c r="O14" s="89">
        <f t="shared" si="6"/>
        <v>7.7020933571806437E-3</v>
      </c>
      <c r="P14" s="89">
        <f t="shared" si="6"/>
        <v>0</v>
      </c>
      <c r="Q14" s="89">
        <f t="shared" si="6"/>
        <v>1.8273740634707923E-4</v>
      </c>
      <c r="R14" s="89">
        <f t="shared" si="6"/>
        <v>0</v>
      </c>
      <c r="S14" s="89">
        <f t="shared" si="6"/>
        <v>3.50271024186135E-3</v>
      </c>
      <c r="T14" s="89">
        <f t="shared" si="6"/>
        <v>0</v>
      </c>
    </row>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59"/>
  <sheetViews>
    <sheetView topLeftCell="G30" zoomScale="98" zoomScaleNormal="98" zoomScalePageLayoutView="80" workbookViewId="0">
      <selection activeCell="Z45" sqref="Z45"/>
    </sheetView>
  </sheetViews>
  <sheetFormatPr baseColWidth="10" defaultRowHeight="16"/>
  <cols>
    <col min="1" max="1" width="38.6640625" bestFit="1" customWidth="1"/>
    <col min="2" max="2" width="1.6640625" bestFit="1" customWidth="1"/>
    <col min="3" max="3" width="5.83203125" bestFit="1" customWidth="1"/>
    <col min="4" max="5" width="6.6640625" bestFit="1" customWidth="1"/>
    <col min="6" max="6" width="1.6640625" bestFit="1" customWidth="1"/>
    <col min="7" max="23" width="12.1640625" bestFit="1" customWidth="1"/>
    <col min="24" max="24" width="12.33203125" bestFit="1" customWidth="1"/>
    <col min="25" max="25" width="11.1640625" customWidth="1"/>
    <col min="26" max="29" width="12.1640625" bestFit="1" customWidth="1"/>
    <col min="30" max="30" width="11.6640625" customWidth="1"/>
  </cols>
  <sheetData>
    <row r="1" spans="1:30">
      <c r="B1" t="s">
        <v>18</v>
      </c>
      <c r="F1" t="s">
        <v>18</v>
      </c>
      <c r="AD1" t="s">
        <v>18</v>
      </c>
    </row>
    <row r="2" spans="1:30" s="3" customFormat="1" ht="19">
      <c r="A2" s="3" t="s">
        <v>324</v>
      </c>
      <c r="C2" s="3">
        <v>1990</v>
      </c>
      <c r="D2" s="3">
        <v>1991</v>
      </c>
      <c r="E2" s="3">
        <v>1992</v>
      </c>
      <c r="G2" s="3">
        <v>2001</v>
      </c>
      <c r="H2" s="3">
        <v>2002</v>
      </c>
      <c r="I2" s="3">
        <v>2003</v>
      </c>
      <c r="J2" s="3">
        <v>2004</v>
      </c>
      <c r="K2" s="3">
        <v>2005</v>
      </c>
      <c r="L2" s="3">
        <v>2006</v>
      </c>
      <c r="M2" s="3">
        <v>2007</v>
      </c>
      <c r="N2" s="3">
        <v>2008</v>
      </c>
      <c r="O2" s="3">
        <v>2009</v>
      </c>
      <c r="P2" s="3">
        <v>2010</v>
      </c>
      <c r="Q2" s="3">
        <v>2011</v>
      </c>
      <c r="R2" s="3">
        <v>2012</v>
      </c>
      <c r="S2" s="3">
        <v>2013</v>
      </c>
      <c r="T2" s="3">
        <v>2014</v>
      </c>
      <c r="U2" s="3">
        <v>2015</v>
      </c>
      <c r="V2" s="3">
        <v>2016</v>
      </c>
      <c r="W2" s="3">
        <v>2017</v>
      </c>
      <c r="X2" s="3">
        <v>2018</v>
      </c>
      <c r="Y2" s="3">
        <v>2019</v>
      </c>
      <c r="Z2" s="3">
        <v>2020</v>
      </c>
      <c r="AA2" s="3">
        <v>2021</v>
      </c>
      <c r="AB2" s="3">
        <v>2022</v>
      </c>
      <c r="AC2" s="3">
        <v>2023</v>
      </c>
    </row>
    <row r="3" spans="1:30">
      <c r="A3" t="s">
        <v>302</v>
      </c>
      <c r="C3" s="2">
        <f>'98GulfWar'!B4/1000</f>
        <v>0.28100000000000003</v>
      </c>
      <c r="D3" s="2">
        <f>'98GulfWar'!C4/1000</f>
        <v>5.8239999999999998</v>
      </c>
      <c r="E3" s="2">
        <f>'98GulfWar'!D4/1000</f>
        <v>2.4089999999999998</v>
      </c>
      <c r="F3" s="11"/>
      <c r="G3" s="4">
        <f>'GB_Tab2-1'!C6/1000</f>
        <v>0.51500000000000001</v>
      </c>
      <c r="H3" s="4">
        <f>'GB_Tab2-1'!D6/1000</f>
        <v>0.20599999999999999</v>
      </c>
      <c r="I3" s="4">
        <f>'GB_Tab2-1'!E6/1000</f>
        <v>15.019</v>
      </c>
      <c r="J3" s="4">
        <f>'GB_Tab2-1'!F6/1000</f>
        <v>19.064</v>
      </c>
      <c r="K3" s="4">
        <f>'GB_Tab2-1'!G6/1000</f>
        <v>17.446999999999999</v>
      </c>
      <c r="L3" s="4">
        <f>'GB_Tab2-1'!H6/1000</f>
        <v>17.036999999999999</v>
      </c>
      <c r="M3" s="4">
        <f>'GB_Tab2-1'!I6/1000</f>
        <v>18.893999999999998</v>
      </c>
      <c r="N3" s="4">
        <f>'GB_Tab2-1'!J6/1000</f>
        <v>19.138000000000002</v>
      </c>
      <c r="O3" s="4">
        <f>'GB_Tab2-1'!K6/1000</f>
        <v>19.920000000000002</v>
      </c>
      <c r="P3" s="4">
        <f>'GB_Tab2-1'!L6/1000</f>
        <v>16.869</v>
      </c>
      <c r="Q3" s="4">
        <f>'GB_Tab2-1'!M6/1000</f>
        <v>15.64</v>
      </c>
      <c r="R3" s="4">
        <f>'GB_Tab2-1'!N6/1000</f>
        <v>11.292999999999999</v>
      </c>
      <c r="S3" s="4">
        <f>'GB_Tab2-1'!O6/1000</f>
        <v>12.122999999999999</v>
      </c>
      <c r="T3" s="4">
        <f>'GB_Tab2-1'!P6/1000</f>
        <v>7.81</v>
      </c>
      <c r="U3" s="4">
        <f>'GB_Tab2-1'!Q6/1000</f>
        <v>4.7750000000000004</v>
      </c>
      <c r="V3" s="4">
        <f>'GB_Tab2-1'!R6/1000</f>
        <v>3.18</v>
      </c>
      <c r="W3" s="4">
        <f>'GB_Tab2-1'!S6/1000</f>
        <v>3.7519999999999998</v>
      </c>
      <c r="X3" s="4">
        <f>'GB_Tab2-1'!T6/1000</f>
        <v>3.839</v>
      </c>
      <c r="Y3" s="4">
        <f>'GB_Tab2-1'!U6/1000</f>
        <v>4.6609999999999996</v>
      </c>
      <c r="Z3" s="4">
        <f>'GB_Tab2-1'!V6/1000</f>
        <v>4.6609999999999996</v>
      </c>
      <c r="AA3" s="4">
        <f>'GB_Tab2-1'!W6/1000</f>
        <v>4.6609999999999996</v>
      </c>
      <c r="AB3" s="4">
        <f>'GB_Tab2-1'!X6/1000</f>
        <v>4.6609999999999996</v>
      </c>
      <c r="AC3" s="4">
        <f>'GB_Tab2-1'!Y6/1000</f>
        <v>4.6609999999999996</v>
      </c>
    </row>
    <row r="4" spans="1:30">
      <c r="A4" t="s">
        <v>3</v>
      </c>
      <c r="C4" s="2">
        <f>'98GulfWar'!B5/1000</f>
        <v>1.3280000000000001</v>
      </c>
      <c r="D4" s="2">
        <f>'98GulfWar'!C5/1000</f>
        <v>24.366</v>
      </c>
      <c r="E4" s="2">
        <f>'98GulfWar'!D5/1000</f>
        <v>8.1319999999999997</v>
      </c>
      <c r="F4" s="11"/>
      <c r="G4" s="4">
        <f>'GB_Tab2-1'!C11/1000</f>
        <v>26.492999999999999</v>
      </c>
      <c r="H4" s="4">
        <f>'GB_Tab2-1'!D11/1000</f>
        <v>15.379</v>
      </c>
      <c r="I4" s="4">
        <f>'GB_Tab2-1'!E11/1000</f>
        <v>52.784999999999997</v>
      </c>
      <c r="J4" s="4">
        <f>'GB_Tab2-1'!F11/1000</f>
        <v>62.143000000000001</v>
      </c>
      <c r="K4" s="4">
        <f>'GB_Tab2-1'!G11/1000</f>
        <v>40.380000000000003</v>
      </c>
      <c r="L4" s="4">
        <f>'GB_Tab2-1'!H11/1000</f>
        <v>75.290000000000006</v>
      </c>
      <c r="M4" s="4">
        <f>'GB_Tab2-1'!I11/1000</f>
        <v>93.614999999999995</v>
      </c>
      <c r="N4" s="4">
        <f>'GB_Tab2-1'!J11/1000</f>
        <v>93.349000000000004</v>
      </c>
      <c r="O4" s="4">
        <f>'GB_Tab2-1'!K11/1000</f>
        <v>91.572999999999993</v>
      </c>
      <c r="P4" s="4">
        <f>'GB_Tab2-1'!L11/1000</f>
        <v>108.971</v>
      </c>
      <c r="Q4" s="4">
        <f>'GB_Tab2-1'!M11/1000</f>
        <v>110.21899999999999</v>
      </c>
      <c r="R4" s="4">
        <f>'GB_Tab2-1'!N11/1000</f>
        <v>86.775999999999996</v>
      </c>
      <c r="S4" s="4">
        <f>'GB_Tab2-1'!O11/1000</f>
        <v>61.585999999999999</v>
      </c>
      <c r="T4" s="4">
        <f>'GB_Tab2-1'!P11/1000</f>
        <v>68.792000000000002</v>
      </c>
      <c r="U4" s="4">
        <f>'GB_Tab2-1'!Q11/1000</f>
        <v>49.482999999999997</v>
      </c>
      <c r="V4" s="4">
        <f>'GB_Tab2-1'!R11/1000</f>
        <v>47.154000000000003</v>
      </c>
      <c r="W4" s="4">
        <f>'GB_Tab2-1'!S11/1000</f>
        <v>60.134999999999998</v>
      </c>
      <c r="X4" s="4">
        <f>'GB_Tab2-1'!T11/1000</f>
        <v>61.973999999999997</v>
      </c>
      <c r="Y4" s="4">
        <f>'GB_Tab2-1'!U11/1000</f>
        <v>49.313000000000002</v>
      </c>
      <c r="Z4" s="4">
        <f>'GB_Tab2-1'!V11/1000</f>
        <v>15.339</v>
      </c>
      <c r="AA4" s="4">
        <f>'GB_Tab2-1'!W11/1000</f>
        <v>15.339</v>
      </c>
      <c r="AB4" s="4">
        <f>'GB_Tab2-1'!X11/1000</f>
        <v>15.339</v>
      </c>
      <c r="AC4" s="4">
        <f>'GB_Tab2-1'!Y11/1000</f>
        <v>15.339</v>
      </c>
    </row>
    <row r="5" spans="1:30">
      <c r="A5" t="s">
        <v>4</v>
      </c>
      <c r="C5" s="2">
        <f>'98GulfWar'!B6/1000</f>
        <v>0.01</v>
      </c>
      <c r="D5" s="2">
        <f>'98GulfWar'!C6/1000</f>
        <v>5.2779999999999996</v>
      </c>
      <c r="E5" s="2">
        <f>'98GulfWar'!D6/1000</f>
        <v>1.95</v>
      </c>
      <c r="F5" s="11"/>
      <c r="G5" s="4">
        <f>'GB_Tab2-1'!C16/1000</f>
        <v>0.97799999999999998</v>
      </c>
      <c r="H5" s="4">
        <f>'GB_Tab2-1'!D16/1000</f>
        <v>1.194</v>
      </c>
      <c r="I5" s="4">
        <f>'GB_Tab2-1'!E16/1000</f>
        <v>3.734</v>
      </c>
      <c r="J5" s="4">
        <f>'GB_Tab2-1'!F16/1000</f>
        <v>6.92</v>
      </c>
      <c r="K5" s="4">
        <f>'GB_Tab2-1'!G16/1000</f>
        <v>17.526</v>
      </c>
      <c r="L5" s="4">
        <f>'GB_Tab2-1'!H16/1000</f>
        <v>25.739000000000001</v>
      </c>
      <c r="M5" s="4">
        <f>'GB_Tab2-1'!I16/1000</f>
        <v>49.466000000000001</v>
      </c>
      <c r="N5" s="4">
        <f>'GB_Tab2-1'!J16/1000</f>
        <v>65.869</v>
      </c>
      <c r="O5" s="4">
        <f>'GB_Tab2-1'!K16/1000</f>
        <v>34.552</v>
      </c>
      <c r="P5" s="4">
        <f>'GB_Tab2-1'!L16/1000</f>
        <v>32.631999999999998</v>
      </c>
      <c r="Q5" s="4">
        <f>'GB_Tab2-1'!M16/1000</f>
        <v>29.824999999999999</v>
      </c>
      <c r="R5" s="4">
        <f>'GB_Tab2-1'!N16/1000</f>
        <v>16.052</v>
      </c>
      <c r="S5" s="4">
        <f>'GB_Tab2-1'!O16/1000</f>
        <v>8.1349999999999998</v>
      </c>
      <c r="T5" s="4">
        <f>'GB_Tab2-1'!P16/1000</f>
        <v>8.2430000000000003</v>
      </c>
      <c r="U5" s="4">
        <f>'GB_Tab2-1'!Q16/1000</f>
        <v>8.234</v>
      </c>
      <c r="V5" s="4">
        <f>'GB_Tab2-1'!R16/1000</f>
        <v>8.3629999999999995</v>
      </c>
      <c r="W5" s="4">
        <f>'GB_Tab2-1'!S16/1000</f>
        <v>16.271000000000001</v>
      </c>
      <c r="X5" s="4">
        <f>'GB_Tab2-1'!T16/1000</f>
        <v>18.420999999999999</v>
      </c>
      <c r="Y5" s="4">
        <f>'GB_Tab2-1'!U16/1000</f>
        <v>12.782</v>
      </c>
      <c r="Z5" s="4">
        <f>'GB_Tab2-1'!V16/1000</f>
        <v>0</v>
      </c>
      <c r="AA5" s="4">
        <f>'GB_Tab2-1'!W16/1000</f>
        <v>0</v>
      </c>
      <c r="AB5" s="4">
        <f>'GB_Tab2-1'!X16/1000</f>
        <v>0</v>
      </c>
      <c r="AC5" s="4">
        <f>'GB_Tab2-1'!Y16/1000</f>
        <v>0</v>
      </c>
    </row>
    <row r="6" spans="1:30">
      <c r="A6" t="s">
        <v>5</v>
      </c>
      <c r="C6" s="2">
        <f>'98GulfWar'!B7/1000</f>
        <v>8.9999999999999993E-3</v>
      </c>
      <c r="D6" s="2">
        <f>'98GulfWar'!C7/1000</f>
        <v>6.9000000000000006E-2</v>
      </c>
      <c r="E6" s="2">
        <f>'98GulfWar'!D7/1000</f>
        <v>0.106</v>
      </c>
      <c r="F6" s="11"/>
      <c r="G6" s="4">
        <f>'GB_Tab2-1'!C21/1000</f>
        <v>0.48699999999999999</v>
      </c>
      <c r="H6" s="4">
        <f>'GB_Tab2-1'!D21/1000</f>
        <v>-1.4E-2</v>
      </c>
      <c r="I6" s="4">
        <f>'GB_Tab2-1'!E21/1000</f>
        <v>0.80900000000000005</v>
      </c>
      <c r="J6" s="4">
        <f>'GB_Tab2-1'!F21/1000</f>
        <v>0.33400000000000002</v>
      </c>
      <c r="K6" s="4">
        <f>'GB_Tab2-1'!G21/1000</f>
        <v>0.64600000000000002</v>
      </c>
      <c r="L6" s="4">
        <f>'GB_Tab2-1'!H21/1000</f>
        <v>0.81699999999999995</v>
      </c>
      <c r="M6" s="4">
        <f>'GB_Tab2-1'!I21/1000</f>
        <v>1.506</v>
      </c>
      <c r="N6" s="4">
        <f>'GB_Tab2-1'!J21/1000</f>
        <v>1.6080000000000001</v>
      </c>
      <c r="O6" s="4">
        <f>'GB_Tab2-1'!K21/1000</f>
        <v>0.61199999999999999</v>
      </c>
      <c r="P6" s="4">
        <f>'GB_Tab2-1'!L21/1000</f>
        <v>0.96899999999999997</v>
      </c>
      <c r="Q6" s="4">
        <f>'GB_Tab2-1'!M21/1000</f>
        <v>1.3959999999999999</v>
      </c>
      <c r="R6" s="4">
        <f>'GB_Tab2-1'!N21/1000</f>
        <v>0.52600000000000002</v>
      </c>
      <c r="S6" s="4">
        <f>'GB_Tab2-1'!O21/1000</f>
        <v>0.192</v>
      </c>
      <c r="T6" s="4">
        <f>'GB_Tab2-1'!P21/1000</f>
        <v>0.31</v>
      </c>
      <c r="U6" s="4">
        <f>'GB_Tab2-1'!Q21/1000</f>
        <v>0.38100000000000001</v>
      </c>
      <c r="V6" s="4">
        <f>'GB_Tab2-1'!R21/1000</f>
        <v>0.24199999999999999</v>
      </c>
      <c r="W6" s="4">
        <f>'GB_Tab2-1'!S21/1000</f>
        <v>1.534</v>
      </c>
      <c r="X6" s="4">
        <f>'GB_Tab2-1'!T21/1000</f>
        <v>2.8260000000000001</v>
      </c>
      <c r="Y6" s="4">
        <f>'GB_Tab2-1'!U21/1000</f>
        <v>1.3080000000000001</v>
      </c>
      <c r="Z6" s="4">
        <f>'GB_Tab2-1'!V21/1000</f>
        <v>0</v>
      </c>
      <c r="AA6" s="4">
        <f>'GB_Tab2-1'!W21/1000</f>
        <v>0</v>
      </c>
      <c r="AB6" s="4">
        <f>'GB_Tab2-1'!X21/1000</f>
        <v>0</v>
      </c>
      <c r="AC6" s="4">
        <f>'GB_Tab2-1'!Y21/1000</f>
        <v>0</v>
      </c>
    </row>
    <row r="7" spans="1:30">
      <c r="A7" t="s">
        <v>304</v>
      </c>
      <c r="C7" s="2">
        <f>'98GulfWar'!B8/1000</f>
        <v>0</v>
      </c>
      <c r="D7" s="2">
        <f>'98GulfWar'!C8/1000</f>
        <v>3.5000000000000003E-2</v>
      </c>
      <c r="E7" s="2">
        <f>'98GulfWar'!D8/1000</f>
        <v>0</v>
      </c>
      <c r="F7" s="11"/>
      <c r="G7" s="4">
        <f>'GB_Tab2-1'!C26/1000</f>
        <v>6.3E-2</v>
      </c>
      <c r="H7" s="4">
        <f>'GB_Tab2-1'!D26/1000</f>
        <v>0.105</v>
      </c>
      <c r="I7" s="4">
        <f>'GB_Tab2-1'!E26/1000</f>
        <v>0.186</v>
      </c>
      <c r="J7" s="4">
        <f>'GB_Tab2-1'!F26/1000</f>
        <v>0.501</v>
      </c>
      <c r="K7" s="4">
        <f>'GB_Tab2-1'!G26/1000</f>
        <v>1.276</v>
      </c>
      <c r="L7" s="4">
        <f>'GB_Tab2-1'!H26/1000</f>
        <v>1.4750000000000001</v>
      </c>
      <c r="M7" s="4">
        <f>'GB_Tab2-1'!I26/1000</f>
        <v>4.8070000000000004</v>
      </c>
      <c r="N7" s="4">
        <f>'GB_Tab2-1'!J26/1000</f>
        <v>4.234</v>
      </c>
      <c r="O7" s="4">
        <f>'GB_Tab2-1'!K26/1000</f>
        <v>4.9160000000000004</v>
      </c>
      <c r="P7" s="4">
        <f>'GB_Tab2-1'!L26/1000</f>
        <v>2.048</v>
      </c>
      <c r="Q7" s="4">
        <f>'GB_Tab2-1'!M26/1000</f>
        <v>1.2230000000000001</v>
      </c>
      <c r="R7" s="4">
        <f>'GB_Tab2-1'!N26/1000</f>
        <v>0</v>
      </c>
      <c r="S7" s="4">
        <f>'GB_Tab2-1'!O26/1000</f>
        <v>1.4999999999999999E-2</v>
      </c>
      <c r="T7" s="4">
        <f>'GB_Tab2-1'!P26/1000</f>
        <v>0</v>
      </c>
      <c r="U7" s="4">
        <f>'GB_Tab2-1'!Q26/1000</f>
        <v>0.221</v>
      </c>
      <c r="V7" s="4">
        <f>'GB_Tab2-1'!R26/1000</f>
        <v>0</v>
      </c>
      <c r="W7" s="4">
        <f>'GB_Tab2-1'!S26/1000</f>
        <v>0.42</v>
      </c>
      <c r="X7" s="4">
        <f>'GB_Tab2-1'!T26/1000</f>
        <v>0.63200000000000001</v>
      </c>
      <c r="Y7" s="4">
        <f>'GB_Tab2-1'!U26/1000</f>
        <v>0.92100000000000004</v>
      </c>
      <c r="Z7" s="4">
        <f>'GB_Tab2-1'!V26/1000</f>
        <v>0</v>
      </c>
      <c r="AA7" s="4">
        <f>'GB_Tab2-1'!W26/1000</f>
        <v>0</v>
      </c>
      <c r="AB7" s="4">
        <f>'GB_Tab2-1'!X26/1000</f>
        <v>0</v>
      </c>
      <c r="AC7" s="4">
        <f>'GB_Tab2-1'!Y26/1000</f>
        <v>0</v>
      </c>
    </row>
    <row r="8" spans="1:30">
      <c r="A8" t="s">
        <v>19</v>
      </c>
      <c r="C8" s="2"/>
      <c r="D8" s="2"/>
      <c r="E8" s="2"/>
      <c r="F8" s="11"/>
      <c r="G8" s="4">
        <f>'GB_Tab2-1'!C31/1000</f>
        <v>0.06</v>
      </c>
      <c r="H8" s="4">
        <f>'GB_Tab2-1'!D31/1000</f>
        <v>0</v>
      </c>
      <c r="I8" s="4">
        <f>'GB_Tab2-1'!E31/1000</f>
        <v>2E-3</v>
      </c>
      <c r="J8" s="4">
        <f>'GB_Tab2-1'!F31/1000</f>
        <v>2.4E-2</v>
      </c>
      <c r="K8" s="4">
        <f>'GB_Tab2-1'!G31/1000</f>
        <v>2.1000000000000001E-2</v>
      </c>
      <c r="L8" s="4">
        <f>'GB_Tab2-1'!H31/1000</f>
        <v>0.46</v>
      </c>
      <c r="M8" s="4">
        <f>'GB_Tab2-1'!I31/1000</f>
        <v>0</v>
      </c>
      <c r="N8" s="4">
        <f>'GB_Tab2-1'!J31/1000</f>
        <v>1.2E-2</v>
      </c>
      <c r="O8" s="4">
        <f>'GB_Tab2-1'!K31/1000</f>
        <v>0.69</v>
      </c>
      <c r="P8" s="4">
        <f>'GB_Tab2-1'!L31/1000</f>
        <v>8.0000000000000002E-3</v>
      </c>
      <c r="Q8" s="4">
        <f>'GB_Tab2-1'!M31/1000</f>
        <v>0</v>
      </c>
      <c r="R8" s="4">
        <f>'GB_Tab2-1'!N31/1000</f>
        <v>0</v>
      </c>
      <c r="S8" s="4">
        <f>'GB_Tab2-1'!O31/1000</f>
        <v>0</v>
      </c>
      <c r="T8" s="4">
        <f>'GB_Tab2-1'!P31/1000</f>
        <v>0</v>
      </c>
      <c r="U8" s="4">
        <f>'GB_Tab2-1'!Q31/1000</f>
        <v>0</v>
      </c>
      <c r="V8" s="4">
        <f>'GB_Tab2-1'!R31/1000</f>
        <v>0</v>
      </c>
      <c r="W8" s="4">
        <f>'GB_Tab2-1'!S31/1000</f>
        <v>0</v>
      </c>
      <c r="X8" s="4">
        <f>'GB_Tab2-1'!T31/1000</f>
        <v>0</v>
      </c>
      <c r="Y8" s="4">
        <f>'GB_Tab2-1'!U31/1000</f>
        <v>0</v>
      </c>
      <c r="Z8" s="4">
        <f>'GB_Tab2-1'!V31/1000</f>
        <v>0</v>
      </c>
      <c r="AA8" s="4">
        <f>'GB_Tab2-1'!W31/1000</f>
        <v>0</v>
      </c>
      <c r="AB8" s="4">
        <f>'GB_Tab2-1'!X31/1000</f>
        <v>0</v>
      </c>
      <c r="AC8" s="4">
        <f>'GB_Tab2-1'!Y31/1000</f>
        <v>0</v>
      </c>
    </row>
    <row r="9" spans="1:30">
      <c r="A9" t="s">
        <v>8</v>
      </c>
      <c r="C9" s="2">
        <f>'98GulfWar'!B9/1000</f>
        <v>0.4</v>
      </c>
      <c r="D9" s="2">
        <f>'98GulfWar'!C9/1000</f>
        <v>0.27100000000000002</v>
      </c>
      <c r="E9" s="2">
        <f>'98GulfWar'!D9/1000</f>
        <v>0</v>
      </c>
      <c r="F9" s="11"/>
      <c r="G9" s="4">
        <f>'GB_Tab2-1'!C36/1000</f>
        <v>0.17799999999999999</v>
      </c>
      <c r="H9" s="4">
        <f>'GB_Tab2-1'!D36/1000</f>
        <v>0</v>
      </c>
      <c r="I9" s="4">
        <f>'GB_Tab2-1'!E36/1000</f>
        <v>0</v>
      </c>
      <c r="J9" s="4">
        <f>'GB_Tab2-1'!F36/1000</f>
        <v>2.1019999999999999</v>
      </c>
      <c r="K9" s="4">
        <f>'GB_Tab2-1'!G36/1000</f>
        <v>1.5469999999999999</v>
      </c>
      <c r="L9" s="4">
        <f>'GB_Tab2-1'!H36/1000</f>
        <v>3.0990000000000002</v>
      </c>
      <c r="M9" s="4">
        <f>'GB_Tab2-1'!I36/1000</f>
        <v>1.121</v>
      </c>
      <c r="N9" s="4">
        <f>'GB_Tab2-1'!J36/1000</f>
        <v>2.698</v>
      </c>
      <c r="O9" s="4">
        <f>'GB_Tab2-1'!K36/1000</f>
        <v>0.86199999999999999</v>
      </c>
      <c r="P9" s="4">
        <f>'GB_Tab2-1'!L36/1000</f>
        <v>1.5469999999999999</v>
      </c>
      <c r="Q9" s="4">
        <f>'GB_Tab2-1'!M36/1000</f>
        <v>0.48499999999999999</v>
      </c>
      <c r="R9" s="4">
        <f>'GB_Tab2-1'!N36/1000</f>
        <v>0.435</v>
      </c>
      <c r="S9" s="4">
        <f>'GB_Tab2-1'!O36/1000</f>
        <v>3.4000000000000002E-2</v>
      </c>
      <c r="T9" s="4">
        <f>'GB_Tab2-1'!P36/1000</f>
        <v>0</v>
      </c>
      <c r="U9" s="4">
        <f>'GB_Tab2-1'!Q36/1000</f>
        <v>0</v>
      </c>
      <c r="V9" s="4">
        <f>'GB_Tab2-1'!R36/1000</f>
        <v>3.0000000000000001E-3</v>
      </c>
      <c r="W9" s="4">
        <f>'GB_Tab2-1'!S36/1000</f>
        <v>0.378</v>
      </c>
      <c r="X9" s="4">
        <f>'GB_Tab2-1'!T36/1000</f>
        <v>0.42599999999999999</v>
      </c>
      <c r="Y9" s="4">
        <f>'GB_Tab2-1'!U36/1000</f>
        <v>1.4999999999999999E-2</v>
      </c>
      <c r="Z9" s="4">
        <f>'GB_Tab2-1'!V36/1000</f>
        <v>0</v>
      </c>
      <c r="AA9" s="4">
        <f>'GB_Tab2-1'!W36/1000</f>
        <v>0</v>
      </c>
      <c r="AB9" s="4">
        <f>'GB_Tab2-1'!X36/1000</f>
        <v>0</v>
      </c>
      <c r="AC9" s="4">
        <f>'GB_Tab2-1'!Y36/1000</f>
        <v>0</v>
      </c>
    </row>
    <row r="10" spans="1:30" s="5" customFormat="1" ht="11">
      <c r="E10" s="12"/>
      <c r="F10" s="12"/>
      <c r="G10" s="6"/>
      <c r="H10" s="6"/>
      <c r="I10" s="6"/>
      <c r="J10" s="6"/>
      <c r="K10" s="6"/>
      <c r="L10" s="6"/>
      <c r="M10" s="6"/>
      <c r="N10" s="6"/>
      <c r="O10" s="6"/>
      <c r="P10" s="6"/>
      <c r="Q10" s="6"/>
      <c r="R10" s="6"/>
      <c r="S10" s="6"/>
      <c r="T10" s="6"/>
      <c r="U10" s="6"/>
      <c r="V10" s="6"/>
      <c r="W10" s="6"/>
      <c r="X10" s="6"/>
      <c r="Y10" s="6"/>
      <c r="Z10" s="6"/>
      <c r="AA10" s="6"/>
      <c r="AB10" s="6"/>
      <c r="AC10" s="6"/>
    </row>
    <row r="11" spans="1:30" ht="21">
      <c r="A11" s="144" t="s">
        <v>633</v>
      </c>
      <c r="B11" s="144"/>
      <c r="C11" s="145">
        <f t="shared" ref="C11:E11" si="0">SUM(C3:C9)</f>
        <v>2.028</v>
      </c>
      <c r="D11" s="145">
        <f t="shared" si="0"/>
        <v>35.842999999999996</v>
      </c>
      <c r="E11" s="145">
        <f t="shared" si="0"/>
        <v>12.597</v>
      </c>
      <c r="F11" s="145"/>
      <c r="G11" s="145">
        <f t="shared" ref="G11:W11" si="1">SUM(G3:G9)</f>
        <v>28.773999999999997</v>
      </c>
      <c r="H11" s="145">
        <f t="shared" si="1"/>
        <v>16.87</v>
      </c>
      <c r="I11" s="145">
        <f t="shared" si="1"/>
        <v>72.534999999999997</v>
      </c>
      <c r="J11" s="145">
        <f t="shared" si="1"/>
        <v>91.088000000000008</v>
      </c>
      <c r="K11" s="145">
        <f t="shared" si="1"/>
        <v>78.842999999999989</v>
      </c>
      <c r="L11" s="145">
        <f t="shared" si="1"/>
        <v>123.91699999999999</v>
      </c>
      <c r="M11" s="145">
        <f t="shared" si="1"/>
        <v>169.40899999999999</v>
      </c>
      <c r="N11" s="145">
        <f t="shared" si="1"/>
        <v>186.90800000000002</v>
      </c>
      <c r="O11" s="145">
        <f t="shared" si="1"/>
        <v>153.12499999999997</v>
      </c>
      <c r="P11" s="145">
        <f t="shared" si="1"/>
        <v>163.04400000000001</v>
      </c>
      <c r="Q11" s="145">
        <f t="shared" si="1"/>
        <v>158.78800000000001</v>
      </c>
      <c r="R11" s="145">
        <f t="shared" si="1"/>
        <v>115.08199999999998</v>
      </c>
      <c r="S11" s="145">
        <f t="shared" si="1"/>
        <v>82.085000000000008</v>
      </c>
      <c r="T11" s="145">
        <f t="shared" si="1"/>
        <v>85.155000000000001</v>
      </c>
      <c r="U11" s="145">
        <f t="shared" si="1"/>
        <v>63.093999999999994</v>
      </c>
      <c r="V11" s="145">
        <f t="shared" si="1"/>
        <v>58.942</v>
      </c>
      <c r="W11" s="145">
        <f t="shared" si="1"/>
        <v>82.490000000000009</v>
      </c>
      <c r="X11" s="145">
        <f>SUM(X3:X9)</f>
        <v>88.118000000000009</v>
      </c>
      <c r="Y11" s="145">
        <f>SUM(Y3:Y9)</f>
        <v>69.000000000000014</v>
      </c>
      <c r="Z11" s="145">
        <v>20</v>
      </c>
      <c r="AA11" s="145">
        <v>20</v>
      </c>
      <c r="AB11" s="145">
        <v>20</v>
      </c>
      <c r="AC11" s="145">
        <v>20</v>
      </c>
    </row>
    <row r="12" spans="1:30" s="5" customFormat="1">
      <c r="A12" s="98" t="s">
        <v>634</v>
      </c>
      <c r="B12" s="98"/>
      <c r="C12" s="98"/>
      <c r="D12" s="98"/>
      <c r="E12" s="12"/>
      <c r="F12" s="12"/>
      <c r="G12" s="6"/>
      <c r="H12" s="6"/>
      <c r="I12" s="6"/>
      <c r="J12" s="6"/>
      <c r="K12" s="6"/>
      <c r="L12" s="6"/>
      <c r="M12" s="6"/>
      <c r="N12" s="6"/>
      <c r="O12" s="6"/>
      <c r="P12" s="6"/>
      <c r="Q12" s="6"/>
      <c r="R12" s="6"/>
      <c r="S12" s="6"/>
      <c r="T12" s="6"/>
      <c r="U12" s="6"/>
      <c r="V12" s="6"/>
      <c r="W12" s="6"/>
      <c r="X12" s="6"/>
      <c r="Y12" s="6"/>
      <c r="Z12" s="6"/>
      <c r="AA12" s="6"/>
      <c r="AB12" s="6"/>
      <c r="AC12" s="6"/>
    </row>
    <row r="13" spans="1:30">
      <c r="A13" t="s">
        <v>323</v>
      </c>
      <c r="E13" s="11"/>
      <c r="F13" s="11"/>
      <c r="G13" s="4">
        <f>G4+G9</f>
        <v>26.670999999999999</v>
      </c>
      <c r="H13" s="4">
        <f t="shared" ref="H13:W13" si="2">H4+H9</f>
        <v>15.379</v>
      </c>
      <c r="I13" s="4">
        <f t="shared" si="2"/>
        <v>52.784999999999997</v>
      </c>
      <c r="J13" s="4">
        <f t="shared" si="2"/>
        <v>64.245000000000005</v>
      </c>
      <c r="K13" s="4">
        <f t="shared" si="2"/>
        <v>41.927</v>
      </c>
      <c r="L13" s="4">
        <f t="shared" si="2"/>
        <v>78.38900000000001</v>
      </c>
      <c r="M13" s="4">
        <f t="shared" si="2"/>
        <v>94.73599999999999</v>
      </c>
      <c r="N13" s="4">
        <f t="shared" si="2"/>
        <v>96.046999999999997</v>
      </c>
      <c r="O13" s="4">
        <f t="shared" si="2"/>
        <v>92.434999999999988</v>
      </c>
      <c r="P13" s="4">
        <f t="shared" si="2"/>
        <v>110.518</v>
      </c>
      <c r="Q13" s="4">
        <f t="shared" si="2"/>
        <v>110.70399999999999</v>
      </c>
      <c r="R13" s="4">
        <f t="shared" si="2"/>
        <v>87.210999999999999</v>
      </c>
      <c r="S13" s="4">
        <f t="shared" si="2"/>
        <v>61.62</v>
      </c>
      <c r="T13" s="4">
        <f t="shared" si="2"/>
        <v>68.792000000000002</v>
      </c>
      <c r="U13" s="4">
        <f t="shared" si="2"/>
        <v>49.482999999999997</v>
      </c>
      <c r="V13" s="4">
        <f t="shared" si="2"/>
        <v>47.157000000000004</v>
      </c>
      <c r="W13" s="4">
        <f t="shared" si="2"/>
        <v>60.512999999999998</v>
      </c>
      <c r="X13" s="4">
        <f>X4+X7</f>
        <v>62.605999999999995</v>
      </c>
      <c r="Y13" s="4">
        <f>Y4+Y7</f>
        <v>50.234000000000002</v>
      </c>
      <c r="Z13" s="4">
        <f t="shared" ref="Z13:AC13" si="3">Z4+Z7</f>
        <v>15.339</v>
      </c>
      <c r="AA13" s="4">
        <f t="shared" si="3"/>
        <v>15.339</v>
      </c>
      <c r="AB13" s="4">
        <f t="shared" si="3"/>
        <v>15.339</v>
      </c>
      <c r="AC13" s="4">
        <f t="shared" si="3"/>
        <v>15.339</v>
      </c>
    </row>
    <row r="14" spans="1:30">
      <c r="E14" s="11"/>
      <c r="F14" s="11"/>
    </row>
    <row r="15" spans="1:30" ht="19">
      <c r="A15" t="s">
        <v>683</v>
      </c>
      <c r="C15" s="3"/>
      <c r="D15" s="3"/>
      <c r="E15" s="3"/>
      <c r="G15" s="13">
        <v>0</v>
      </c>
      <c r="H15" s="13">
        <v>5241.666666666667</v>
      </c>
      <c r="I15" s="13">
        <v>78112.5</v>
      </c>
      <c r="J15" s="13">
        <v>146292.30769230769</v>
      </c>
      <c r="K15" s="13">
        <v>160948.84999999998</v>
      </c>
      <c r="L15" s="13">
        <v>159078.56666666665</v>
      </c>
      <c r="M15" s="13">
        <v>168219.33333333334</v>
      </c>
      <c r="N15" s="13">
        <v>186610.5</v>
      </c>
      <c r="O15" s="13">
        <v>183657.29166666666</v>
      </c>
      <c r="P15" s="13">
        <v>176146.66666666669</v>
      </c>
      <c r="Q15" s="13">
        <v>144853.75</v>
      </c>
      <c r="R15" s="13">
        <v>99453.846153846156</v>
      </c>
      <c r="S15" s="13">
        <v>63375</v>
      </c>
      <c r="T15" s="13">
        <v>35925</v>
      </c>
      <c r="U15" s="13">
        <v>11094.166666666666</v>
      </c>
      <c r="V15" s="13">
        <v>8938</v>
      </c>
    </row>
    <row r="17" spans="1:29" ht="19">
      <c r="A17" s="14" t="s">
        <v>385</v>
      </c>
      <c r="B17" s="14"/>
      <c r="C17" s="14"/>
      <c r="D17" s="14"/>
      <c r="E17" s="3"/>
      <c r="F17" s="3"/>
      <c r="G17" s="3">
        <v>2001</v>
      </c>
      <c r="H17" s="3">
        <v>2002</v>
      </c>
      <c r="I17" s="3">
        <v>2003</v>
      </c>
      <c r="J17" s="3">
        <v>2004</v>
      </c>
      <c r="K17" s="3">
        <v>2005</v>
      </c>
      <c r="L17" s="3">
        <v>2006</v>
      </c>
      <c r="M17" s="3">
        <v>2007</v>
      </c>
      <c r="N17" s="3">
        <v>2008</v>
      </c>
      <c r="O17" s="3">
        <v>2009</v>
      </c>
      <c r="P17" s="3">
        <v>2010</v>
      </c>
      <c r="Q17" s="3">
        <v>2011</v>
      </c>
      <c r="R17" s="3">
        <v>2012</v>
      </c>
      <c r="S17" s="3">
        <v>2013</v>
      </c>
      <c r="T17" s="3">
        <v>2014</v>
      </c>
      <c r="U17" s="3">
        <v>2015</v>
      </c>
      <c r="V17" s="3">
        <v>2016</v>
      </c>
      <c r="W17" s="3">
        <v>2017</v>
      </c>
      <c r="X17" s="3">
        <v>2017</v>
      </c>
      <c r="Y17" s="3">
        <v>2018</v>
      </c>
      <c r="Z17" s="3">
        <v>2019</v>
      </c>
      <c r="AA17" s="3">
        <v>2020</v>
      </c>
      <c r="AB17" s="3">
        <v>2021</v>
      </c>
      <c r="AC17" s="3">
        <v>2022</v>
      </c>
    </row>
    <row r="18" spans="1:29">
      <c r="A18" t="s">
        <v>3</v>
      </c>
      <c r="V18">
        <v>7.02</v>
      </c>
      <c r="W18">
        <v>3.5554999999999999</v>
      </c>
    </row>
    <row r="19" spans="1:29">
      <c r="A19" t="s">
        <v>4</v>
      </c>
      <c r="V19">
        <f>7.75-V18</f>
        <v>0.73000000000000043</v>
      </c>
      <c r="W19">
        <f>5.2-W18</f>
        <v>1.6445000000000003</v>
      </c>
    </row>
    <row r="21" spans="1:29" s="358" customFormat="1">
      <c r="A21" s="356" t="s">
        <v>583</v>
      </c>
      <c r="B21" s="356"/>
      <c r="C21" s="357">
        <v>1990</v>
      </c>
      <c r="D21" s="357">
        <v>1990</v>
      </c>
      <c r="E21" s="357">
        <v>1990</v>
      </c>
      <c r="F21" s="149"/>
      <c r="G21" s="357">
        <v>2001</v>
      </c>
      <c r="H21" s="357">
        <v>2002</v>
      </c>
      <c r="I21" s="357">
        <v>2003</v>
      </c>
      <c r="J21" s="357">
        <v>2004</v>
      </c>
      <c r="K21" s="357">
        <v>2005</v>
      </c>
      <c r="L21" s="357">
        <v>2006</v>
      </c>
      <c r="M21" s="357">
        <v>2007</v>
      </c>
      <c r="N21" s="357">
        <v>2008</v>
      </c>
      <c r="O21" s="357">
        <v>2009</v>
      </c>
      <c r="P21" s="357">
        <v>2010</v>
      </c>
      <c r="Q21" s="357">
        <v>2011</v>
      </c>
      <c r="R21" s="357">
        <v>2012</v>
      </c>
      <c r="S21" s="357">
        <v>2013</v>
      </c>
      <c r="T21" s="357">
        <v>2014</v>
      </c>
      <c r="U21" s="357">
        <v>2015</v>
      </c>
      <c r="V21" s="357">
        <v>2016</v>
      </c>
      <c r="W21" s="357">
        <v>2017</v>
      </c>
      <c r="X21" s="357">
        <v>2018</v>
      </c>
      <c r="Y21" s="357">
        <v>2019</v>
      </c>
      <c r="Z21" s="357">
        <v>2020</v>
      </c>
      <c r="AA21" s="357">
        <v>2021</v>
      </c>
      <c r="AB21" s="357">
        <v>2022</v>
      </c>
      <c r="AC21" s="357">
        <v>2023</v>
      </c>
    </row>
    <row r="22" spans="1:29" s="358" customFormat="1">
      <c r="A22" s="149"/>
      <c r="B22" s="149"/>
      <c r="C22" s="150">
        <f>C11</f>
        <v>2.028</v>
      </c>
      <c r="D22" s="150">
        <f t="shared" ref="D22:E22" si="4">D11</f>
        <v>35.842999999999996</v>
      </c>
      <c r="E22" s="150">
        <f t="shared" si="4"/>
        <v>12.597</v>
      </c>
      <c r="F22" s="149"/>
      <c r="G22" s="149">
        <f>'GB_Tab2-1'!C41/1000</f>
        <v>28.774000000000001</v>
      </c>
      <c r="H22" s="149">
        <f>'GB_Tab2-1'!D41/1000</f>
        <v>16.87</v>
      </c>
      <c r="I22" s="149">
        <f>'GB_Tab2-1'!E41/1000</f>
        <v>72.536000000000001</v>
      </c>
      <c r="J22" s="149">
        <f>'GB_Tab2-1'!F41/1000</f>
        <v>91.088999999999999</v>
      </c>
      <c r="K22" s="149">
        <f>'GB_Tab2-1'!G41/1000</f>
        <v>78.841999999999999</v>
      </c>
      <c r="L22" s="149">
        <f>'GB_Tab2-1'!H41/1000</f>
        <v>123.916</v>
      </c>
      <c r="M22" s="149">
        <f>'GB_Tab2-1'!I41/1000</f>
        <v>169.40899999999999</v>
      </c>
      <c r="N22" s="149">
        <f>'GB_Tab2-1'!J41/1000</f>
        <v>186.90799999999999</v>
      </c>
      <c r="O22" s="149">
        <f>'GB_Tab2-1'!K41/1000</f>
        <v>153.124</v>
      </c>
      <c r="P22" s="149">
        <f>'GB_Tab2-1'!L41/1000</f>
        <v>163.04499999999999</v>
      </c>
      <c r="Q22" s="149">
        <f>'GB_Tab2-1'!M41/1000</f>
        <v>158.78800000000001</v>
      </c>
      <c r="R22" s="149">
        <f>'GB_Tab2-1'!N41/1000</f>
        <v>115.083</v>
      </c>
      <c r="S22" s="149">
        <f>'GB_Tab2-1'!O41/1000</f>
        <v>82.085999999999999</v>
      </c>
      <c r="T22" s="149">
        <f>'GB_Tab2-1'!P41/1000</f>
        <v>85.153999999999996</v>
      </c>
      <c r="U22" s="149">
        <f>'GB_Tab2-1'!Q41/1000</f>
        <v>63.094999999999999</v>
      </c>
      <c r="V22" s="149">
        <f>'GB_Tab2-1'!R41/1000</f>
        <v>58.942</v>
      </c>
      <c r="W22" s="149">
        <f>'GB_Tab2-1'!S41/1000</f>
        <v>82.49</v>
      </c>
      <c r="X22" s="150">
        <f>X11</f>
        <v>88.118000000000009</v>
      </c>
      <c r="Y22" s="150">
        <f>Y11</f>
        <v>69.000000000000014</v>
      </c>
      <c r="Z22" s="150">
        <f t="shared" ref="Z22:AC22" si="5">Z11</f>
        <v>20</v>
      </c>
      <c r="AA22" s="150">
        <f t="shared" si="5"/>
        <v>20</v>
      </c>
      <c r="AB22" s="150">
        <f t="shared" si="5"/>
        <v>20</v>
      </c>
      <c r="AC22" s="150">
        <f t="shared" si="5"/>
        <v>20</v>
      </c>
    </row>
    <row r="23" spans="1:29" s="358" customFormat="1">
      <c r="A23" s="149" t="s">
        <v>765</v>
      </c>
      <c r="B23" s="149"/>
      <c r="C23" s="149"/>
      <c r="D23" s="149"/>
      <c r="E23" s="149"/>
      <c r="F23" s="149"/>
      <c r="G23" s="150">
        <f>G11-G22</f>
        <v>0</v>
      </c>
      <c r="H23" s="150">
        <f t="shared" ref="H23:Y23" si="6">H11-H22</f>
        <v>0</v>
      </c>
      <c r="I23" s="150">
        <f t="shared" si="6"/>
        <v>-1.0000000000047748E-3</v>
      </c>
      <c r="J23" s="150">
        <f t="shared" si="6"/>
        <v>-9.9999999999056399E-4</v>
      </c>
      <c r="K23" s="150">
        <f t="shared" si="6"/>
        <v>9.9999999999056399E-4</v>
      </c>
      <c r="L23" s="150">
        <f t="shared" si="6"/>
        <v>9.9999999999056399E-4</v>
      </c>
      <c r="M23" s="150">
        <f t="shared" si="6"/>
        <v>0</v>
      </c>
      <c r="N23" s="150">
        <f t="shared" si="6"/>
        <v>0</v>
      </c>
      <c r="O23" s="150">
        <f t="shared" si="6"/>
        <v>9.9999999997635314E-4</v>
      </c>
      <c r="P23" s="150">
        <f t="shared" si="6"/>
        <v>-9.9999999997635314E-4</v>
      </c>
      <c r="Q23" s="150">
        <f t="shared" si="6"/>
        <v>0</v>
      </c>
      <c r="R23" s="150">
        <f t="shared" si="6"/>
        <v>-1.0000000000189857E-3</v>
      </c>
      <c r="S23" s="150">
        <f t="shared" si="6"/>
        <v>-9.9999999999056399E-4</v>
      </c>
      <c r="T23" s="150">
        <f t="shared" si="6"/>
        <v>1.0000000000047748E-3</v>
      </c>
      <c r="U23" s="150">
        <f t="shared" si="6"/>
        <v>-1.0000000000047748E-3</v>
      </c>
      <c r="V23" s="150">
        <f t="shared" si="6"/>
        <v>0</v>
      </c>
      <c r="W23" s="150">
        <f t="shared" si="6"/>
        <v>0</v>
      </c>
      <c r="X23" s="150">
        <f t="shared" si="6"/>
        <v>0</v>
      </c>
      <c r="Y23" s="150">
        <f t="shared" si="6"/>
        <v>0</v>
      </c>
      <c r="Z23" s="150">
        <f t="shared" ref="Z23:AC23" si="7">Z11-Z22</f>
        <v>0</v>
      </c>
      <c r="AA23" s="150">
        <f t="shared" si="7"/>
        <v>0</v>
      </c>
      <c r="AB23" s="150">
        <f t="shared" si="7"/>
        <v>0</v>
      </c>
      <c r="AC23" s="150">
        <f t="shared" si="7"/>
        <v>0</v>
      </c>
    </row>
    <row r="24" spans="1:29" s="358" customFormat="1">
      <c r="A24" s="149"/>
      <c r="B24" s="149"/>
      <c r="C24" s="149"/>
      <c r="D24" s="149"/>
      <c r="E24" s="149"/>
      <c r="F24" s="149"/>
      <c r="G24" s="149"/>
      <c r="H24" s="149"/>
      <c r="I24" s="149"/>
      <c r="J24" s="149"/>
      <c r="K24" s="149"/>
      <c r="L24" s="149"/>
      <c r="M24" s="149"/>
      <c r="N24" s="149"/>
      <c r="O24" s="149"/>
      <c r="P24" s="149"/>
      <c r="Q24" s="149"/>
      <c r="R24" s="149"/>
      <c r="S24" s="149"/>
      <c r="T24" s="149"/>
      <c r="U24" s="149"/>
      <c r="V24" s="149"/>
      <c r="W24" s="149"/>
      <c r="X24" s="149"/>
      <c r="Y24" s="149"/>
      <c r="Z24" s="149"/>
      <c r="AA24" s="149"/>
      <c r="AB24" s="149"/>
      <c r="AC24" s="149"/>
    </row>
    <row r="25" spans="1:29" s="358" customFormat="1">
      <c r="A25" s="356" t="s">
        <v>764</v>
      </c>
      <c r="B25" s="356"/>
      <c r="C25" s="357">
        <v>1990</v>
      </c>
      <c r="D25" s="357">
        <v>1990</v>
      </c>
      <c r="E25" s="357">
        <v>1990</v>
      </c>
      <c r="F25" s="149"/>
      <c r="G25" s="357">
        <v>2001</v>
      </c>
      <c r="H25" s="357">
        <v>2002</v>
      </c>
      <c r="I25" s="357">
        <v>2003</v>
      </c>
      <c r="J25" s="357">
        <v>2004</v>
      </c>
      <c r="K25" s="357">
        <v>2005</v>
      </c>
      <c r="L25" s="357">
        <v>2006</v>
      </c>
      <c r="M25" s="357">
        <v>2007</v>
      </c>
      <c r="N25" s="357">
        <v>2008</v>
      </c>
      <c r="O25" s="357">
        <v>2009</v>
      </c>
      <c r="P25" s="357">
        <v>2010</v>
      </c>
      <c r="Q25" s="357">
        <v>2011</v>
      </c>
      <c r="R25" s="357">
        <v>2012</v>
      </c>
      <c r="S25" s="357">
        <v>2013</v>
      </c>
      <c r="T25" s="357">
        <v>2014</v>
      </c>
      <c r="U25" s="357">
        <v>2015</v>
      </c>
      <c r="V25" s="357">
        <v>2016</v>
      </c>
      <c r="W25" s="357">
        <v>2017</v>
      </c>
      <c r="X25" s="357">
        <v>2018</v>
      </c>
      <c r="Y25" s="357">
        <v>2019</v>
      </c>
      <c r="Z25" s="357">
        <v>2020</v>
      </c>
      <c r="AA25" s="357">
        <v>2021</v>
      </c>
      <c r="AB25" s="357">
        <v>2022</v>
      </c>
      <c r="AC25" s="357">
        <v>2023</v>
      </c>
    </row>
    <row r="26" spans="1:29" s="358" customFormat="1">
      <c r="A26" s="149" t="s">
        <v>588</v>
      </c>
      <c r="B26" s="149"/>
      <c r="C26" s="149">
        <f>'GB_Tab6-8'!AR17/1000</f>
        <v>292.99900000000002</v>
      </c>
      <c r="D26" s="149">
        <f>'GB_Tab6-8'!AS17/1000</f>
        <v>276.20800000000003</v>
      </c>
      <c r="E26" s="149">
        <f>'GB_Tab6-8'!AT17/1000</f>
        <v>281.88299999999998</v>
      </c>
      <c r="F26" s="149"/>
      <c r="G26" s="359">
        <f>'GB_Tab6-8'!BC17/1000</f>
        <v>319.428</v>
      </c>
      <c r="H26" s="359">
        <f>'GB_Tab6-8'!BD17/1000</f>
        <v>345.63200000000001</v>
      </c>
      <c r="I26" s="359">
        <f>'GB_Tab6-8'!BE17/1000</f>
        <v>437.80099999999999</v>
      </c>
      <c r="J26" s="359">
        <f>'GB_Tab6-8'!BF17/1000</f>
        <v>471.01100000000002</v>
      </c>
      <c r="K26" s="359">
        <f>'GB_Tab6-8'!BG17/1000</f>
        <v>483.91300000000001</v>
      </c>
      <c r="L26" s="359">
        <f>'GB_Tab6-8'!BH17/1000</f>
        <v>536.46199999999999</v>
      </c>
      <c r="M26" s="359">
        <f>'GB_Tab6-8'!BI17/1000</f>
        <v>602.24599999999998</v>
      </c>
      <c r="N26" s="359">
        <f>'GB_Tab6-8'!BJ17/1000</f>
        <v>673.48699999999997</v>
      </c>
      <c r="O26" s="359">
        <f>'GB_Tab6-8'!BK17/1000</f>
        <v>664.524</v>
      </c>
      <c r="P26" s="359">
        <f>'GB_Tab6-8'!BL17/1000</f>
        <v>695.673</v>
      </c>
      <c r="Q26" s="359">
        <f>'GB_Tab6-8'!BM17/1000</f>
        <v>690.78099999999995</v>
      </c>
      <c r="R26" s="359">
        <f>'GB_Tab6-8'!BN17/1000</f>
        <v>655.38800000000003</v>
      </c>
      <c r="S26" s="359">
        <f>'GB_Tab6-8'!BO17/1000</f>
        <v>585.36099999999999</v>
      </c>
      <c r="T26" s="359">
        <f>'GB_Tab6-8'!BP17/1000</f>
        <v>595.74</v>
      </c>
      <c r="U26" s="359">
        <f>'GB_Tab6-8'!BQ17/1000</f>
        <v>570.84400000000005</v>
      </c>
      <c r="V26" s="359">
        <f>'GB_Tab6-8'!BR17/1000</f>
        <v>595.72400000000005</v>
      </c>
      <c r="W26" s="359">
        <f>'GB_Tab6-8'!BS17/1000</f>
        <v>626.23900000000003</v>
      </c>
      <c r="X26" s="359">
        <f>'GB_Tab6-8'!BT17/1000</f>
        <v>618.64300000000003</v>
      </c>
      <c r="Y26" s="359">
        <f>'GB_Tab6-8'!BU17/1000</f>
        <v>695.06600000000003</v>
      </c>
      <c r="Z26" s="359">
        <f>'GB_Tab6-8'!BV17/1000</f>
        <v>710.149</v>
      </c>
      <c r="AA26" s="359">
        <f>'GB_Tab6-8'!BW17/1000</f>
        <v>722.81299999999999</v>
      </c>
      <c r="AB26" s="359">
        <f>'GB_Tab6-8'!BX17/1000</f>
        <v>736.53599999999994</v>
      </c>
      <c r="AC26" s="359">
        <f>'GB_Tab6-8'!BY17/1000</f>
        <v>750.78</v>
      </c>
    </row>
    <row r="27" spans="1:29" s="358" customFormat="1">
      <c r="A27" s="149" t="s">
        <v>594</v>
      </c>
      <c r="B27" s="149"/>
      <c r="C27" s="360">
        <f>C26-C11</f>
        <v>290.971</v>
      </c>
      <c r="D27" s="360">
        <f t="shared" ref="D27:E27" si="8">D26-D11</f>
        <v>240.36500000000004</v>
      </c>
      <c r="E27" s="360">
        <f t="shared" si="8"/>
        <v>269.286</v>
      </c>
      <c r="F27" s="149"/>
      <c r="G27" s="360">
        <f>G26-G11</f>
        <v>290.654</v>
      </c>
      <c r="H27" s="360">
        <f t="shared" ref="H27:Y27" si="9">H26-H11</f>
        <v>328.762</v>
      </c>
      <c r="I27" s="360">
        <f t="shared" si="9"/>
        <v>365.26599999999996</v>
      </c>
      <c r="J27" s="360">
        <f t="shared" si="9"/>
        <v>379.923</v>
      </c>
      <c r="K27" s="360">
        <f t="shared" si="9"/>
        <v>405.07000000000005</v>
      </c>
      <c r="L27" s="360">
        <f t="shared" si="9"/>
        <v>412.54500000000002</v>
      </c>
      <c r="M27" s="360">
        <f t="shared" si="9"/>
        <v>432.83699999999999</v>
      </c>
      <c r="N27" s="360">
        <f t="shared" si="9"/>
        <v>486.57899999999995</v>
      </c>
      <c r="O27" s="360">
        <f t="shared" si="9"/>
        <v>511.399</v>
      </c>
      <c r="P27" s="360">
        <f t="shared" si="9"/>
        <v>532.62900000000002</v>
      </c>
      <c r="Q27" s="360">
        <f t="shared" si="9"/>
        <v>531.99299999999994</v>
      </c>
      <c r="R27" s="360">
        <f t="shared" si="9"/>
        <v>540.30600000000004</v>
      </c>
      <c r="S27" s="360">
        <f t="shared" si="9"/>
        <v>503.27599999999995</v>
      </c>
      <c r="T27" s="360">
        <f t="shared" si="9"/>
        <v>510.58500000000004</v>
      </c>
      <c r="U27" s="360">
        <f t="shared" si="9"/>
        <v>507.75000000000006</v>
      </c>
      <c r="V27" s="360">
        <f t="shared" si="9"/>
        <v>536.78200000000004</v>
      </c>
      <c r="W27" s="360">
        <f t="shared" si="9"/>
        <v>543.74900000000002</v>
      </c>
      <c r="X27" s="360">
        <f t="shared" si="9"/>
        <v>530.52499999999998</v>
      </c>
      <c r="Y27" s="360">
        <f t="shared" si="9"/>
        <v>626.06600000000003</v>
      </c>
      <c r="Z27" s="360">
        <f t="shared" ref="Z27:AB27" si="10">Z26-Z11</f>
        <v>690.149</v>
      </c>
      <c r="AA27" s="360">
        <f t="shared" si="10"/>
        <v>702.81299999999999</v>
      </c>
      <c r="AB27" s="360">
        <f t="shared" si="10"/>
        <v>716.53599999999994</v>
      </c>
      <c r="AC27" s="360">
        <f t="shared" ref="AC27" si="11">AC26-AC11</f>
        <v>730.78</v>
      </c>
    </row>
    <row r="28" spans="1:29" s="358" customFormat="1">
      <c r="A28" s="149" t="s">
        <v>595</v>
      </c>
      <c r="B28" s="149"/>
      <c r="C28" s="361">
        <f t="shared" ref="C28:E28" si="12">C11/(C26)</f>
        <v>6.9215253294379843E-3</v>
      </c>
      <c r="D28" s="361">
        <f t="shared" si="12"/>
        <v>0.12976814574523546</v>
      </c>
      <c r="E28" s="361">
        <f t="shared" si="12"/>
        <v>4.468875384468024E-2</v>
      </c>
      <c r="F28" s="149"/>
      <c r="G28" s="361">
        <f t="shared" ref="G28:V28" si="13">G11/(G26)</f>
        <v>9.0079767584557394E-2</v>
      </c>
      <c r="H28" s="361">
        <f t="shared" si="13"/>
        <v>4.8809138042773821E-2</v>
      </c>
      <c r="I28" s="361">
        <f t="shared" si="13"/>
        <v>0.16568029766948911</v>
      </c>
      <c r="J28" s="361">
        <f t="shared" si="13"/>
        <v>0.1933882648175945</v>
      </c>
      <c r="K28" s="361">
        <f t="shared" si="13"/>
        <v>0.16292804698365199</v>
      </c>
      <c r="L28" s="361">
        <f t="shared" si="13"/>
        <v>0.23098933382047562</v>
      </c>
      <c r="M28" s="361">
        <f t="shared" si="13"/>
        <v>0.28129535106916442</v>
      </c>
      <c r="N28" s="361">
        <f t="shared" si="13"/>
        <v>0.27752280296427401</v>
      </c>
      <c r="O28" s="361">
        <f t="shared" si="13"/>
        <v>0.23042809590022328</v>
      </c>
      <c r="P28" s="361">
        <f t="shared" si="13"/>
        <v>0.2343687335860383</v>
      </c>
      <c r="Q28" s="361">
        <f t="shared" si="13"/>
        <v>0.22986735303953065</v>
      </c>
      <c r="R28" s="361">
        <f t="shared" si="13"/>
        <v>0.1755936941170726</v>
      </c>
      <c r="S28" s="361">
        <f t="shared" si="13"/>
        <v>0.14022970440463237</v>
      </c>
      <c r="T28" s="361">
        <f t="shared" si="13"/>
        <v>0.14293987309900291</v>
      </c>
      <c r="U28" s="361">
        <f t="shared" si="13"/>
        <v>0.11052756970380698</v>
      </c>
      <c r="V28" s="361">
        <f t="shared" si="13"/>
        <v>9.8941791836488033E-2</v>
      </c>
      <c r="W28" s="361">
        <f>(W11)/(W26)</f>
        <v>0.13172287257740256</v>
      </c>
      <c r="X28" s="361">
        <f>(X11)/(X26)</f>
        <v>0.1424375609196257</v>
      </c>
      <c r="Y28" s="361">
        <f>(Y11)/(Y26)</f>
        <v>9.9271148351379596E-2</v>
      </c>
      <c r="Z28" s="361">
        <f t="shared" ref="Z28:AB28" si="14">(Z11)/(Z26)</f>
        <v>2.8163103799343517E-2</v>
      </c>
      <c r="AA28" s="361">
        <f t="shared" si="14"/>
        <v>2.7669673899058264E-2</v>
      </c>
      <c r="AB28" s="361">
        <f t="shared" si="14"/>
        <v>2.7154137747509969E-2</v>
      </c>
      <c r="AC28" s="361">
        <f t="shared" ref="AC28" si="15">(AC11)/(AC26)</f>
        <v>2.6638962146034791E-2</v>
      </c>
    </row>
    <row r="33" spans="1:29" ht="102">
      <c r="A33" s="10" t="s">
        <v>682</v>
      </c>
    </row>
    <row r="34" spans="1:29">
      <c r="A34" s="143" t="s">
        <v>330</v>
      </c>
      <c r="B34" s="143"/>
      <c r="C34" s="11">
        <f>pgdp!AP3</f>
        <v>0.56428721491600942</v>
      </c>
      <c r="D34" s="11">
        <f>pgdp!AQ3</f>
        <v>0.5843159113504327</v>
      </c>
      <c r="E34" s="11">
        <f>pgdp!AR3</f>
        <v>0.59862364502672549</v>
      </c>
      <c r="F34" s="2"/>
      <c r="G34" s="2">
        <f>pgdp!BA3</f>
        <v>0.71033050332114134</v>
      </c>
      <c r="H34" s="2">
        <f>pgdp!BB3</f>
        <v>0.72177029812501559</v>
      </c>
      <c r="I34" s="2">
        <f>pgdp!BC3</f>
        <v>0.73558157581522121</v>
      </c>
      <c r="J34" s="2">
        <f>pgdp!BD3</f>
        <v>0.75378638244667995</v>
      </c>
      <c r="K34" s="2">
        <f>pgdp!BE3</f>
        <v>0.77750760344715164</v>
      </c>
      <c r="L34" s="2">
        <f>pgdp!BF3</f>
        <v>0.80275228380407149</v>
      </c>
      <c r="M34" s="2">
        <f>pgdp!BG3</f>
        <v>0.82459421647952613</v>
      </c>
      <c r="N34" s="2">
        <f>pgdp!BH3</f>
        <v>0.84165483055935886</v>
      </c>
      <c r="O34" s="2">
        <f>pgdp!BI3</f>
        <v>0.85147741466177274</v>
      </c>
      <c r="P34" s="2">
        <f>pgdp!BJ3</f>
        <v>0.85894343086456204</v>
      </c>
      <c r="Q34" s="2">
        <f>pgdp!BK3</f>
        <v>0.87638757317399019</v>
      </c>
      <c r="R34" s="2">
        <f>pgdp!BL3</f>
        <v>0.89246166741880806</v>
      </c>
      <c r="S34" s="2">
        <f>pgdp!BM3</f>
        <v>0.9075385882666781</v>
      </c>
      <c r="T34" s="2">
        <f>pgdp!BN3</f>
        <v>0.9240281714268912</v>
      </c>
      <c r="U34" s="2">
        <f>pgdp!BO3</f>
        <v>0.9351696664966358</v>
      </c>
      <c r="V34" s="2">
        <f>pgdp!BP3</f>
        <v>0.94602138468179731</v>
      </c>
      <c r="W34" s="2">
        <f>pgdp!BQ3</f>
        <v>0.96224036736890672</v>
      </c>
      <c r="X34" s="2">
        <f>pgdp!BR3</f>
        <v>0.9807153483309915</v>
      </c>
      <c r="Y34" s="2">
        <f>pgdp!BS3</f>
        <v>1</v>
      </c>
      <c r="Z34" s="2">
        <f>pgdp!BT3</f>
        <v>1.0210420632455099</v>
      </c>
      <c r="AA34" s="2">
        <f>pgdp!BU3</f>
        <v>1.043176968874127</v>
      </c>
      <c r="AB34" s="2">
        <f>pgdp!BV3</f>
        <v>1.065750801254393</v>
      </c>
      <c r="AC34" s="2">
        <f>pgdp!BW3</f>
        <v>1.0890130668067819</v>
      </c>
    </row>
    <row r="35" spans="1:29" s="3" customFormat="1" ht="19">
      <c r="A35" s="3" t="s">
        <v>757</v>
      </c>
      <c r="C35" s="3">
        <v>1990</v>
      </c>
      <c r="D35" s="3">
        <v>1991</v>
      </c>
      <c r="E35" s="3">
        <v>1992</v>
      </c>
      <c r="G35" s="3">
        <v>2001</v>
      </c>
      <c r="H35" s="3">
        <v>2002</v>
      </c>
      <c r="I35" s="3">
        <v>2003</v>
      </c>
      <c r="J35" s="3">
        <v>2004</v>
      </c>
      <c r="K35" s="3">
        <v>2005</v>
      </c>
      <c r="L35" s="3">
        <v>2006</v>
      </c>
      <c r="M35" s="3">
        <v>2007</v>
      </c>
      <c r="N35" s="3">
        <v>2008</v>
      </c>
      <c r="O35" s="3">
        <v>2009</v>
      </c>
      <c r="P35" s="3">
        <v>2010</v>
      </c>
      <c r="Q35" s="3">
        <v>2011</v>
      </c>
      <c r="R35" s="3">
        <v>2012</v>
      </c>
      <c r="S35" s="3">
        <v>2013</v>
      </c>
      <c r="T35" s="3">
        <v>2014</v>
      </c>
      <c r="U35" s="3">
        <v>2015</v>
      </c>
      <c r="V35" s="3">
        <v>2016</v>
      </c>
      <c r="W35" s="3">
        <v>2017</v>
      </c>
      <c r="X35" s="3">
        <v>2018</v>
      </c>
      <c r="Y35" s="3">
        <v>2019</v>
      </c>
      <c r="Z35" s="3">
        <v>2020</v>
      </c>
      <c r="AA35" s="3">
        <v>2021</v>
      </c>
      <c r="AB35" s="3">
        <v>2022</v>
      </c>
      <c r="AC35" s="3">
        <v>2023</v>
      </c>
    </row>
    <row r="36" spans="1:29">
      <c r="A36" t="s">
        <v>302</v>
      </c>
      <c r="C36" s="11">
        <f t="shared" ref="C36:C42" si="16">C3/C$34</f>
        <v>0.497973359261427</v>
      </c>
      <c r="D36" s="11">
        <f t="shared" ref="D36:E42" si="17">D3/D$34</f>
        <v>9.9672110357904717</v>
      </c>
      <c r="E36" s="11">
        <f t="shared" si="17"/>
        <v>4.0242312845702077</v>
      </c>
      <c r="F36" s="11"/>
      <c r="G36" s="11">
        <f t="shared" ref="G36:Y36" si="18">G3/G$34</f>
        <v>0.72501462008476902</v>
      </c>
      <c r="H36" s="11">
        <f t="shared" si="18"/>
        <v>0.2854093615865575</v>
      </c>
      <c r="I36" s="11">
        <f t="shared" si="18"/>
        <v>20.417857779206784</v>
      </c>
      <c r="J36" s="11">
        <f t="shared" si="18"/>
        <v>25.290984878396255</v>
      </c>
      <c r="K36" s="11">
        <f t="shared" si="18"/>
        <v>22.43965193735356</v>
      </c>
      <c r="L36" s="11">
        <f t="shared" si="18"/>
        <v>21.223234544117766</v>
      </c>
      <c r="M36" s="11">
        <f t="shared" si="18"/>
        <v>22.913088186168618</v>
      </c>
      <c r="N36" s="11">
        <f t="shared" si="18"/>
        <v>22.738537587054541</v>
      </c>
      <c r="O36" s="11">
        <f t="shared" si="18"/>
        <v>23.394631092960584</v>
      </c>
      <c r="P36" s="11">
        <f t="shared" si="18"/>
        <v>19.639244441302328</v>
      </c>
      <c r="Q36" s="11">
        <f t="shared" si="18"/>
        <v>17.845985587583147</v>
      </c>
      <c r="R36" s="11">
        <f t="shared" si="18"/>
        <v>12.653764763546421</v>
      </c>
      <c r="S36" s="11">
        <f t="shared" si="18"/>
        <v>13.358109679009797</v>
      </c>
      <c r="T36" s="11">
        <f t="shared" si="18"/>
        <v>8.4521232593371476</v>
      </c>
      <c r="U36" s="11">
        <f t="shared" si="18"/>
        <v>5.1060253246753255</v>
      </c>
      <c r="V36" s="11">
        <f t="shared" si="18"/>
        <v>3.3614462119898287</v>
      </c>
      <c r="W36" s="11">
        <f t="shared" si="18"/>
        <v>3.8992336293885148</v>
      </c>
      <c r="X36" s="11">
        <f t="shared" si="18"/>
        <v>3.9144895677765383</v>
      </c>
      <c r="Y36" s="11">
        <f t="shared" si="18"/>
        <v>4.6609999999999996</v>
      </c>
      <c r="Z36" s="11">
        <f t="shared" ref="Z36:AC42" si="19">Z3/Z$34</f>
        <v>4.5649441563498643</v>
      </c>
      <c r="AA36" s="11">
        <f t="shared" si="19"/>
        <v>4.4680817723866086</v>
      </c>
      <c r="AB36" s="11">
        <f t="shared" si="19"/>
        <v>4.3734426420453856</v>
      </c>
      <c r="AC36" s="11">
        <f t="shared" si="19"/>
        <v>4.2800221063159913</v>
      </c>
    </row>
    <row r="37" spans="1:29">
      <c r="A37" t="s">
        <v>3</v>
      </c>
      <c r="C37" s="11">
        <f t="shared" si="16"/>
        <v>2.3534114629863878</v>
      </c>
      <c r="D37" s="11">
        <f t="shared" si="17"/>
        <v>41.700045346509384</v>
      </c>
      <c r="E37" s="11">
        <f t="shared" si="17"/>
        <v>13.584495145755472</v>
      </c>
      <c r="F37" s="11"/>
      <c r="G37" s="11">
        <f t="shared" ref="G37:Y37" si="20">G4/G$34</f>
        <v>37.296722970690844</v>
      </c>
      <c r="H37" s="11">
        <f t="shared" si="20"/>
        <v>21.307332873008097</v>
      </c>
      <c r="I37" s="11">
        <f t="shared" si="20"/>
        <v>71.759546099968716</v>
      </c>
      <c r="J37" s="11">
        <f t="shared" si="20"/>
        <v>82.441128477663582</v>
      </c>
      <c r="K37" s="11">
        <f t="shared" si="20"/>
        <v>51.935183425823169</v>
      </c>
      <c r="L37" s="11">
        <f t="shared" si="20"/>
        <v>93.789829713366601</v>
      </c>
      <c r="M37" s="11">
        <f t="shared" si="20"/>
        <v>113.528567299046</v>
      </c>
      <c r="N37" s="11">
        <f t="shared" si="20"/>
        <v>110.91126268230505</v>
      </c>
      <c r="O37" s="11">
        <f t="shared" si="20"/>
        <v>107.54601170058631</v>
      </c>
      <c r="P37" s="11">
        <f t="shared" si="20"/>
        <v>126.86632912520932</v>
      </c>
      <c r="Q37" s="11">
        <f t="shared" si="20"/>
        <v>125.76513334257204</v>
      </c>
      <c r="R37" s="11">
        <f t="shared" si="20"/>
        <v>97.232187294917594</v>
      </c>
      <c r="S37" s="11">
        <f t="shared" si="20"/>
        <v>67.860475351934127</v>
      </c>
      <c r="T37" s="11">
        <f t="shared" si="20"/>
        <v>74.447946639733814</v>
      </c>
      <c r="U37" s="11">
        <f t="shared" si="20"/>
        <v>52.913392909090909</v>
      </c>
      <c r="V37" s="11">
        <f t="shared" si="20"/>
        <v>49.844539207600121</v>
      </c>
      <c r="W37" s="11">
        <f t="shared" si="20"/>
        <v>62.494779931577384</v>
      </c>
      <c r="X37" s="11">
        <f t="shared" si="20"/>
        <v>63.192648208747897</v>
      </c>
      <c r="Y37" s="11">
        <f t="shared" si="20"/>
        <v>49.313000000000002</v>
      </c>
      <c r="Z37" s="11">
        <f t="shared" si="19"/>
        <v>15.022887452102678</v>
      </c>
      <c r="AA37" s="11">
        <f t="shared" si="19"/>
        <v>14.704120640771979</v>
      </c>
      <c r="AB37" s="11">
        <f t="shared" si="19"/>
        <v>14.392670389687659</v>
      </c>
      <c r="AC37" s="11">
        <f t="shared" si="19"/>
        <v>14.085230441703709</v>
      </c>
    </row>
    <row r="38" spans="1:29">
      <c r="A38" t="s">
        <v>4</v>
      </c>
      <c r="C38" s="11">
        <f t="shared" si="16"/>
        <v>1.7721471859837259E-2</v>
      </c>
      <c r="D38" s="11">
        <f t="shared" si="17"/>
        <v>9.0327850011851147</v>
      </c>
      <c r="E38" s="11">
        <f t="shared" si="17"/>
        <v>3.2574723972237054</v>
      </c>
      <c r="F38" s="11"/>
      <c r="G38" s="11">
        <f t="shared" ref="G38:Y38" si="21">G5/G$34</f>
        <v>1.3768238804716584</v>
      </c>
      <c r="H38" s="11">
        <f t="shared" si="21"/>
        <v>1.6542659113317946</v>
      </c>
      <c r="I38" s="11">
        <f t="shared" si="21"/>
        <v>5.0762554729048626</v>
      </c>
      <c r="J38" s="11">
        <f t="shared" si="21"/>
        <v>9.1803197313523963</v>
      </c>
      <c r="K38" s="11">
        <f t="shared" si="21"/>
        <v>22.541258660747321</v>
      </c>
      <c r="L38" s="11">
        <f t="shared" si="21"/>
        <v>32.063440390388401</v>
      </c>
      <c r="M38" s="11">
        <f t="shared" si="21"/>
        <v>59.988293649678049</v>
      </c>
      <c r="N38" s="11">
        <f t="shared" si="21"/>
        <v>78.261298585102693</v>
      </c>
      <c r="O38" s="11">
        <f t="shared" si="21"/>
        <v>40.578880196986653</v>
      </c>
      <c r="P38" s="11">
        <f t="shared" si="21"/>
        <v>37.990860430883721</v>
      </c>
      <c r="Q38" s="11">
        <f t="shared" si="21"/>
        <v>34.03174681263858</v>
      </c>
      <c r="R38" s="11">
        <f t="shared" si="21"/>
        <v>17.986206675325171</v>
      </c>
      <c r="S38" s="11">
        <f t="shared" si="21"/>
        <v>8.963806173285878</v>
      </c>
      <c r="T38" s="11">
        <f t="shared" si="21"/>
        <v>8.9207236910007826</v>
      </c>
      <c r="U38" s="11">
        <f t="shared" si="21"/>
        <v>8.8048193766233762</v>
      </c>
      <c r="V38" s="11">
        <f t="shared" si="21"/>
        <v>8.8401807141103568</v>
      </c>
      <c r="W38" s="11">
        <f t="shared" si="21"/>
        <v>16.909496370943639</v>
      </c>
      <c r="X38" s="11">
        <f t="shared" si="21"/>
        <v>18.783228009380466</v>
      </c>
      <c r="Y38" s="11">
        <f t="shared" si="21"/>
        <v>12.782</v>
      </c>
      <c r="Z38" s="11">
        <f t="shared" si="19"/>
        <v>0</v>
      </c>
      <c r="AA38" s="11">
        <f t="shared" si="19"/>
        <v>0</v>
      </c>
      <c r="AB38" s="11">
        <f t="shared" si="19"/>
        <v>0</v>
      </c>
      <c r="AC38" s="11">
        <f t="shared" si="19"/>
        <v>0</v>
      </c>
    </row>
    <row r="39" spans="1:29">
      <c r="A39" t="s">
        <v>5</v>
      </c>
      <c r="C39" s="11">
        <f t="shared" si="16"/>
        <v>1.5949324673853533E-2</v>
      </c>
      <c r="D39" s="11">
        <f t="shared" si="17"/>
        <v>0.11808680657100663</v>
      </c>
      <c r="E39" s="11">
        <f t="shared" si="17"/>
        <v>0.17707285851575014</v>
      </c>
      <c r="F39" s="11"/>
      <c r="G39" s="11">
        <f t="shared" ref="G39:Y39" si="22">G6/G$34</f>
        <v>0.68559634947821835</v>
      </c>
      <c r="H39" s="11">
        <f t="shared" si="22"/>
        <v>-1.9396752729183522E-2</v>
      </c>
      <c r="I39" s="11">
        <f t="shared" si="22"/>
        <v>1.0998100368452155</v>
      </c>
      <c r="J39" s="11">
        <f t="shared" si="22"/>
        <v>0.44309635697567928</v>
      </c>
      <c r="K39" s="11">
        <f t="shared" si="22"/>
        <v>0.83086004192872132</v>
      </c>
      <c r="L39" s="11">
        <f t="shared" si="22"/>
        <v>1.0177485838201688</v>
      </c>
      <c r="M39" s="11">
        <f t="shared" si="22"/>
        <v>1.8263528532004838</v>
      </c>
      <c r="N39" s="11">
        <f t="shared" si="22"/>
        <v>1.9105219166048542</v>
      </c>
      <c r="O39" s="11">
        <f t="shared" si="22"/>
        <v>0.71875071430180104</v>
      </c>
      <c r="P39" s="11">
        <f t="shared" si="22"/>
        <v>1.1281301715348837</v>
      </c>
      <c r="Q39" s="11">
        <f t="shared" si="22"/>
        <v>1.5929025498891352</v>
      </c>
      <c r="R39" s="11">
        <f t="shared" si="22"/>
        <v>0.5893810560192525</v>
      </c>
      <c r="S39" s="11">
        <f t="shared" si="22"/>
        <v>0.21156125203084064</v>
      </c>
      <c r="T39" s="11">
        <f t="shared" si="22"/>
        <v>0.33548760696472674</v>
      </c>
      <c r="U39" s="11">
        <f t="shared" si="22"/>
        <v>0.40741270129870133</v>
      </c>
      <c r="V39" s="11">
        <f t="shared" si="22"/>
        <v>0.25580817084954038</v>
      </c>
      <c r="W39" s="11">
        <f t="shared" si="22"/>
        <v>1.5941962653203576</v>
      </c>
      <c r="X39" s="11">
        <f t="shared" si="22"/>
        <v>2.8815700751592854</v>
      </c>
      <c r="Y39" s="11">
        <f t="shared" si="22"/>
        <v>1.3080000000000001</v>
      </c>
      <c r="Z39" s="11">
        <f t="shared" si="19"/>
        <v>0</v>
      </c>
      <c r="AA39" s="11">
        <f t="shared" si="19"/>
        <v>0</v>
      </c>
      <c r="AB39" s="11">
        <f t="shared" si="19"/>
        <v>0</v>
      </c>
      <c r="AC39" s="11">
        <f t="shared" si="19"/>
        <v>0</v>
      </c>
    </row>
    <row r="40" spans="1:29">
      <c r="A40" t="s">
        <v>304</v>
      </c>
      <c r="C40" s="11">
        <f t="shared" si="16"/>
        <v>0</v>
      </c>
      <c r="D40" s="11">
        <f t="shared" si="17"/>
        <v>5.9899104782394672E-2</v>
      </c>
      <c r="E40" s="11">
        <f t="shared" si="17"/>
        <v>0</v>
      </c>
      <c r="F40" s="11"/>
      <c r="G40" s="11">
        <f t="shared" ref="G40:Y40" si="23">G7/G$34</f>
        <v>8.869110886473873E-2</v>
      </c>
      <c r="H40" s="11">
        <f t="shared" si="23"/>
        <v>0.1454756454688764</v>
      </c>
      <c r="I40" s="11">
        <f t="shared" si="23"/>
        <v>0.25286114567763912</v>
      </c>
      <c r="J40" s="11">
        <f t="shared" si="23"/>
        <v>0.66464453546351887</v>
      </c>
      <c r="K40" s="11">
        <f t="shared" si="23"/>
        <v>1.6411415069675672</v>
      </c>
      <c r="L40" s="11">
        <f t="shared" si="23"/>
        <v>1.8374285938001824</v>
      </c>
      <c r="M40" s="11">
        <f t="shared" si="23"/>
        <v>5.8295339743258481</v>
      </c>
      <c r="N40" s="11">
        <f t="shared" si="23"/>
        <v>5.0305657928513385</v>
      </c>
      <c r="O40" s="11">
        <f t="shared" si="23"/>
        <v>5.7734942998491086</v>
      </c>
      <c r="P40" s="11">
        <f t="shared" si="23"/>
        <v>2.3843246556279074</v>
      </c>
      <c r="Q40" s="11">
        <f t="shared" si="23"/>
        <v>1.3955013026607539</v>
      </c>
      <c r="R40" s="11">
        <f t="shared" si="23"/>
        <v>0</v>
      </c>
      <c r="S40" s="11">
        <f t="shared" si="23"/>
        <v>1.6528222814909423E-2</v>
      </c>
      <c r="T40" s="11">
        <f t="shared" si="23"/>
        <v>0</v>
      </c>
      <c r="U40" s="11">
        <f t="shared" si="23"/>
        <v>0.23632075324675325</v>
      </c>
      <c r="V40" s="11">
        <f t="shared" si="23"/>
        <v>0</v>
      </c>
      <c r="W40" s="11">
        <f t="shared" si="23"/>
        <v>0.43648137642408746</v>
      </c>
      <c r="X40" s="11">
        <f t="shared" si="23"/>
        <v>0.64442756104057619</v>
      </c>
      <c r="Y40" s="11">
        <f t="shared" si="23"/>
        <v>0.92100000000000004</v>
      </c>
      <c r="Z40" s="11">
        <f t="shared" si="19"/>
        <v>0</v>
      </c>
      <c r="AA40" s="11">
        <f t="shared" si="19"/>
        <v>0</v>
      </c>
      <c r="AB40" s="11">
        <f t="shared" si="19"/>
        <v>0</v>
      </c>
      <c r="AC40" s="11">
        <f t="shared" si="19"/>
        <v>0</v>
      </c>
    </row>
    <row r="41" spans="1:29">
      <c r="A41" t="s">
        <v>19</v>
      </c>
      <c r="C41" s="11">
        <f t="shared" si="16"/>
        <v>0</v>
      </c>
      <c r="D41" s="11">
        <f t="shared" si="17"/>
        <v>0</v>
      </c>
      <c r="E41" s="11">
        <f t="shared" si="17"/>
        <v>0</v>
      </c>
      <c r="F41" s="11"/>
      <c r="G41" s="11">
        <f t="shared" ref="G41:Y41" si="24">G8/G$34</f>
        <v>8.4467722728322592E-2</v>
      </c>
      <c r="H41" s="11">
        <f t="shared" si="24"/>
        <v>0</v>
      </c>
      <c r="I41" s="11">
        <f t="shared" si="24"/>
        <v>2.7189370502971951E-3</v>
      </c>
      <c r="J41" s="11">
        <f t="shared" si="24"/>
        <v>3.1839259183881148E-2</v>
      </c>
      <c r="K41" s="11">
        <f t="shared" si="24"/>
        <v>2.7009382167961529E-2</v>
      </c>
      <c r="L41" s="11">
        <f t="shared" si="24"/>
        <v>0.5730285784054806</v>
      </c>
      <c r="M41" s="11">
        <f t="shared" si="24"/>
        <v>0</v>
      </c>
      <c r="N41" s="11">
        <f t="shared" si="24"/>
        <v>1.4257626243319808E-2</v>
      </c>
      <c r="O41" s="11">
        <f t="shared" si="24"/>
        <v>0.81035619749712862</v>
      </c>
      <c r="P41" s="11">
        <f t="shared" si="24"/>
        <v>9.3137681860465133E-3</v>
      </c>
      <c r="Q41" s="11">
        <f t="shared" si="24"/>
        <v>0</v>
      </c>
      <c r="R41" s="11">
        <f t="shared" si="24"/>
        <v>0</v>
      </c>
      <c r="S41" s="11">
        <f t="shared" si="24"/>
        <v>0</v>
      </c>
      <c r="T41" s="11">
        <f t="shared" si="24"/>
        <v>0</v>
      </c>
      <c r="U41" s="11">
        <f t="shared" si="24"/>
        <v>0</v>
      </c>
      <c r="V41" s="11">
        <f t="shared" si="24"/>
        <v>0</v>
      </c>
      <c r="W41" s="11">
        <f t="shared" si="24"/>
        <v>0</v>
      </c>
      <c r="X41" s="11">
        <f t="shared" si="24"/>
        <v>0</v>
      </c>
      <c r="Y41" s="11">
        <f t="shared" si="24"/>
        <v>0</v>
      </c>
      <c r="Z41" s="11">
        <f t="shared" si="19"/>
        <v>0</v>
      </c>
      <c r="AA41" s="11">
        <f t="shared" si="19"/>
        <v>0</v>
      </c>
      <c r="AB41" s="11">
        <f t="shared" si="19"/>
        <v>0</v>
      </c>
      <c r="AC41" s="11">
        <f t="shared" si="19"/>
        <v>0</v>
      </c>
    </row>
    <row r="42" spans="1:29">
      <c r="A42" t="s">
        <v>8</v>
      </c>
      <c r="C42" s="11">
        <f t="shared" si="16"/>
        <v>0.70885887439349038</v>
      </c>
      <c r="D42" s="11">
        <f t="shared" si="17"/>
        <v>0.463790211315113</v>
      </c>
      <c r="E42" s="11">
        <f t="shared" si="17"/>
        <v>0</v>
      </c>
      <c r="F42" s="11"/>
      <c r="G42" s="11">
        <f t="shared" ref="G42:Y42" si="25">G9/G$34</f>
        <v>0.25058757742735704</v>
      </c>
      <c r="H42" s="11">
        <f t="shared" si="25"/>
        <v>0</v>
      </c>
      <c r="I42" s="11">
        <f t="shared" si="25"/>
        <v>0</v>
      </c>
      <c r="J42" s="11">
        <f t="shared" si="25"/>
        <v>2.7885884501882567</v>
      </c>
      <c r="K42" s="11">
        <f t="shared" si="25"/>
        <v>1.9896911530398325</v>
      </c>
      <c r="L42" s="11">
        <f t="shared" si="25"/>
        <v>3.8604686184317054</v>
      </c>
      <c r="M42" s="11">
        <f t="shared" si="25"/>
        <v>1.3594565394672924</v>
      </c>
      <c r="N42" s="11">
        <f t="shared" si="25"/>
        <v>3.2055896337064032</v>
      </c>
      <c r="O42" s="11">
        <f t="shared" si="25"/>
        <v>1.0123580322355432</v>
      </c>
      <c r="P42" s="11">
        <f t="shared" si="25"/>
        <v>1.8010499229767443</v>
      </c>
      <c r="Q42" s="11">
        <f t="shared" si="25"/>
        <v>0.55340812084257207</v>
      </c>
      <c r="R42" s="11">
        <f t="shared" si="25"/>
        <v>0.48741589233531335</v>
      </c>
      <c r="S42" s="11">
        <f t="shared" si="25"/>
        <v>3.7463971713794703E-2</v>
      </c>
      <c r="T42" s="11">
        <f t="shared" si="25"/>
        <v>0</v>
      </c>
      <c r="U42" s="11">
        <f t="shared" si="25"/>
        <v>0</v>
      </c>
      <c r="V42" s="11">
        <f t="shared" si="25"/>
        <v>3.1711756716885178E-3</v>
      </c>
      <c r="W42" s="11">
        <f t="shared" si="25"/>
        <v>0.39283323878167875</v>
      </c>
      <c r="X42" s="11">
        <f t="shared" si="25"/>
        <v>0.43437680538494533</v>
      </c>
      <c r="Y42" s="11">
        <f t="shared" si="25"/>
        <v>1.4999999999999999E-2</v>
      </c>
      <c r="Z42" s="11">
        <f t="shared" si="19"/>
        <v>0</v>
      </c>
      <c r="AA42" s="11">
        <f t="shared" si="19"/>
        <v>0</v>
      </c>
      <c r="AB42" s="11">
        <f t="shared" si="19"/>
        <v>0</v>
      </c>
      <c r="AC42" s="11">
        <f t="shared" si="19"/>
        <v>0</v>
      </c>
    </row>
    <row r="43" spans="1:29" s="5" customFormat="1" ht="11">
      <c r="E43" s="12"/>
      <c r="F43" s="12"/>
      <c r="G43" s="6"/>
      <c r="H43" s="6"/>
      <c r="I43" s="6"/>
      <c r="J43" s="6"/>
      <c r="K43" s="6"/>
      <c r="L43" s="6"/>
      <c r="M43" s="6"/>
      <c r="N43" s="6"/>
      <c r="O43" s="6"/>
      <c r="P43" s="6"/>
      <c r="Q43" s="6"/>
      <c r="R43" s="6"/>
      <c r="S43" s="6"/>
      <c r="T43" s="6"/>
      <c r="U43" s="6"/>
      <c r="V43" s="6"/>
      <c r="W43" s="6"/>
      <c r="X43" s="6"/>
      <c r="Y43" s="6"/>
      <c r="Z43" s="6"/>
      <c r="AA43" s="6"/>
      <c r="AB43" s="6"/>
      <c r="AC43" s="6"/>
    </row>
    <row r="44" spans="1:29" ht="20" thickBot="1">
      <c r="A44" s="7" t="s">
        <v>9</v>
      </c>
      <c r="B44" s="7"/>
      <c r="C44" s="8">
        <f t="shared" ref="C44:E44" si="26">SUM(C36:C42)</f>
        <v>3.5939144931749958</v>
      </c>
      <c r="D44" s="8">
        <f t="shared" si="26"/>
        <v>61.34181750615349</v>
      </c>
      <c r="E44" s="8">
        <f t="shared" si="26"/>
        <v>21.043271686065136</v>
      </c>
      <c r="F44" s="8"/>
      <c r="G44" s="8">
        <f t="shared" ref="G44:Y44" si="27">SUM(G36:G42)</f>
        <v>40.507904229745911</v>
      </c>
      <c r="H44" s="8">
        <f t="shared" si="27"/>
        <v>23.373087038666142</v>
      </c>
      <c r="I44" s="8">
        <f t="shared" si="27"/>
        <v>98.60904947165352</v>
      </c>
      <c r="J44" s="8">
        <f t="shared" si="27"/>
        <v>120.84060168922358</v>
      </c>
      <c r="K44" s="8">
        <f t="shared" si="27"/>
        <v>101.40479610802812</v>
      </c>
      <c r="L44" s="8">
        <f t="shared" si="27"/>
        <v>154.3651790223303</v>
      </c>
      <c r="M44" s="8">
        <f t="shared" si="27"/>
        <v>205.44529250188629</v>
      </c>
      <c r="N44" s="8">
        <f t="shared" si="27"/>
        <v>222.07203382386822</v>
      </c>
      <c r="O44" s="8">
        <f t="shared" si="27"/>
        <v>179.83448223441712</v>
      </c>
      <c r="P44" s="8">
        <f t="shared" si="27"/>
        <v>189.81925251572096</v>
      </c>
      <c r="Q44" s="8">
        <f t="shared" si="27"/>
        <v>181.18467771618623</v>
      </c>
      <c r="R44" s="8">
        <f t="shared" si="27"/>
        <v>128.94895568214375</v>
      </c>
      <c r="S44" s="8">
        <f t="shared" si="27"/>
        <v>90.447944650789353</v>
      </c>
      <c r="T44" s="8">
        <f t="shared" si="27"/>
        <v>92.156281197036478</v>
      </c>
      <c r="U44" s="8">
        <f t="shared" si="27"/>
        <v>67.467971064935057</v>
      </c>
      <c r="V44" s="8">
        <f t="shared" si="27"/>
        <v>62.30514548022154</v>
      </c>
      <c r="W44" s="8">
        <f t="shared" si="27"/>
        <v>85.727020812435669</v>
      </c>
      <c r="X44" s="8">
        <f t="shared" si="27"/>
        <v>89.850740227489709</v>
      </c>
      <c r="Y44" s="8">
        <f t="shared" si="27"/>
        <v>69.000000000000014</v>
      </c>
      <c r="Z44" s="8">
        <f t="shared" ref="Z44:AC44" si="28">SUM(Z36:Z42)</f>
        <v>19.587831608452543</v>
      </c>
      <c r="AA44" s="8">
        <f t="shared" si="28"/>
        <v>19.172202413158587</v>
      </c>
      <c r="AB44" s="8">
        <f t="shared" si="28"/>
        <v>18.766113031733045</v>
      </c>
      <c r="AC44" s="8">
        <f t="shared" si="28"/>
        <v>18.365252548019701</v>
      </c>
    </row>
    <row r="45" spans="1:29" s="5" customFormat="1" ht="17" thickBot="1">
      <c r="E45" s="12"/>
      <c r="F45" s="12"/>
      <c r="G45" s="6"/>
      <c r="H45" s="6"/>
      <c r="I45" s="6"/>
      <c r="J45" s="6"/>
      <c r="K45" s="6"/>
      <c r="L45" s="6"/>
      <c r="M45" s="6"/>
      <c r="N45" s="6"/>
      <c r="O45" s="6"/>
      <c r="P45" s="6"/>
      <c r="Q45" s="6"/>
      <c r="R45" s="6"/>
      <c r="S45" s="6"/>
      <c r="T45" s="6"/>
      <c r="U45" s="6"/>
      <c r="V45" s="6"/>
      <c r="W45" s="143" t="s">
        <v>769</v>
      </c>
      <c r="X45" s="89" t="s">
        <v>768</v>
      </c>
      <c r="Y45" s="387">
        <f>SUM(G44:Y44)</f>
        <v>2203.3604154667778</v>
      </c>
      <c r="Z45" s="6">
        <f>AVERAGE(G44:Y44)</f>
        <v>115.96633765614619</v>
      </c>
      <c r="AA45" s="6"/>
      <c r="AB45" s="6"/>
      <c r="AC45" s="6"/>
    </row>
    <row r="46" spans="1:29">
      <c r="A46" t="s">
        <v>323</v>
      </c>
      <c r="C46" s="4">
        <f>C37+C42</f>
        <v>3.0622703373798781</v>
      </c>
      <c r="D46" s="4">
        <f t="shared" ref="D46:E46" si="29">D37+D42</f>
        <v>42.163835557824498</v>
      </c>
      <c r="E46" s="4">
        <f t="shared" si="29"/>
        <v>13.584495145755472</v>
      </c>
      <c r="F46" s="11"/>
      <c r="G46" s="4">
        <f>G37+G42</f>
        <v>37.547310548118205</v>
      </c>
      <c r="H46" s="4">
        <f t="shared" ref="H46:Y46" si="30">H37+H42</f>
        <v>21.307332873008097</v>
      </c>
      <c r="I46" s="4">
        <f t="shared" si="30"/>
        <v>71.759546099968716</v>
      </c>
      <c r="J46" s="4">
        <f t="shared" si="30"/>
        <v>85.22971692785184</v>
      </c>
      <c r="K46" s="4">
        <f t="shared" si="30"/>
        <v>53.924874578863005</v>
      </c>
      <c r="L46" s="4">
        <f t="shared" si="30"/>
        <v>97.650298331798311</v>
      </c>
      <c r="M46" s="4">
        <f t="shared" si="30"/>
        <v>114.88802383851329</v>
      </c>
      <c r="N46" s="4">
        <f t="shared" si="30"/>
        <v>114.11685231601146</v>
      </c>
      <c r="O46" s="4">
        <f t="shared" si="30"/>
        <v>108.55836973282184</v>
      </c>
      <c r="P46" s="4">
        <f t="shared" si="30"/>
        <v>128.66737904818606</v>
      </c>
      <c r="Q46" s="4">
        <f t="shared" si="30"/>
        <v>126.31854146341462</v>
      </c>
      <c r="R46" s="4">
        <f t="shared" si="30"/>
        <v>97.719603187252901</v>
      </c>
      <c r="S46" s="4">
        <f t="shared" si="30"/>
        <v>67.897939323647918</v>
      </c>
      <c r="T46" s="4">
        <f t="shared" si="30"/>
        <v>74.447946639733814</v>
      </c>
      <c r="U46" s="4">
        <f t="shared" si="30"/>
        <v>52.913392909090909</v>
      </c>
      <c r="V46" s="4">
        <f t="shared" si="30"/>
        <v>49.84771038327181</v>
      </c>
      <c r="W46" s="4">
        <f t="shared" si="30"/>
        <v>62.88761317035906</v>
      </c>
      <c r="X46" s="4">
        <f t="shared" si="30"/>
        <v>63.62702501413284</v>
      </c>
      <c r="Y46" s="4">
        <f t="shared" si="30"/>
        <v>49.328000000000003</v>
      </c>
      <c r="Z46" s="4">
        <f t="shared" ref="Z46:AC46" si="31">Z37+Z42</f>
        <v>15.022887452102678</v>
      </c>
      <c r="AA46" s="4">
        <f t="shared" si="31"/>
        <v>14.704120640771979</v>
      </c>
      <c r="AB46" s="4">
        <f t="shared" si="31"/>
        <v>14.392670389687659</v>
      </c>
      <c r="AC46" s="4">
        <f t="shared" si="31"/>
        <v>14.085230441703709</v>
      </c>
    </row>
    <row r="47" spans="1:29">
      <c r="F47" s="11"/>
    </row>
    <row r="48" spans="1:29" ht="19">
      <c r="A48" s="1" t="s">
        <v>767</v>
      </c>
      <c r="B48" s="1"/>
      <c r="C48" s="3">
        <v>1990</v>
      </c>
      <c r="D48" s="3">
        <v>1991</v>
      </c>
      <c r="E48" s="3">
        <v>1992</v>
      </c>
      <c r="G48" s="3">
        <v>2001</v>
      </c>
      <c r="H48" s="3">
        <v>2002</v>
      </c>
      <c r="I48" s="3">
        <v>2003</v>
      </c>
      <c r="J48" s="3">
        <v>2004</v>
      </c>
      <c r="K48" s="3">
        <v>2005</v>
      </c>
      <c r="L48" s="3">
        <v>2006</v>
      </c>
      <c r="M48" s="3">
        <v>2007</v>
      </c>
      <c r="N48" s="3">
        <v>2008</v>
      </c>
      <c r="O48" s="3">
        <v>2009</v>
      </c>
      <c r="P48" s="3">
        <v>2010</v>
      </c>
      <c r="Q48" s="3">
        <v>2011</v>
      </c>
      <c r="R48" s="3">
        <v>2012</v>
      </c>
      <c r="S48" s="3">
        <v>2013</v>
      </c>
      <c r="T48" s="3">
        <v>2014</v>
      </c>
      <c r="U48" s="3">
        <v>2015</v>
      </c>
      <c r="V48" s="3">
        <v>2016</v>
      </c>
      <c r="W48" s="3">
        <v>2017</v>
      </c>
      <c r="X48" s="3">
        <v>2018</v>
      </c>
      <c r="Y48" s="3">
        <v>2019</v>
      </c>
      <c r="Z48" s="3">
        <v>2020</v>
      </c>
      <c r="AA48" s="3">
        <v>2021</v>
      </c>
      <c r="AB48" s="3">
        <v>2022</v>
      </c>
      <c r="AC48" s="3">
        <v>2023</v>
      </c>
    </row>
    <row r="49" spans="1:29" ht="17" thickBot="1">
      <c r="A49" t="s">
        <v>758</v>
      </c>
      <c r="C49">
        <f>C26/C34</f>
        <v>519.23735334604567</v>
      </c>
      <c r="D49">
        <f>D26/D34</f>
        <v>472.70319810673334</v>
      </c>
      <c r="E49">
        <f>E26/E34</f>
        <v>470.88517525467165</v>
      </c>
      <c r="G49" s="391">
        <f t="shared" ref="G49:AC49" si="32">G26/G34</f>
        <v>449.68926226104384</v>
      </c>
      <c r="H49" s="268">
        <f t="shared" si="32"/>
        <v>478.8670313780828</v>
      </c>
      <c r="I49" s="268">
        <f t="shared" si="32"/>
        <v>595.17667977858105</v>
      </c>
      <c r="J49" s="268">
        <f t="shared" si="32"/>
        <v>624.86005447746015</v>
      </c>
      <c r="K49" s="268">
        <f t="shared" si="32"/>
        <v>622.39005490689362</v>
      </c>
      <c r="L49" s="268">
        <f t="shared" si="32"/>
        <v>668.27838527948029</v>
      </c>
      <c r="M49" s="268">
        <f t="shared" si="32"/>
        <v>730.35438275470028</v>
      </c>
      <c r="N49" s="268">
        <f t="shared" si="32"/>
        <v>800.19382714456049</v>
      </c>
      <c r="O49" s="268">
        <f t="shared" si="32"/>
        <v>780.43643737040861</v>
      </c>
      <c r="P49" s="268">
        <f t="shared" si="32"/>
        <v>809.91713191144197</v>
      </c>
      <c r="Q49" s="268">
        <f t="shared" si="32"/>
        <v>788.21405180155205</v>
      </c>
      <c r="R49" s="268">
        <f t="shared" si="32"/>
        <v>734.35983182955488</v>
      </c>
      <c r="S49" s="268">
        <f t="shared" si="32"/>
        <v>644.99846901054639</v>
      </c>
      <c r="T49" s="268">
        <f t="shared" si="32"/>
        <v>644.72060313924612</v>
      </c>
      <c r="U49" s="268">
        <f t="shared" si="32"/>
        <v>610.41757496103901</v>
      </c>
      <c r="V49" s="268">
        <f t="shared" si="32"/>
        <v>629.7151519469902</v>
      </c>
      <c r="W49" s="268">
        <f t="shared" si="32"/>
        <v>650.81347783439082</v>
      </c>
      <c r="X49" s="268">
        <f t="shared" si="32"/>
        <v>630.8079108304197</v>
      </c>
      <c r="Y49" s="268">
        <f t="shared" si="32"/>
        <v>695.06600000000003</v>
      </c>
      <c r="Z49" s="268">
        <f t="shared" si="32"/>
        <v>695.51395144554829</v>
      </c>
      <c r="AA49" s="268">
        <f t="shared" si="32"/>
        <v>692.89585714311988</v>
      </c>
      <c r="AB49" s="268">
        <f t="shared" si="32"/>
        <v>691.09589139702643</v>
      </c>
      <c r="AC49" s="268">
        <f t="shared" si="32"/>
        <v>689.41321540011154</v>
      </c>
    </row>
    <row r="50" spans="1:29" ht="17" thickBot="1">
      <c r="A50" t="s">
        <v>783</v>
      </c>
      <c r="C50" s="9">
        <f>C49-C44</f>
        <v>515.64343885287064</v>
      </c>
      <c r="D50" s="9">
        <f>D49-D44</f>
        <v>411.36138060057988</v>
      </c>
      <c r="E50" s="9">
        <f>E49-E44</f>
        <v>449.84190356860654</v>
      </c>
      <c r="G50" s="390">
        <f t="shared" ref="G50:AC50" si="33">G49-G44</f>
        <v>409.18135803129792</v>
      </c>
      <c r="H50" s="9">
        <f t="shared" si="33"/>
        <v>455.49394433941666</v>
      </c>
      <c r="I50" s="9">
        <f t="shared" si="33"/>
        <v>496.56763030692753</v>
      </c>
      <c r="J50" s="390">
        <f t="shared" si="33"/>
        <v>504.01945278823655</v>
      </c>
      <c r="K50" s="9">
        <f t="shared" si="33"/>
        <v>520.98525879886552</v>
      </c>
      <c r="L50" s="9">
        <f t="shared" si="33"/>
        <v>513.91320625715002</v>
      </c>
      <c r="M50" s="9">
        <f t="shared" si="33"/>
        <v>524.90909025281394</v>
      </c>
      <c r="N50" s="9">
        <f t="shared" si="33"/>
        <v>578.12179332069229</v>
      </c>
      <c r="O50" s="9">
        <f t="shared" si="33"/>
        <v>600.60195513599149</v>
      </c>
      <c r="P50" s="9">
        <f t="shared" si="33"/>
        <v>620.09787939572107</v>
      </c>
      <c r="Q50" s="9">
        <f t="shared" si="33"/>
        <v>607.02937408536582</v>
      </c>
      <c r="R50" s="9">
        <f t="shared" si="33"/>
        <v>605.41087614741116</v>
      </c>
      <c r="S50" s="9">
        <f t="shared" si="33"/>
        <v>554.55052435975699</v>
      </c>
      <c r="T50" s="9">
        <f t="shared" si="33"/>
        <v>552.56432194220963</v>
      </c>
      <c r="U50" s="9">
        <f t="shared" si="33"/>
        <v>542.94960389610401</v>
      </c>
      <c r="V50" s="9">
        <f t="shared" si="33"/>
        <v>567.41000646676866</v>
      </c>
      <c r="W50" s="9">
        <f t="shared" si="33"/>
        <v>565.0864570219552</v>
      </c>
      <c r="X50" s="9">
        <f t="shared" si="33"/>
        <v>540.95717060292998</v>
      </c>
      <c r="Y50" s="9">
        <f t="shared" si="33"/>
        <v>626.06600000000003</v>
      </c>
      <c r="Z50" s="9">
        <f t="shared" si="33"/>
        <v>675.92611983709571</v>
      </c>
      <c r="AA50" s="9">
        <f t="shared" si="33"/>
        <v>673.72365472996125</v>
      </c>
      <c r="AB50" s="9">
        <f t="shared" si="33"/>
        <v>672.32977836529335</v>
      </c>
      <c r="AC50" s="9">
        <f t="shared" si="33"/>
        <v>671.04796285209181</v>
      </c>
    </row>
    <row r="51" spans="1:29" ht="17" thickBot="1">
      <c r="A51" t="s">
        <v>782</v>
      </c>
      <c r="B51" s="89"/>
      <c r="C51" s="89">
        <f t="shared" ref="C51:E51" si="34">C44/C49</f>
        <v>6.9215253294379843E-3</v>
      </c>
      <c r="D51" s="89">
        <f t="shared" si="34"/>
        <v>0.12976814574523549</v>
      </c>
      <c r="E51" s="89">
        <f t="shared" si="34"/>
        <v>4.468875384468024E-2</v>
      </c>
      <c r="F51" s="89"/>
      <c r="G51" s="389">
        <f>G44/G49</f>
        <v>9.0079767584557408E-2</v>
      </c>
      <c r="H51" s="89">
        <f t="shared" ref="H51:AC51" si="35">H44/H49</f>
        <v>4.8809138042773814E-2</v>
      </c>
      <c r="I51" s="89">
        <f t="shared" si="35"/>
        <v>0.16568029766948913</v>
      </c>
      <c r="J51" s="389">
        <f t="shared" si="35"/>
        <v>0.19338826481759447</v>
      </c>
      <c r="K51" s="89">
        <f t="shared" si="35"/>
        <v>0.16292804698365201</v>
      </c>
      <c r="L51" s="89">
        <f t="shared" si="35"/>
        <v>0.23098933382047562</v>
      </c>
      <c r="M51" s="388">
        <f t="shared" si="35"/>
        <v>0.28129535106916442</v>
      </c>
      <c r="N51" s="388">
        <f t="shared" si="35"/>
        <v>0.27752280296427406</v>
      </c>
      <c r="O51" s="89">
        <f t="shared" si="35"/>
        <v>0.23042809590022328</v>
      </c>
      <c r="P51" s="89">
        <f t="shared" si="35"/>
        <v>0.23436873358603827</v>
      </c>
      <c r="Q51" s="89">
        <f t="shared" si="35"/>
        <v>0.2298673530395306</v>
      </c>
      <c r="R51" s="89">
        <f t="shared" si="35"/>
        <v>0.17559369411707262</v>
      </c>
      <c r="S51" s="89">
        <f t="shared" si="35"/>
        <v>0.14022970440463237</v>
      </c>
      <c r="T51" s="89">
        <f t="shared" si="35"/>
        <v>0.14293987309900294</v>
      </c>
      <c r="U51" s="89">
        <f t="shared" si="35"/>
        <v>0.11052756970380698</v>
      </c>
      <c r="V51" s="89">
        <f t="shared" si="35"/>
        <v>9.8941791836488033E-2</v>
      </c>
      <c r="W51" s="89">
        <f t="shared" si="35"/>
        <v>0.13172287257740256</v>
      </c>
      <c r="X51" s="89">
        <f t="shared" si="35"/>
        <v>0.14243756091962567</v>
      </c>
      <c r="Y51" s="89">
        <f t="shared" si="35"/>
        <v>9.9271148351379596E-2</v>
      </c>
      <c r="Z51" s="89">
        <f t="shared" si="35"/>
        <v>2.8163103799343517E-2</v>
      </c>
      <c r="AA51" s="89">
        <f t="shared" si="35"/>
        <v>2.7669673899058264E-2</v>
      </c>
      <c r="AB51" s="89">
        <f t="shared" si="35"/>
        <v>2.7154137747509969E-2</v>
      </c>
      <c r="AC51" s="89">
        <f t="shared" si="35"/>
        <v>2.6638962146034791E-2</v>
      </c>
    </row>
    <row r="52" spans="1:29" ht="17" thickBot="1">
      <c r="W52" s="363"/>
    </row>
    <row r="53" spans="1:29" ht="17" thickBot="1">
      <c r="G53" s="89"/>
      <c r="H53" s="89"/>
      <c r="I53" s="89"/>
      <c r="J53" s="389">
        <f>J50/G50-1</f>
        <v>0.23177520895193027</v>
      </c>
      <c r="K53" s="89"/>
      <c r="L53" s="89"/>
      <c r="M53" s="89"/>
      <c r="N53" s="89"/>
      <c r="O53" s="89"/>
      <c r="P53" s="89"/>
      <c r="Q53" s="89"/>
      <c r="R53" s="89"/>
      <c r="S53" s="89"/>
      <c r="T53" s="89"/>
      <c r="U53" s="89"/>
      <c r="V53" s="89"/>
      <c r="W53" s="143" t="s">
        <v>769</v>
      </c>
      <c r="X53" t="s">
        <v>9</v>
      </c>
      <c r="Y53" s="387">
        <f>SUM(G49:Y49)</f>
        <v>12589.27631861639</v>
      </c>
      <c r="AA53" s="89"/>
      <c r="AB53" s="89"/>
      <c r="AC53" s="89"/>
    </row>
    <row r="54" spans="1:29" ht="17" thickBot="1">
      <c r="X54" s="143" t="s">
        <v>781</v>
      </c>
      <c r="Y54" s="362">
        <f>Y45/Y53</f>
        <v>0.17501883028880372</v>
      </c>
    </row>
    <row r="59" spans="1:29">
      <c r="A59" t="s">
        <v>766</v>
      </c>
      <c r="C59">
        <v>0</v>
      </c>
      <c r="D59">
        <v>0</v>
      </c>
      <c r="E59">
        <v>0</v>
      </c>
      <c r="F59" s="11"/>
      <c r="G59">
        <v>0</v>
      </c>
      <c r="H59">
        <v>5200</v>
      </c>
      <c r="I59">
        <v>78100</v>
      </c>
      <c r="J59">
        <v>145800</v>
      </c>
      <c r="K59">
        <v>161000</v>
      </c>
      <c r="L59">
        <v>159100</v>
      </c>
      <c r="M59">
        <v>181500</v>
      </c>
      <c r="N59">
        <v>186600</v>
      </c>
      <c r="O59">
        <v>184000</v>
      </c>
      <c r="P59">
        <v>175800</v>
      </c>
      <c r="Q59">
        <v>144900</v>
      </c>
      <c r="R59">
        <v>95800</v>
      </c>
      <c r="S59">
        <v>63400</v>
      </c>
      <c r="T59">
        <v>37200</v>
      </c>
      <c r="U59">
        <v>11740</v>
      </c>
    </row>
  </sheetData>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AX340"/>
  <sheetViews>
    <sheetView topLeftCell="AK25" workbookViewId="0">
      <selection activeCell="AW41" sqref="AW41"/>
    </sheetView>
  </sheetViews>
  <sheetFormatPr baseColWidth="10" defaultRowHeight="16"/>
  <cols>
    <col min="1" max="1" width="20.1640625" style="251" bestFit="1" customWidth="1"/>
    <col min="2" max="2" width="23.6640625" style="251" bestFit="1" customWidth="1"/>
    <col min="3" max="7" width="6.1640625" style="251" bestFit="1" customWidth="1"/>
    <col min="8" max="14" width="7.1640625" style="251" bestFit="1" customWidth="1"/>
    <col min="15" max="25" width="6.1640625" style="251" bestFit="1" customWidth="1"/>
    <col min="26" max="26" width="25.33203125" style="251" bestFit="1" customWidth="1"/>
    <col min="27" max="27" width="9.1640625" style="251" bestFit="1" customWidth="1"/>
    <col min="28" max="28" width="26" style="251" bestFit="1" customWidth="1"/>
    <col min="29" max="29" width="15.5" style="251" bestFit="1" customWidth="1"/>
    <col min="30" max="30" width="7.1640625" style="251" bestFit="1" customWidth="1"/>
    <col min="31" max="31" width="11.5" style="251" bestFit="1" customWidth="1"/>
    <col min="32" max="32" width="6.33203125" style="251" bestFit="1" customWidth="1"/>
    <col min="33" max="33" width="17.83203125" style="251" bestFit="1" customWidth="1"/>
    <col min="34" max="34" width="12.6640625" style="251" bestFit="1" customWidth="1"/>
    <col min="35" max="35" width="20.1640625" style="251" bestFit="1" customWidth="1"/>
    <col min="36" max="36" width="7.1640625" style="251" bestFit="1" customWidth="1"/>
    <col min="37" max="37" width="10.83203125" style="251"/>
    <col min="38" max="38" width="5.83203125" style="251" bestFit="1" customWidth="1"/>
    <col min="39" max="39" width="25.33203125" style="251" bestFit="1" customWidth="1"/>
    <col min="40" max="40" width="9.1640625" style="251" bestFit="1" customWidth="1"/>
    <col min="41" max="41" width="26" style="251" bestFit="1" customWidth="1"/>
    <col min="42" max="42" width="15.5" style="251" bestFit="1" customWidth="1"/>
    <col min="43" max="43" width="6.6640625" style="251" bestFit="1" customWidth="1"/>
    <col min="44" max="44" width="11.5" style="251" bestFit="1" customWidth="1"/>
    <col min="45" max="45" width="6.33203125" style="251" bestFit="1" customWidth="1"/>
    <col min="46" max="46" width="17.83203125" style="251" bestFit="1" customWidth="1"/>
    <col min="47" max="47" width="12.6640625" style="251" bestFit="1" customWidth="1"/>
    <col min="48" max="48" width="20.1640625" style="251" bestFit="1" customWidth="1"/>
    <col min="49" max="49" width="6.6640625" style="251" bestFit="1" customWidth="1"/>
    <col min="50" max="50" width="100.6640625" style="251" bestFit="1" customWidth="1"/>
    <col min="51" max="16384" width="10.83203125" style="251"/>
  </cols>
  <sheetData>
    <row r="1" spans="1:25" s="240" customFormat="1" ht="15">
      <c r="A1" s="239" t="s">
        <v>336</v>
      </c>
      <c r="B1" s="239" t="s">
        <v>687</v>
      </c>
      <c r="C1" s="239">
        <v>2001</v>
      </c>
      <c r="D1" s="239">
        <v>2002</v>
      </c>
      <c r="E1" s="239">
        <v>2003</v>
      </c>
      <c r="F1" s="239">
        <v>2004</v>
      </c>
      <c r="G1" s="239">
        <v>2005</v>
      </c>
      <c r="H1" s="239">
        <v>2006</v>
      </c>
      <c r="I1" s="239">
        <v>2007</v>
      </c>
      <c r="J1" s="239">
        <v>2008</v>
      </c>
      <c r="K1" s="239">
        <v>2009</v>
      </c>
      <c r="L1" s="239">
        <v>2010</v>
      </c>
      <c r="M1" s="239">
        <v>2011</v>
      </c>
      <c r="N1" s="239">
        <v>2012</v>
      </c>
      <c r="O1" s="239">
        <v>2013</v>
      </c>
      <c r="P1" s="239">
        <v>2014</v>
      </c>
      <c r="Q1" s="239">
        <v>2015</v>
      </c>
      <c r="R1" s="239">
        <v>2016</v>
      </c>
      <c r="S1" s="239">
        <v>2017</v>
      </c>
      <c r="T1" s="239">
        <v>2018</v>
      </c>
      <c r="U1" s="239">
        <v>2019</v>
      </c>
      <c r="V1" s="239">
        <v>2020</v>
      </c>
      <c r="W1" s="239">
        <v>2021</v>
      </c>
      <c r="X1" s="239">
        <v>2022</v>
      </c>
      <c r="Y1" s="239">
        <v>2023</v>
      </c>
    </row>
    <row r="2" spans="1:25" s="240" customFormat="1" ht="15">
      <c r="A2" s="403" t="s">
        <v>2</v>
      </c>
      <c r="B2" s="239" t="s">
        <v>14</v>
      </c>
      <c r="C2" s="240">
        <v>140</v>
      </c>
      <c r="D2" s="240">
        <v>206</v>
      </c>
      <c r="E2" s="240">
        <v>3363</v>
      </c>
      <c r="F2" s="240">
        <v>3450</v>
      </c>
      <c r="G2" s="240">
        <v>1600</v>
      </c>
      <c r="H2" s="240">
        <v>1850</v>
      </c>
      <c r="I2" s="240">
        <v>1626</v>
      </c>
      <c r="J2" s="240">
        <v>1503</v>
      </c>
      <c r="K2" s="240">
        <v>1636</v>
      </c>
      <c r="L2" s="240">
        <v>1792</v>
      </c>
      <c r="M2" s="240">
        <v>1805</v>
      </c>
      <c r="N2" s="240">
        <v>1493</v>
      </c>
      <c r="O2" s="240">
        <v>900</v>
      </c>
      <c r="P2" s="240">
        <v>784</v>
      </c>
      <c r="Q2" s="240">
        <v>756</v>
      </c>
      <c r="R2" s="240">
        <v>778</v>
      </c>
      <c r="S2" s="240">
        <v>915</v>
      </c>
      <c r="T2" s="241">
        <v>915</v>
      </c>
      <c r="U2" s="241">
        <v>991</v>
      </c>
      <c r="V2" s="241"/>
      <c r="W2" s="241"/>
      <c r="X2" s="241"/>
      <c r="Y2" s="241"/>
    </row>
    <row r="3" spans="1:25" s="240" customFormat="1" ht="15">
      <c r="A3" s="403"/>
      <c r="B3" s="239" t="s">
        <v>12</v>
      </c>
      <c r="C3" s="240">
        <v>222</v>
      </c>
      <c r="D3" s="240">
        <v>0</v>
      </c>
      <c r="E3" s="240">
        <v>8574</v>
      </c>
      <c r="F3" s="240">
        <v>13775</v>
      </c>
      <c r="G3" s="240">
        <v>13940</v>
      </c>
      <c r="H3" s="240">
        <v>12156</v>
      </c>
      <c r="I3" s="240">
        <v>14276</v>
      </c>
      <c r="J3" s="240">
        <v>14673</v>
      </c>
      <c r="K3" s="240">
        <v>14934</v>
      </c>
      <c r="L3" s="240">
        <v>12546</v>
      </c>
      <c r="M3" s="240">
        <v>11672</v>
      </c>
      <c r="N3" s="240">
        <v>7827</v>
      </c>
      <c r="O3" s="240">
        <v>8925</v>
      </c>
      <c r="P3" s="240">
        <v>5632</v>
      </c>
      <c r="Q3" s="240">
        <v>3302</v>
      </c>
      <c r="R3" s="240">
        <v>1964</v>
      </c>
      <c r="S3" s="240">
        <v>2349</v>
      </c>
      <c r="T3" s="241">
        <v>2385</v>
      </c>
      <c r="U3" s="241">
        <v>3161</v>
      </c>
      <c r="V3" s="241"/>
      <c r="W3" s="241"/>
      <c r="X3" s="241"/>
      <c r="Y3" s="241"/>
    </row>
    <row r="4" spans="1:25" s="240" customFormat="1" ht="15">
      <c r="A4" s="403"/>
      <c r="B4" s="239" t="s">
        <v>15</v>
      </c>
      <c r="C4" s="240">
        <v>0</v>
      </c>
      <c r="D4" s="240">
        <v>0</v>
      </c>
      <c r="E4" s="240">
        <v>0</v>
      </c>
      <c r="F4" s="240">
        <v>0</v>
      </c>
      <c r="G4" s="240">
        <v>0</v>
      </c>
      <c r="H4" s="240">
        <v>0</v>
      </c>
      <c r="I4" s="240">
        <v>0</v>
      </c>
      <c r="J4" s="240">
        <v>0</v>
      </c>
      <c r="K4" s="240">
        <v>0</v>
      </c>
      <c r="L4" s="240">
        <v>0</v>
      </c>
      <c r="M4" s="240">
        <v>0</v>
      </c>
      <c r="N4" s="240">
        <v>0</v>
      </c>
      <c r="O4" s="240">
        <v>0</v>
      </c>
      <c r="P4" s="240">
        <v>0</v>
      </c>
      <c r="Q4" s="240">
        <v>0</v>
      </c>
      <c r="R4" s="240">
        <v>0</v>
      </c>
      <c r="S4" s="240">
        <v>0</v>
      </c>
      <c r="T4" s="241">
        <v>0</v>
      </c>
      <c r="U4" s="241">
        <v>0</v>
      </c>
      <c r="V4" s="241"/>
      <c r="W4" s="241"/>
      <c r="X4" s="241"/>
      <c r="Y4" s="241"/>
    </row>
    <row r="5" spans="1:25" s="240" customFormat="1" ht="15">
      <c r="A5" s="403"/>
      <c r="B5" s="239" t="s">
        <v>13</v>
      </c>
      <c r="C5" s="240">
        <v>153</v>
      </c>
      <c r="D5" s="240">
        <v>0</v>
      </c>
      <c r="E5" s="240">
        <v>3082</v>
      </c>
      <c r="F5" s="240">
        <v>1839</v>
      </c>
      <c r="G5" s="240">
        <v>1907</v>
      </c>
      <c r="H5" s="240">
        <v>3031</v>
      </c>
      <c r="I5" s="240">
        <v>2992</v>
      </c>
      <c r="J5" s="240">
        <v>2962</v>
      </c>
      <c r="K5" s="240">
        <v>3351</v>
      </c>
      <c r="L5" s="240">
        <v>2532</v>
      </c>
      <c r="M5" s="240">
        <v>2162</v>
      </c>
      <c r="N5" s="240">
        <v>1974</v>
      </c>
      <c r="O5" s="240">
        <v>2298</v>
      </c>
      <c r="P5" s="240">
        <v>1393</v>
      </c>
      <c r="Q5" s="240">
        <v>717</v>
      </c>
      <c r="R5" s="240">
        <v>438</v>
      </c>
      <c r="S5" s="240">
        <v>488</v>
      </c>
      <c r="T5" s="241">
        <v>539</v>
      </c>
      <c r="U5" s="241">
        <v>508</v>
      </c>
      <c r="V5" s="241"/>
      <c r="W5" s="241"/>
      <c r="X5" s="241"/>
      <c r="Y5" s="241"/>
    </row>
    <row r="6" spans="1:25" s="240" customFormat="1" ht="15">
      <c r="A6" s="403"/>
      <c r="B6" s="242" t="s">
        <v>10</v>
      </c>
      <c r="C6" s="243">
        <v>515</v>
      </c>
      <c r="D6" s="243">
        <v>206</v>
      </c>
      <c r="E6" s="243">
        <v>15019</v>
      </c>
      <c r="F6" s="243">
        <v>19064</v>
      </c>
      <c r="G6" s="243">
        <v>17447</v>
      </c>
      <c r="H6" s="243">
        <v>17037</v>
      </c>
      <c r="I6" s="243">
        <v>18894</v>
      </c>
      <c r="J6" s="243">
        <v>19138</v>
      </c>
      <c r="K6" s="243">
        <v>19920</v>
      </c>
      <c r="L6" s="243">
        <v>16869</v>
      </c>
      <c r="M6" s="243">
        <v>15640</v>
      </c>
      <c r="N6" s="243">
        <v>11293</v>
      </c>
      <c r="O6" s="243">
        <v>12123</v>
      </c>
      <c r="P6" s="243">
        <v>7810</v>
      </c>
      <c r="Q6" s="243">
        <v>4775</v>
      </c>
      <c r="R6" s="243">
        <v>3180</v>
      </c>
      <c r="S6" s="243">
        <v>3752</v>
      </c>
      <c r="T6" s="244">
        <v>3839</v>
      </c>
      <c r="U6" s="244">
        <v>4661</v>
      </c>
      <c r="V6" s="244">
        <f>U6</f>
        <v>4661</v>
      </c>
      <c r="W6" s="244">
        <f>V6</f>
        <v>4661</v>
      </c>
      <c r="X6" s="244">
        <f t="shared" ref="X6:Y6" si="0">W6</f>
        <v>4661</v>
      </c>
      <c r="Y6" s="244">
        <f t="shared" si="0"/>
        <v>4661</v>
      </c>
    </row>
    <row r="7" spans="1:25" s="240" customFormat="1" ht="15">
      <c r="A7" s="403" t="s">
        <v>3</v>
      </c>
      <c r="B7" s="239" t="s">
        <v>14</v>
      </c>
      <c r="C7" s="240">
        <v>971</v>
      </c>
      <c r="D7" s="240">
        <v>41</v>
      </c>
      <c r="E7" s="240">
        <v>8887</v>
      </c>
      <c r="F7" s="240">
        <v>6271</v>
      </c>
      <c r="G7" s="240">
        <v>5827</v>
      </c>
      <c r="H7" s="240">
        <v>8674</v>
      </c>
      <c r="I7" s="240">
        <v>9653</v>
      </c>
      <c r="J7" s="240">
        <v>11268</v>
      </c>
      <c r="K7" s="240">
        <v>10876</v>
      </c>
      <c r="L7" s="240">
        <v>13778</v>
      </c>
      <c r="M7" s="240">
        <v>13538</v>
      </c>
      <c r="N7" s="240">
        <v>10595</v>
      </c>
      <c r="O7" s="240">
        <v>9522</v>
      </c>
      <c r="P7" s="240">
        <v>12795</v>
      </c>
      <c r="Q7" s="240">
        <v>10531</v>
      </c>
      <c r="R7" s="240">
        <v>11336</v>
      </c>
      <c r="S7" s="240">
        <v>12859</v>
      </c>
      <c r="T7" s="241">
        <v>12786</v>
      </c>
      <c r="U7" s="241">
        <v>9362</v>
      </c>
      <c r="V7" s="241"/>
      <c r="W7" s="241"/>
      <c r="X7" s="241"/>
      <c r="Y7" s="241"/>
    </row>
    <row r="8" spans="1:25" s="240" customFormat="1" ht="15">
      <c r="A8" s="403"/>
      <c r="B8" s="239" t="s">
        <v>12</v>
      </c>
      <c r="C8" s="240">
        <v>865</v>
      </c>
      <c r="D8" s="240">
        <v>107</v>
      </c>
      <c r="E8" s="240">
        <v>17418</v>
      </c>
      <c r="F8" s="240">
        <v>38677</v>
      </c>
      <c r="G8" s="240">
        <v>24334</v>
      </c>
      <c r="H8" s="240">
        <v>44791</v>
      </c>
      <c r="I8" s="240">
        <v>64400</v>
      </c>
      <c r="J8" s="240">
        <v>59381</v>
      </c>
      <c r="K8" s="240">
        <v>60183</v>
      </c>
      <c r="L8" s="240">
        <v>71017</v>
      </c>
      <c r="M8" s="240">
        <v>72085</v>
      </c>
      <c r="N8" s="240">
        <v>54436</v>
      </c>
      <c r="O8" s="240">
        <v>34473</v>
      </c>
      <c r="P8" s="240">
        <v>35895</v>
      </c>
      <c r="Q8" s="240">
        <v>23328</v>
      </c>
      <c r="R8" s="240">
        <v>19454</v>
      </c>
      <c r="S8" s="240">
        <v>26171</v>
      </c>
      <c r="T8" s="241">
        <v>26266</v>
      </c>
      <c r="U8" s="241">
        <v>24963</v>
      </c>
      <c r="V8" s="241"/>
      <c r="W8" s="241"/>
      <c r="X8" s="241"/>
      <c r="Y8" s="241"/>
    </row>
    <row r="9" spans="1:25" s="240" customFormat="1" ht="15">
      <c r="A9" s="403"/>
      <c r="B9" s="239" t="s">
        <v>15</v>
      </c>
      <c r="C9" s="240">
        <v>23337</v>
      </c>
      <c r="D9" s="240">
        <v>15194</v>
      </c>
      <c r="E9" s="240">
        <v>19065</v>
      </c>
      <c r="F9" s="240">
        <v>11998</v>
      </c>
      <c r="G9" s="240">
        <v>5526</v>
      </c>
      <c r="H9" s="240">
        <v>12738</v>
      </c>
      <c r="I9" s="240">
        <v>9252</v>
      </c>
      <c r="J9" s="240">
        <v>11888</v>
      </c>
      <c r="K9" s="240">
        <v>10906</v>
      </c>
      <c r="L9" s="240">
        <v>10692</v>
      </c>
      <c r="M9" s="240">
        <v>11219</v>
      </c>
      <c r="N9" s="240">
        <v>10578</v>
      </c>
      <c r="O9" s="240">
        <v>9078</v>
      </c>
      <c r="P9" s="240">
        <v>7839</v>
      </c>
      <c r="Q9" s="240">
        <v>6634</v>
      </c>
      <c r="R9" s="240">
        <v>7726</v>
      </c>
      <c r="S9" s="240">
        <v>9238</v>
      </c>
      <c r="T9" s="241">
        <v>10416</v>
      </c>
      <c r="U9" s="241">
        <v>9080</v>
      </c>
      <c r="V9" s="241"/>
      <c r="W9" s="241"/>
      <c r="X9" s="241"/>
      <c r="Y9" s="241"/>
    </row>
    <row r="10" spans="1:25" s="240" customFormat="1" ht="15">
      <c r="A10" s="403"/>
      <c r="B10" s="239" t="s">
        <v>13</v>
      </c>
      <c r="C10" s="240">
        <v>1320</v>
      </c>
      <c r="D10" s="240">
        <v>37</v>
      </c>
      <c r="E10" s="240">
        <v>7415</v>
      </c>
      <c r="F10" s="240">
        <v>5197</v>
      </c>
      <c r="G10" s="240">
        <v>4693</v>
      </c>
      <c r="H10" s="240">
        <v>9087</v>
      </c>
      <c r="I10" s="240">
        <v>10310</v>
      </c>
      <c r="J10" s="240">
        <v>10813</v>
      </c>
      <c r="K10" s="240">
        <v>9609</v>
      </c>
      <c r="L10" s="240">
        <v>13483</v>
      </c>
      <c r="M10" s="240">
        <v>13377</v>
      </c>
      <c r="N10" s="240">
        <v>11167</v>
      </c>
      <c r="O10" s="240">
        <v>8512</v>
      </c>
      <c r="P10" s="240">
        <v>12262</v>
      </c>
      <c r="Q10" s="240">
        <v>8991</v>
      </c>
      <c r="R10" s="240">
        <v>8638</v>
      </c>
      <c r="S10" s="240">
        <v>11868</v>
      </c>
      <c r="T10" s="241">
        <v>12508</v>
      </c>
      <c r="U10" s="241">
        <v>5908</v>
      </c>
      <c r="V10" s="241"/>
      <c r="W10" s="241"/>
      <c r="X10" s="241"/>
      <c r="Y10" s="241"/>
    </row>
    <row r="11" spans="1:25" s="240" customFormat="1" ht="15">
      <c r="A11" s="403"/>
      <c r="B11" s="242" t="s">
        <v>10</v>
      </c>
      <c r="C11" s="243">
        <v>26493</v>
      </c>
      <c r="D11" s="243">
        <v>15379</v>
      </c>
      <c r="E11" s="243">
        <v>52785</v>
      </c>
      <c r="F11" s="243">
        <v>62143</v>
      </c>
      <c r="G11" s="243">
        <v>40380</v>
      </c>
      <c r="H11" s="243">
        <v>75290</v>
      </c>
      <c r="I11" s="243">
        <v>93615</v>
      </c>
      <c r="J11" s="243">
        <v>93349</v>
      </c>
      <c r="K11" s="243">
        <v>91573</v>
      </c>
      <c r="L11" s="243">
        <v>108971</v>
      </c>
      <c r="M11" s="243">
        <v>110219</v>
      </c>
      <c r="N11" s="243">
        <v>86776</v>
      </c>
      <c r="O11" s="243">
        <v>61586</v>
      </c>
      <c r="P11" s="243">
        <v>68792</v>
      </c>
      <c r="Q11" s="243">
        <v>49483</v>
      </c>
      <c r="R11" s="243">
        <v>47154</v>
      </c>
      <c r="S11" s="243">
        <v>60135</v>
      </c>
      <c r="T11" s="244">
        <v>61974</v>
      </c>
      <c r="U11" s="244">
        <v>49313</v>
      </c>
      <c r="V11" s="244">
        <f>20000-V6</f>
        <v>15339</v>
      </c>
      <c r="W11" s="244">
        <f t="shared" ref="W11:Y11" si="1">20000-W6</f>
        <v>15339</v>
      </c>
      <c r="X11" s="244">
        <f t="shared" si="1"/>
        <v>15339</v>
      </c>
      <c r="Y11" s="244">
        <f t="shared" si="1"/>
        <v>15339</v>
      </c>
    </row>
    <row r="12" spans="1:25" s="240" customFormat="1" ht="15">
      <c r="A12" s="403" t="s">
        <v>4</v>
      </c>
      <c r="B12" s="239" t="s">
        <v>14</v>
      </c>
      <c r="C12" s="240">
        <v>1035</v>
      </c>
      <c r="D12" s="240">
        <v>832</v>
      </c>
      <c r="E12" s="240">
        <v>2500</v>
      </c>
      <c r="F12" s="240">
        <v>3624</v>
      </c>
      <c r="G12" s="240">
        <v>2873</v>
      </c>
      <c r="H12" s="240">
        <v>2386</v>
      </c>
      <c r="I12" s="240">
        <v>7945</v>
      </c>
      <c r="J12" s="240">
        <v>8679</v>
      </c>
      <c r="K12" s="240">
        <v>8243</v>
      </c>
      <c r="L12" s="240">
        <v>4556</v>
      </c>
      <c r="M12" s="240">
        <v>5512</v>
      </c>
      <c r="N12" s="240">
        <v>4472</v>
      </c>
      <c r="O12" s="240">
        <v>2611</v>
      </c>
      <c r="P12" s="240">
        <v>3131</v>
      </c>
      <c r="Q12" s="240">
        <v>4484</v>
      </c>
      <c r="R12" s="240">
        <v>4247</v>
      </c>
      <c r="S12" s="240">
        <v>7604</v>
      </c>
      <c r="T12" s="241">
        <v>7802</v>
      </c>
      <c r="U12" s="241">
        <v>6660</v>
      </c>
      <c r="V12" s="241"/>
      <c r="W12" s="241"/>
      <c r="X12" s="241"/>
      <c r="Y12" s="241"/>
    </row>
    <row r="13" spans="1:25" s="240" customFormat="1" ht="15">
      <c r="A13" s="403"/>
      <c r="B13" s="239" t="s">
        <v>12</v>
      </c>
      <c r="C13" s="240">
        <v>7</v>
      </c>
      <c r="D13" s="240">
        <v>57</v>
      </c>
      <c r="E13" s="240">
        <v>750</v>
      </c>
      <c r="F13" s="240">
        <v>2160</v>
      </c>
      <c r="G13" s="240">
        <v>10101</v>
      </c>
      <c r="H13" s="240">
        <v>13609</v>
      </c>
      <c r="I13" s="240">
        <v>28422</v>
      </c>
      <c r="J13" s="240">
        <v>30628</v>
      </c>
      <c r="K13" s="240">
        <v>15900</v>
      </c>
      <c r="L13" s="240">
        <v>20245</v>
      </c>
      <c r="M13" s="240">
        <v>16760</v>
      </c>
      <c r="N13" s="240">
        <v>5265</v>
      </c>
      <c r="O13" s="240">
        <v>3155</v>
      </c>
      <c r="P13" s="240">
        <v>3027</v>
      </c>
      <c r="Q13" s="240">
        <v>1579</v>
      </c>
      <c r="R13" s="240">
        <v>2520</v>
      </c>
      <c r="S13" s="240">
        <v>5248</v>
      </c>
      <c r="T13" s="241">
        <v>5878</v>
      </c>
      <c r="U13" s="241">
        <v>4964</v>
      </c>
      <c r="V13" s="241"/>
      <c r="W13" s="241"/>
      <c r="X13" s="241"/>
      <c r="Y13" s="241"/>
    </row>
    <row r="14" spans="1:25" s="240" customFormat="1" ht="15">
      <c r="A14" s="403"/>
      <c r="B14" s="239" t="s">
        <v>15</v>
      </c>
      <c r="C14" s="240">
        <v>-79</v>
      </c>
      <c r="D14" s="240">
        <v>63</v>
      </c>
      <c r="E14" s="240">
        <v>484</v>
      </c>
      <c r="F14" s="240">
        <v>519</v>
      </c>
      <c r="G14" s="240">
        <v>786</v>
      </c>
      <c r="H14" s="240">
        <v>1542</v>
      </c>
      <c r="I14" s="240">
        <v>2741</v>
      </c>
      <c r="J14" s="240">
        <v>18241</v>
      </c>
      <c r="K14" s="240">
        <v>7151</v>
      </c>
      <c r="L14" s="240">
        <v>3098</v>
      </c>
      <c r="M14" s="240">
        <v>2922</v>
      </c>
      <c r="N14" s="240">
        <v>4006</v>
      </c>
      <c r="O14" s="240">
        <v>1273</v>
      </c>
      <c r="P14" s="240">
        <v>1354</v>
      </c>
      <c r="Q14" s="240">
        <v>1517</v>
      </c>
      <c r="R14" s="240">
        <v>1191</v>
      </c>
      <c r="S14" s="240">
        <v>1786</v>
      </c>
      <c r="T14" s="241">
        <v>3171</v>
      </c>
      <c r="U14" s="241">
        <v>572</v>
      </c>
      <c r="V14" s="241"/>
      <c r="W14" s="241"/>
      <c r="X14" s="241"/>
      <c r="Y14" s="241"/>
    </row>
    <row r="15" spans="1:25" s="240" customFormat="1" ht="15">
      <c r="A15" s="403"/>
      <c r="B15" s="239" t="s">
        <v>13</v>
      </c>
      <c r="C15" s="240">
        <v>15</v>
      </c>
      <c r="D15" s="240">
        <v>242</v>
      </c>
      <c r="E15" s="240">
        <v>0</v>
      </c>
      <c r="F15" s="240">
        <v>617</v>
      </c>
      <c r="G15" s="240">
        <v>3766</v>
      </c>
      <c r="H15" s="240">
        <v>8202</v>
      </c>
      <c r="I15" s="240">
        <v>10358</v>
      </c>
      <c r="J15" s="240">
        <v>8320</v>
      </c>
      <c r="K15" s="240">
        <v>3257</v>
      </c>
      <c r="L15" s="240">
        <v>4733</v>
      </c>
      <c r="M15" s="240">
        <v>4630</v>
      </c>
      <c r="N15" s="240">
        <v>2309</v>
      </c>
      <c r="O15" s="240">
        <v>1097</v>
      </c>
      <c r="P15" s="240">
        <v>732</v>
      </c>
      <c r="Q15" s="240">
        <v>654</v>
      </c>
      <c r="R15" s="240">
        <v>405</v>
      </c>
      <c r="S15" s="240">
        <v>1632</v>
      </c>
      <c r="T15" s="241">
        <v>1571</v>
      </c>
      <c r="U15" s="241">
        <v>586</v>
      </c>
      <c r="V15" s="241"/>
      <c r="W15" s="241"/>
      <c r="X15" s="241"/>
      <c r="Y15" s="241"/>
    </row>
    <row r="16" spans="1:25" s="240" customFormat="1" ht="15">
      <c r="A16" s="403"/>
      <c r="B16" s="242" t="s">
        <v>10</v>
      </c>
      <c r="C16" s="243">
        <v>978</v>
      </c>
      <c r="D16" s="243">
        <v>1194</v>
      </c>
      <c r="E16" s="243">
        <v>3734</v>
      </c>
      <c r="F16" s="243">
        <v>6920</v>
      </c>
      <c r="G16" s="243">
        <v>17526</v>
      </c>
      <c r="H16" s="243">
        <v>25739</v>
      </c>
      <c r="I16" s="243">
        <v>49466</v>
      </c>
      <c r="J16" s="243">
        <v>65869</v>
      </c>
      <c r="K16" s="243">
        <v>34552</v>
      </c>
      <c r="L16" s="243">
        <v>32632</v>
      </c>
      <c r="M16" s="243">
        <v>29825</v>
      </c>
      <c r="N16" s="243">
        <v>16052</v>
      </c>
      <c r="O16" s="243">
        <v>8135</v>
      </c>
      <c r="P16" s="243">
        <v>8243</v>
      </c>
      <c r="Q16" s="243">
        <v>8234</v>
      </c>
      <c r="R16" s="243">
        <v>8363</v>
      </c>
      <c r="S16" s="243">
        <v>16271</v>
      </c>
      <c r="T16" s="244">
        <v>18421</v>
      </c>
      <c r="U16" s="244">
        <v>12782</v>
      </c>
      <c r="V16" s="244">
        <v>0</v>
      </c>
      <c r="W16" s="244">
        <v>0</v>
      </c>
      <c r="X16" s="244">
        <v>0</v>
      </c>
      <c r="Y16" s="244">
        <v>0</v>
      </c>
    </row>
    <row r="17" spans="1:25" s="240" customFormat="1" ht="15">
      <c r="A17" s="403" t="s">
        <v>5</v>
      </c>
      <c r="B17" s="239" t="s">
        <v>14</v>
      </c>
      <c r="C17" s="240">
        <v>277</v>
      </c>
      <c r="D17" s="240">
        <v>-26</v>
      </c>
      <c r="E17" s="240">
        <v>312</v>
      </c>
      <c r="F17" s="240">
        <v>39</v>
      </c>
      <c r="G17" s="240">
        <v>143</v>
      </c>
      <c r="H17" s="240">
        <v>407</v>
      </c>
      <c r="I17" s="240">
        <v>224</v>
      </c>
      <c r="J17" s="240">
        <v>368</v>
      </c>
      <c r="K17" s="240">
        <v>-16</v>
      </c>
      <c r="L17" s="240">
        <v>247</v>
      </c>
      <c r="M17" s="240">
        <v>499</v>
      </c>
      <c r="N17" s="240">
        <v>260</v>
      </c>
      <c r="O17" s="240">
        <v>3</v>
      </c>
      <c r="P17" s="240">
        <v>167</v>
      </c>
      <c r="Q17" s="240">
        <v>15</v>
      </c>
      <c r="R17" s="240">
        <v>17</v>
      </c>
      <c r="S17" s="240">
        <v>387</v>
      </c>
      <c r="T17" s="241">
        <v>621</v>
      </c>
      <c r="U17" s="241">
        <v>314</v>
      </c>
      <c r="V17" s="241"/>
      <c r="W17" s="241"/>
      <c r="X17" s="241"/>
      <c r="Y17" s="241"/>
    </row>
    <row r="18" spans="1:25" s="240" customFormat="1" ht="15">
      <c r="A18" s="403"/>
      <c r="B18" s="239" t="s">
        <v>12</v>
      </c>
      <c r="C18" s="240">
        <v>5</v>
      </c>
      <c r="D18" s="240">
        <v>-7</v>
      </c>
      <c r="E18" s="240">
        <v>12</v>
      </c>
      <c r="F18" s="240">
        <v>0</v>
      </c>
      <c r="G18" s="240">
        <v>39</v>
      </c>
      <c r="H18" s="240">
        <v>68</v>
      </c>
      <c r="I18" s="240">
        <v>100</v>
      </c>
      <c r="J18" s="240">
        <v>150</v>
      </c>
      <c r="K18" s="240">
        <v>-60</v>
      </c>
      <c r="L18" s="240">
        <v>139</v>
      </c>
      <c r="M18" s="240">
        <v>300</v>
      </c>
      <c r="N18" s="240">
        <v>19</v>
      </c>
      <c r="O18" s="240">
        <v>29</v>
      </c>
      <c r="P18" s="240">
        <v>31</v>
      </c>
      <c r="Q18" s="240">
        <v>36</v>
      </c>
      <c r="R18" s="240">
        <v>2</v>
      </c>
      <c r="S18" s="240">
        <v>358</v>
      </c>
      <c r="T18" s="241">
        <v>363</v>
      </c>
      <c r="U18" s="241">
        <v>325</v>
      </c>
      <c r="V18" s="241"/>
      <c r="W18" s="241"/>
      <c r="X18" s="241"/>
      <c r="Y18" s="241"/>
    </row>
    <row r="19" spans="1:25" s="240" customFormat="1" ht="15">
      <c r="A19" s="403"/>
      <c r="B19" s="239" t="s">
        <v>15</v>
      </c>
      <c r="C19" s="240">
        <v>77</v>
      </c>
      <c r="D19" s="240">
        <v>34</v>
      </c>
      <c r="E19" s="240">
        <v>486</v>
      </c>
      <c r="F19" s="240">
        <v>261</v>
      </c>
      <c r="G19" s="240">
        <v>260</v>
      </c>
      <c r="H19" s="240">
        <v>203</v>
      </c>
      <c r="I19" s="240">
        <v>652</v>
      </c>
      <c r="J19" s="240">
        <v>753</v>
      </c>
      <c r="K19" s="240">
        <v>591</v>
      </c>
      <c r="L19" s="240">
        <v>391</v>
      </c>
      <c r="M19" s="240">
        <v>308</v>
      </c>
      <c r="N19" s="240">
        <v>194</v>
      </c>
      <c r="O19" s="240">
        <v>112</v>
      </c>
      <c r="P19" s="240">
        <v>78</v>
      </c>
      <c r="Q19" s="240">
        <v>294</v>
      </c>
      <c r="R19" s="240">
        <v>188</v>
      </c>
      <c r="S19" s="240">
        <v>463</v>
      </c>
      <c r="T19" s="241">
        <v>1455</v>
      </c>
      <c r="U19" s="241">
        <v>501</v>
      </c>
      <c r="V19" s="241"/>
      <c r="W19" s="241"/>
      <c r="X19" s="241"/>
      <c r="Y19" s="241"/>
    </row>
    <row r="20" spans="1:25" s="240" customFormat="1" ht="15">
      <c r="A20" s="403"/>
      <c r="B20" s="239" t="s">
        <v>13</v>
      </c>
      <c r="C20" s="240">
        <v>128</v>
      </c>
      <c r="D20" s="240">
        <v>-15</v>
      </c>
      <c r="E20" s="240">
        <v>-1</v>
      </c>
      <c r="F20" s="240">
        <v>34</v>
      </c>
      <c r="G20" s="240">
        <v>204</v>
      </c>
      <c r="H20" s="240">
        <v>139</v>
      </c>
      <c r="I20" s="240">
        <v>530</v>
      </c>
      <c r="J20" s="240">
        <v>337</v>
      </c>
      <c r="K20" s="240">
        <v>97</v>
      </c>
      <c r="L20" s="240">
        <v>193</v>
      </c>
      <c r="M20" s="240">
        <v>289</v>
      </c>
      <c r="N20" s="240">
        <v>54</v>
      </c>
      <c r="O20" s="240">
        <v>48</v>
      </c>
      <c r="P20" s="240">
        <v>34</v>
      </c>
      <c r="Q20" s="240">
        <v>37</v>
      </c>
      <c r="R20" s="240">
        <v>36</v>
      </c>
      <c r="S20" s="240">
        <v>327</v>
      </c>
      <c r="T20" s="241">
        <v>387</v>
      </c>
      <c r="U20" s="241">
        <v>168</v>
      </c>
      <c r="V20" s="241"/>
      <c r="W20" s="241"/>
      <c r="X20" s="241"/>
      <c r="Y20" s="241"/>
    </row>
    <row r="21" spans="1:25" s="240" customFormat="1" ht="15">
      <c r="A21" s="403"/>
      <c r="B21" s="242" t="s">
        <v>10</v>
      </c>
      <c r="C21" s="243">
        <v>487</v>
      </c>
      <c r="D21" s="243">
        <v>-14</v>
      </c>
      <c r="E21" s="243">
        <v>809</v>
      </c>
      <c r="F21" s="243">
        <v>334</v>
      </c>
      <c r="G21" s="243">
        <v>646</v>
      </c>
      <c r="H21" s="243">
        <v>817</v>
      </c>
      <c r="I21" s="243">
        <v>1506</v>
      </c>
      <c r="J21" s="243">
        <v>1608</v>
      </c>
      <c r="K21" s="243">
        <v>612</v>
      </c>
      <c r="L21" s="243">
        <v>969</v>
      </c>
      <c r="M21" s="243">
        <v>1396</v>
      </c>
      <c r="N21" s="243">
        <v>526</v>
      </c>
      <c r="O21" s="243">
        <v>192</v>
      </c>
      <c r="P21" s="243">
        <v>310</v>
      </c>
      <c r="Q21" s="243">
        <v>381</v>
      </c>
      <c r="R21" s="243">
        <v>242</v>
      </c>
      <c r="S21" s="243">
        <v>1534</v>
      </c>
      <c r="T21" s="244">
        <v>2826</v>
      </c>
      <c r="U21" s="244">
        <v>1308</v>
      </c>
      <c r="V21" s="244">
        <v>0</v>
      </c>
      <c r="W21" s="244">
        <v>0</v>
      </c>
      <c r="X21" s="244">
        <v>0</v>
      </c>
      <c r="Y21" s="244">
        <v>0</v>
      </c>
    </row>
    <row r="22" spans="1:25" s="240" customFormat="1" ht="15">
      <c r="A22" s="403" t="s">
        <v>6</v>
      </c>
      <c r="B22" s="239" t="s">
        <v>14</v>
      </c>
      <c r="C22" s="240">
        <v>24</v>
      </c>
      <c r="D22" s="240">
        <v>47</v>
      </c>
      <c r="E22" s="240">
        <v>138</v>
      </c>
      <c r="F22" s="240">
        <v>293</v>
      </c>
      <c r="G22" s="240">
        <v>141</v>
      </c>
      <c r="H22" s="240">
        <v>219</v>
      </c>
      <c r="I22" s="240">
        <v>43</v>
      </c>
      <c r="J22" s="240">
        <v>582</v>
      </c>
      <c r="K22" s="240">
        <v>512</v>
      </c>
      <c r="L22" s="240">
        <v>881</v>
      </c>
      <c r="M22" s="240">
        <v>195</v>
      </c>
      <c r="N22" s="240">
        <v>-35</v>
      </c>
      <c r="O22" s="240">
        <v>-30</v>
      </c>
      <c r="P22" s="240">
        <v>0</v>
      </c>
      <c r="Q22" s="240">
        <v>133</v>
      </c>
      <c r="R22" s="240">
        <v>0</v>
      </c>
      <c r="S22" s="240">
        <v>203</v>
      </c>
      <c r="T22" s="241">
        <v>216</v>
      </c>
      <c r="U22" s="241">
        <v>346</v>
      </c>
      <c r="V22" s="241"/>
      <c r="W22" s="241"/>
      <c r="X22" s="241"/>
      <c r="Y22" s="241"/>
    </row>
    <row r="23" spans="1:25" s="240" customFormat="1" ht="15">
      <c r="A23" s="403"/>
      <c r="B23" s="239" t="s">
        <v>12</v>
      </c>
      <c r="C23" s="240">
        <v>41</v>
      </c>
      <c r="D23" s="240">
        <v>56</v>
      </c>
      <c r="E23" s="240">
        <v>0</v>
      </c>
      <c r="F23" s="240">
        <v>162</v>
      </c>
      <c r="G23" s="240">
        <v>856</v>
      </c>
      <c r="H23" s="240">
        <v>771</v>
      </c>
      <c r="I23" s="240">
        <v>1256</v>
      </c>
      <c r="J23" s="240">
        <v>1868</v>
      </c>
      <c r="K23" s="240">
        <v>1413</v>
      </c>
      <c r="L23" s="240">
        <v>1167</v>
      </c>
      <c r="M23" s="240">
        <v>981</v>
      </c>
      <c r="N23" s="240">
        <v>-155</v>
      </c>
      <c r="O23" s="240">
        <v>-97</v>
      </c>
      <c r="P23" s="240">
        <v>0</v>
      </c>
      <c r="Q23" s="240">
        <v>37</v>
      </c>
      <c r="R23" s="240">
        <v>0</v>
      </c>
      <c r="S23" s="240">
        <v>80</v>
      </c>
      <c r="T23" s="241">
        <v>80</v>
      </c>
      <c r="U23" s="241">
        <v>261</v>
      </c>
      <c r="V23" s="241"/>
      <c r="W23" s="241"/>
      <c r="X23" s="241"/>
      <c r="Y23" s="241"/>
    </row>
    <row r="24" spans="1:25" s="240" customFormat="1" ht="15">
      <c r="A24" s="403"/>
      <c r="B24" s="239" t="s">
        <v>15</v>
      </c>
      <c r="C24" s="240">
        <v>-5</v>
      </c>
      <c r="D24" s="240">
        <v>0</v>
      </c>
      <c r="E24" s="240">
        <v>0</v>
      </c>
      <c r="F24" s="240">
        <v>0</v>
      </c>
      <c r="G24" s="240">
        <v>0</v>
      </c>
      <c r="H24" s="240">
        <v>66</v>
      </c>
      <c r="I24" s="240">
        <v>3137</v>
      </c>
      <c r="J24" s="240">
        <v>1307</v>
      </c>
      <c r="K24" s="240">
        <v>2475</v>
      </c>
      <c r="L24" s="240">
        <v>0</v>
      </c>
      <c r="M24" s="240">
        <v>47</v>
      </c>
      <c r="N24" s="240">
        <v>0</v>
      </c>
      <c r="O24" s="240">
        <v>0</v>
      </c>
      <c r="P24" s="240">
        <v>0</v>
      </c>
      <c r="Q24" s="240">
        <v>51</v>
      </c>
      <c r="R24" s="240">
        <v>0</v>
      </c>
      <c r="S24" s="240">
        <v>5</v>
      </c>
      <c r="T24" s="241">
        <v>205</v>
      </c>
      <c r="U24" s="241">
        <v>87</v>
      </c>
      <c r="V24" s="241"/>
      <c r="W24" s="241"/>
      <c r="X24" s="241"/>
      <c r="Y24" s="241"/>
    </row>
    <row r="25" spans="1:25" s="240" customFormat="1" ht="15">
      <c r="A25" s="403"/>
      <c r="B25" s="239" t="s">
        <v>13</v>
      </c>
      <c r="C25" s="240">
        <v>3</v>
      </c>
      <c r="D25" s="240">
        <v>2</v>
      </c>
      <c r="E25" s="240">
        <v>48</v>
      </c>
      <c r="F25" s="240">
        <v>46</v>
      </c>
      <c r="G25" s="240">
        <v>279</v>
      </c>
      <c r="H25" s="240">
        <v>419</v>
      </c>
      <c r="I25" s="240">
        <v>371</v>
      </c>
      <c r="J25" s="240">
        <v>476</v>
      </c>
      <c r="K25" s="240">
        <v>516</v>
      </c>
      <c r="L25" s="240">
        <v>0</v>
      </c>
      <c r="M25" s="240">
        <v>0</v>
      </c>
      <c r="N25" s="240">
        <v>190</v>
      </c>
      <c r="O25" s="240">
        <v>143</v>
      </c>
      <c r="P25" s="240">
        <v>0</v>
      </c>
      <c r="Q25" s="240">
        <v>0</v>
      </c>
      <c r="R25" s="240">
        <v>0</v>
      </c>
      <c r="S25" s="240">
        <v>131</v>
      </c>
      <c r="T25" s="241">
        <v>131</v>
      </c>
      <c r="U25" s="241">
        <v>227</v>
      </c>
      <c r="V25" s="241"/>
      <c r="W25" s="241"/>
      <c r="X25" s="241"/>
      <c r="Y25" s="241"/>
    </row>
    <row r="26" spans="1:25" s="240" customFormat="1" ht="15">
      <c r="A26" s="403"/>
      <c r="B26" s="242" t="s">
        <v>10</v>
      </c>
      <c r="C26" s="243">
        <v>63</v>
      </c>
      <c r="D26" s="243">
        <v>105</v>
      </c>
      <c r="E26" s="243">
        <v>186</v>
      </c>
      <c r="F26" s="243">
        <v>501</v>
      </c>
      <c r="G26" s="243">
        <v>1276</v>
      </c>
      <c r="H26" s="243">
        <v>1475</v>
      </c>
      <c r="I26" s="243">
        <v>4807</v>
      </c>
      <c r="J26" s="243">
        <v>4234</v>
      </c>
      <c r="K26" s="243">
        <v>4916</v>
      </c>
      <c r="L26" s="243">
        <v>2048</v>
      </c>
      <c r="M26" s="243">
        <v>1223</v>
      </c>
      <c r="N26" s="243">
        <v>0</v>
      </c>
      <c r="O26" s="243">
        <v>15</v>
      </c>
      <c r="P26" s="243">
        <v>0</v>
      </c>
      <c r="Q26" s="243">
        <v>221</v>
      </c>
      <c r="R26" s="243">
        <v>0</v>
      </c>
      <c r="S26" s="243">
        <v>420</v>
      </c>
      <c r="T26" s="244">
        <v>632</v>
      </c>
      <c r="U26" s="244">
        <v>921</v>
      </c>
      <c r="V26" s="244">
        <v>0</v>
      </c>
      <c r="W26" s="244">
        <v>0</v>
      </c>
      <c r="X26" s="244">
        <v>0</v>
      </c>
      <c r="Y26" s="244">
        <v>0</v>
      </c>
    </row>
    <row r="27" spans="1:25" s="240" customFormat="1" ht="15">
      <c r="A27" s="403" t="s">
        <v>7</v>
      </c>
      <c r="B27" s="239" t="s">
        <v>14</v>
      </c>
      <c r="C27" s="240">
        <v>14</v>
      </c>
      <c r="D27" s="240">
        <v>0</v>
      </c>
      <c r="E27" s="240">
        <v>2</v>
      </c>
      <c r="F27" s="240">
        <v>7</v>
      </c>
      <c r="G27" s="240">
        <v>11</v>
      </c>
      <c r="H27" s="240">
        <v>325</v>
      </c>
      <c r="I27" s="240">
        <v>0</v>
      </c>
      <c r="J27" s="240">
        <v>0</v>
      </c>
      <c r="K27" s="240">
        <v>97</v>
      </c>
      <c r="L27" s="240">
        <v>8</v>
      </c>
      <c r="M27" s="240">
        <v>0</v>
      </c>
      <c r="N27" s="240">
        <v>0</v>
      </c>
      <c r="O27" s="240">
        <v>0</v>
      </c>
      <c r="P27" s="240">
        <v>0</v>
      </c>
      <c r="Q27" s="240">
        <v>0</v>
      </c>
      <c r="R27" s="240">
        <v>0</v>
      </c>
      <c r="S27" s="240">
        <v>0</v>
      </c>
      <c r="T27" s="241">
        <v>0</v>
      </c>
      <c r="U27" s="241">
        <v>0</v>
      </c>
      <c r="V27" s="241"/>
      <c r="W27" s="241"/>
      <c r="X27" s="241"/>
      <c r="Y27" s="241"/>
    </row>
    <row r="28" spans="1:25" s="240" customFormat="1" ht="15">
      <c r="A28" s="403"/>
      <c r="B28" s="239" t="s">
        <v>12</v>
      </c>
      <c r="C28" s="240">
        <v>26</v>
      </c>
      <c r="D28" s="240">
        <v>0</v>
      </c>
      <c r="E28" s="240">
        <v>0</v>
      </c>
      <c r="F28" s="240">
        <v>11</v>
      </c>
      <c r="G28" s="240">
        <v>1</v>
      </c>
      <c r="H28" s="240">
        <v>0</v>
      </c>
      <c r="I28" s="240">
        <v>0</v>
      </c>
      <c r="J28" s="240">
        <v>0</v>
      </c>
      <c r="K28" s="240">
        <v>38</v>
      </c>
      <c r="L28" s="240">
        <v>0</v>
      </c>
      <c r="M28" s="240">
        <v>0</v>
      </c>
      <c r="N28" s="240">
        <v>0</v>
      </c>
      <c r="O28" s="240">
        <v>0</v>
      </c>
      <c r="P28" s="240">
        <v>0</v>
      </c>
      <c r="Q28" s="240">
        <v>0</v>
      </c>
      <c r="R28" s="240">
        <v>0</v>
      </c>
      <c r="S28" s="240">
        <v>0</v>
      </c>
      <c r="T28" s="241">
        <v>0</v>
      </c>
      <c r="U28" s="241">
        <v>0</v>
      </c>
      <c r="V28" s="241"/>
      <c r="W28" s="241"/>
      <c r="X28" s="241"/>
      <c r="Y28" s="241"/>
    </row>
    <row r="29" spans="1:25" s="240" customFormat="1" ht="15">
      <c r="A29" s="403"/>
      <c r="B29" s="239" t="s">
        <v>15</v>
      </c>
      <c r="C29" s="240">
        <v>0</v>
      </c>
      <c r="D29" s="240">
        <v>0</v>
      </c>
      <c r="E29" s="240">
        <v>0</v>
      </c>
      <c r="F29" s="240">
        <v>0</v>
      </c>
      <c r="G29" s="240">
        <v>0</v>
      </c>
      <c r="H29" s="240">
        <v>0</v>
      </c>
      <c r="I29" s="240">
        <v>0</v>
      </c>
      <c r="J29" s="240">
        <v>0</v>
      </c>
      <c r="K29" s="240">
        <v>555</v>
      </c>
      <c r="L29" s="240">
        <v>0</v>
      </c>
      <c r="M29" s="240">
        <v>0</v>
      </c>
      <c r="N29" s="240">
        <v>0</v>
      </c>
      <c r="O29" s="240">
        <v>0</v>
      </c>
      <c r="P29" s="240">
        <v>0</v>
      </c>
      <c r="Q29" s="240">
        <v>0</v>
      </c>
      <c r="R29" s="240">
        <v>0</v>
      </c>
      <c r="S29" s="240">
        <v>0</v>
      </c>
      <c r="T29" s="241">
        <v>0</v>
      </c>
      <c r="U29" s="241">
        <v>0</v>
      </c>
      <c r="V29" s="241"/>
      <c r="W29" s="241"/>
      <c r="X29" s="241"/>
      <c r="Y29" s="241"/>
    </row>
    <row r="30" spans="1:25" s="240" customFormat="1" ht="15">
      <c r="A30" s="403"/>
      <c r="B30" s="239" t="s">
        <v>13</v>
      </c>
      <c r="C30" s="240">
        <v>20</v>
      </c>
      <c r="D30" s="240">
        <v>0</v>
      </c>
      <c r="E30" s="240">
        <v>0</v>
      </c>
      <c r="F30" s="240">
        <v>6</v>
      </c>
      <c r="G30" s="240">
        <v>9</v>
      </c>
      <c r="H30" s="240">
        <v>135</v>
      </c>
      <c r="I30" s="240">
        <v>0</v>
      </c>
      <c r="J30" s="240">
        <v>12</v>
      </c>
      <c r="K30" s="240">
        <v>0</v>
      </c>
      <c r="L30" s="240">
        <v>0</v>
      </c>
      <c r="M30" s="240">
        <v>0</v>
      </c>
      <c r="N30" s="240">
        <v>0</v>
      </c>
      <c r="O30" s="240">
        <v>0</v>
      </c>
      <c r="P30" s="240">
        <v>0</v>
      </c>
      <c r="Q30" s="240">
        <v>0</v>
      </c>
      <c r="R30" s="240">
        <v>0</v>
      </c>
      <c r="S30" s="240">
        <v>0</v>
      </c>
      <c r="T30" s="241">
        <v>0</v>
      </c>
      <c r="U30" s="241">
        <v>0</v>
      </c>
      <c r="V30" s="241"/>
      <c r="W30" s="241"/>
      <c r="X30" s="241"/>
      <c r="Y30" s="241"/>
    </row>
    <row r="31" spans="1:25" s="240" customFormat="1" ht="15">
      <c r="A31" s="403"/>
      <c r="B31" s="242" t="s">
        <v>10</v>
      </c>
      <c r="C31" s="243">
        <v>60</v>
      </c>
      <c r="D31" s="243">
        <v>0</v>
      </c>
      <c r="E31" s="243">
        <v>2</v>
      </c>
      <c r="F31" s="243">
        <v>24</v>
      </c>
      <c r="G31" s="243">
        <v>21</v>
      </c>
      <c r="H31" s="243">
        <v>460</v>
      </c>
      <c r="I31" s="243">
        <v>0</v>
      </c>
      <c r="J31" s="243">
        <v>12</v>
      </c>
      <c r="K31" s="243">
        <v>690</v>
      </c>
      <c r="L31" s="243">
        <v>8</v>
      </c>
      <c r="M31" s="243">
        <v>0</v>
      </c>
      <c r="N31" s="243">
        <v>0</v>
      </c>
      <c r="O31" s="243">
        <v>0</v>
      </c>
      <c r="P31" s="243">
        <v>0</v>
      </c>
      <c r="Q31" s="243">
        <v>0</v>
      </c>
      <c r="R31" s="243">
        <v>0</v>
      </c>
      <c r="S31" s="243">
        <v>0</v>
      </c>
      <c r="T31" s="244">
        <v>0</v>
      </c>
      <c r="U31" s="244">
        <v>0</v>
      </c>
      <c r="V31" s="244">
        <v>0</v>
      </c>
      <c r="W31" s="244">
        <v>0</v>
      </c>
      <c r="X31" s="244">
        <v>0</v>
      </c>
      <c r="Y31" s="244">
        <v>0</v>
      </c>
    </row>
    <row r="32" spans="1:25" s="240" customFormat="1" ht="15">
      <c r="A32" s="403" t="s">
        <v>8</v>
      </c>
      <c r="B32" s="239" t="s">
        <v>14</v>
      </c>
      <c r="C32" s="240">
        <v>0</v>
      </c>
      <c r="D32" s="240">
        <v>0</v>
      </c>
      <c r="E32" s="240">
        <v>0</v>
      </c>
      <c r="F32" s="240">
        <v>0</v>
      </c>
      <c r="G32" s="240">
        <v>0</v>
      </c>
      <c r="H32" s="240">
        <v>0</v>
      </c>
      <c r="I32" s="240">
        <v>0</v>
      </c>
      <c r="J32" s="240">
        <v>548</v>
      </c>
      <c r="K32" s="240">
        <v>15</v>
      </c>
      <c r="L32" s="240">
        <v>863</v>
      </c>
      <c r="M32" s="240">
        <v>17</v>
      </c>
      <c r="N32" s="240">
        <v>12</v>
      </c>
      <c r="O32" s="240">
        <v>10</v>
      </c>
      <c r="P32" s="240">
        <v>0</v>
      </c>
      <c r="Q32" s="240">
        <v>0</v>
      </c>
      <c r="R32" s="240">
        <v>3</v>
      </c>
      <c r="S32" s="240">
        <v>0</v>
      </c>
      <c r="T32" s="241">
        <v>0</v>
      </c>
      <c r="U32" s="241">
        <v>9</v>
      </c>
      <c r="V32" s="241"/>
      <c r="W32" s="241"/>
      <c r="X32" s="241"/>
      <c r="Y32" s="241"/>
    </row>
    <row r="33" spans="1:49" s="240" customFormat="1" ht="15">
      <c r="A33" s="403"/>
      <c r="B33" s="239" t="s">
        <v>12</v>
      </c>
      <c r="C33" s="240">
        <v>0</v>
      </c>
      <c r="D33" s="240">
        <v>0</v>
      </c>
      <c r="E33" s="240">
        <v>0</v>
      </c>
      <c r="F33" s="240">
        <v>0</v>
      </c>
      <c r="G33" s="240">
        <v>0</v>
      </c>
      <c r="H33" s="240">
        <v>0</v>
      </c>
      <c r="I33" s="240">
        <v>0</v>
      </c>
      <c r="J33" s="240">
        <v>1319</v>
      </c>
      <c r="K33" s="240">
        <v>443</v>
      </c>
      <c r="L33" s="240">
        <v>12</v>
      </c>
      <c r="M33" s="240">
        <v>0</v>
      </c>
      <c r="N33" s="240">
        <v>54</v>
      </c>
      <c r="O33" s="240">
        <v>0</v>
      </c>
      <c r="P33" s="240">
        <v>0</v>
      </c>
      <c r="Q33" s="240">
        <v>0</v>
      </c>
      <c r="R33" s="240">
        <v>0</v>
      </c>
      <c r="S33" s="240">
        <v>0</v>
      </c>
      <c r="T33" s="241">
        <v>49</v>
      </c>
      <c r="U33" s="241">
        <v>7</v>
      </c>
      <c r="V33" s="241"/>
      <c r="W33" s="241"/>
      <c r="X33" s="241"/>
      <c r="Y33" s="241"/>
    </row>
    <row r="34" spans="1:49" s="240" customFormat="1" ht="15">
      <c r="A34" s="403"/>
      <c r="B34" s="239" t="s">
        <v>15</v>
      </c>
      <c r="C34" s="240">
        <v>178</v>
      </c>
      <c r="D34" s="240">
        <v>0</v>
      </c>
      <c r="E34" s="240">
        <v>0</v>
      </c>
      <c r="F34" s="240">
        <v>2078</v>
      </c>
      <c r="G34" s="240">
        <v>1515</v>
      </c>
      <c r="H34" s="240">
        <v>3089</v>
      </c>
      <c r="I34" s="240">
        <v>1116</v>
      </c>
      <c r="J34" s="240">
        <v>575</v>
      </c>
      <c r="K34" s="240">
        <v>404</v>
      </c>
      <c r="L34" s="240">
        <v>469</v>
      </c>
      <c r="M34" s="240">
        <v>468</v>
      </c>
      <c r="N34" s="240">
        <v>369</v>
      </c>
      <c r="O34" s="240">
        <v>0</v>
      </c>
      <c r="P34" s="240">
        <v>0</v>
      </c>
      <c r="Q34" s="240">
        <v>0</v>
      </c>
      <c r="R34" s="240">
        <v>0</v>
      </c>
      <c r="S34" s="240">
        <v>378</v>
      </c>
      <c r="T34" s="241">
        <v>378</v>
      </c>
      <c r="U34" s="241">
        <v>0</v>
      </c>
      <c r="V34" s="241"/>
      <c r="W34" s="241"/>
      <c r="X34" s="241"/>
      <c r="Y34" s="241"/>
    </row>
    <row r="35" spans="1:49" s="240" customFormat="1" ht="15">
      <c r="A35" s="403"/>
      <c r="B35" s="239" t="s">
        <v>13</v>
      </c>
      <c r="C35" s="240">
        <v>0</v>
      </c>
      <c r="D35" s="240">
        <v>0</v>
      </c>
      <c r="E35" s="240">
        <v>0</v>
      </c>
      <c r="F35" s="240">
        <v>24</v>
      </c>
      <c r="G35" s="240">
        <v>32</v>
      </c>
      <c r="H35" s="240">
        <v>10</v>
      </c>
      <c r="I35" s="240">
        <v>5</v>
      </c>
      <c r="J35" s="240">
        <v>256</v>
      </c>
      <c r="K35" s="240">
        <v>0</v>
      </c>
      <c r="L35" s="240">
        <v>204</v>
      </c>
      <c r="M35" s="240">
        <v>0</v>
      </c>
      <c r="N35" s="240">
        <v>0</v>
      </c>
      <c r="O35" s="240">
        <v>24</v>
      </c>
      <c r="P35" s="240">
        <v>0</v>
      </c>
      <c r="Q35" s="240">
        <v>0</v>
      </c>
      <c r="R35" s="240">
        <v>0</v>
      </c>
      <c r="S35" s="240">
        <v>0</v>
      </c>
      <c r="T35" s="241">
        <v>0</v>
      </c>
      <c r="U35" s="241">
        <v>0</v>
      </c>
      <c r="V35" s="241"/>
      <c r="W35" s="241"/>
      <c r="X35" s="241"/>
      <c r="Y35" s="241"/>
    </row>
    <row r="36" spans="1:49" s="240" customFormat="1" ht="15">
      <c r="A36" s="403"/>
      <c r="B36" s="242" t="s">
        <v>10</v>
      </c>
      <c r="C36" s="243">
        <v>178</v>
      </c>
      <c r="D36" s="243">
        <v>0</v>
      </c>
      <c r="E36" s="243">
        <v>0</v>
      </c>
      <c r="F36" s="243">
        <v>2102</v>
      </c>
      <c r="G36" s="243">
        <v>1547</v>
      </c>
      <c r="H36" s="243">
        <v>3099</v>
      </c>
      <c r="I36" s="243">
        <v>1121</v>
      </c>
      <c r="J36" s="243">
        <v>2698</v>
      </c>
      <c r="K36" s="243">
        <v>862</v>
      </c>
      <c r="L36" s="243">
        <v>1547</v>
      </c>
      <c r="M36" s="243">
        <v>485</v>
      </c>
      <c r="N36" s="243">
        <v>435</v>
      </c>
      <c r="O36" s="243">
        <v>34</v>
      </c>
      <c r="P36" s="243">
        <v>0</v>
      </c>
      <c r="Q36" s="243">
        <v>0</v>
      </c>
      <c r="R36" s="243">
        <v>3</v>
      </c>
      <c r="S36" s="243">
        <v>378</v>
      </c>
      <c r="T36" s="244">
        <v>426</v>
      </c>
      <c r="U36" s="244">
        <v>15</v>
      </c>
      <c r="V36" s="244">
        <v>0</v>
      </c>
      <c r="W36" s="244">
        <v>0</v>
      </c>
      <c r="X36" s="244">
        <v>0</v>
      </c>
      <c r="Y36" s="244">
        <v>0</v>
      </c>
    </row>
    <row r="37" spans="1:49" s="240" customFormat="1" ht="15">
      <c r="A37" s="403" t="s">
        <v>9</v>
      </c>
      <c r="B37" s="239" t="s">
        <v>14</v>
      </c>
      <c r="C37" s="240">
        <v>2460</v>
      </c>
      <c r="D37" s="240">
        <v>1100</v>
      </c>
      <c r="E37" s="240">
        <v>15202</v>
      </c>
      <c r="F37" s="240">
        <v>13685</v>
      </c>
      <c r="G37" s="240">
        <v>10595</v>
      </c>
      <c r="H37" s="240">
        <v>13860</v>
      </c>
      <c r="I37" s="240">
        <v>19491</v>
      </c>
      <c r="J37" s="240">
        <v>22948</v>
      </c>
      <c r="K37" s="240">
        <v>21362</v>
      </c>
      <c r="L37" s="240">
        <v>22124</v>
      </c>
      <c r="M37" s="240">
        <v>21566</v>
      </c>
      <c r="N37" s="240">
        <v>16797</v>
      </c>
      <c r="O37" s="240">
        <v>13015</v>
      </c>
      <c r="P37" s="240">
        <v>16877</v>
      </c>
      <c r="Q37" s="240">
        <v>15919</v>
      </c>
      <c r="R37" s="240">
        <v>16380</v>
      </c>
      <c r="S37" s="240">
        <v>21968</v>
      </c>
      <c r="T37" s="241">
        <v>22339</v>
      </c>
      <c r="U37" s="241">
        <v>17682</v>
      </c>
      <c r="V37" s="241"/>
      <c r="W37" s="241"/>
      <c r="X37" s="241"/>
      <c r="Y37" s="241"/>
    </row>
    <row r="38" spans="1:49" s="240" customFormat="1" ht="15">
      <c r="A38" s="403"/>
      <c r="B38" s="239" t="s">
        <v>12</v>
      </c>
      <c r="C38" s="240">
        <v>1167</v>
      </c>
      <c r="D38" s="240">
        <v>213</v>
      </c>
      <c r="E38" s="240">
        <v>26754</v>
      </c>
      <c r="F38" s="240">
        <v>54785</v>
      </c>
      <c r="G38" s="240">
        <v>49270</v>
      </c>
      <c r="H38" s="240">
        <v>71395</v>
      </c>
      <c r="I38" s="240">
        <v>108455</v>
      </c>
      <c r="J38" s="240">
        <v>108021</v>
      </c>
      <c r="K38" s="240">
        <v>92851</v>
      </c>
      <c r="L38" s="240">
        <v>105125</v>
      </c>
      <c r="M38" s="240">
        <v>101798</v>
      </c>
      <c r="N38" s="240">
        <v>67446</v>
      </c>
      <c r="O38" s="240">
        <v>46485</v>
      </c>
      <c r="P38" s="240">
        <v>44584</v>
      </c>
      <c r="Q38" s="240">
        <v>28282</v>
      </c>
      <c r="R38" s="240">
        <v>23940</v>
      </c>
      <c r="S38" s="240">
        <v>34207</v>
      </c>
      <c r="T38" s="241">
        <v>35020</v>
      </c>
      <c r="U38" s="241">
        <v>33681</v>
      </c>
      <c r="V38" s="241"/>
      <c r="W38" s="241"/>
      <c r="X38" s="241"/>
      <c r="Y38" s="241"/>
    </row>
    <row r="39" spans="1:49" s="240" customFormat="1" thickBot="1">
      <c r="A39" s="403"/>
      <c r="B39" s="239" t="s">
        <v>15</v>
      </c>
      <c r="C39" s="240">
        <v>23508</v>
      </c>
      <c r="D39" s="240">
        <v>15291</v>
      </c>
      <c r="E39" s="240">
        <v>20036</v>
      </c>
      <c r="F39" s="240">
        <v>14855</v>
      </c>
      <c r="G39" s="240">
        <v>8086</v>
      </c>
      <c r="H39" s="240">
        <v>17637</v>
      </c>
      <c r="I39" s="240">
        <v>16897</v>
      </c>
      <c r="J39" s="240">
        <v>32763</v>
      </c>
      <c r="K39" s="240">
        <v>22082</v>
      </c>
      <c r="L39" s="240">
        <v>14650</v>
      </c>
      <c r="M39" s="240">
        <v>14965</v>
      </c>
      <c r="N39" s="240">
        <v>15147</v>
      </c>
      <c r="O39" s="240">
        <v>10463</v>
      </c>
      <c r="P39" s="240">
        <v>9271</v>
      </c>
      <c r="Q39" s="240">
        <v>8496</v>
      </c>
      <c r="R39" s="240">
        <v>9105</v>
      </c>
      <c r="S39" s="240">
        <v>11869</v>
      </c>
      <c r="T39" s="241">
        <v>15624</v>
      </c>
      <c r="U39" s="241">
        <v>10239</v>
      </c>
      <c r="V39" s="241"/>
      <c r="W39" s="241"/>
      <c r="X39" s="241"/>
      <c r="Y39" s="241"/>
    </row>
    <row r="40" spans="1:49" s="240" customFormat="1" thickBot="1">
      <c r="A40" s="403"/>
      <c r="B40" s="239" t="s">
        <v>13</v>
      </c>
      <c r="C40" s="240">
        <v>1639</v>
      </c>
      <c r="D40" s="240">
        <v>266</v>
      </c>
      <c r="E40" s="240">
        <v>10544</v>
      </c>
      <c r="F40" s="240">
        <v>7763</v>
      </c>
      <c r="G40" s="240">
        <v>10890</v>
      </c>
      <c r="H40" s="240">
        <v>21023</v>
      </c>
      <c r="I40" s="240">
        <v>24566</v>
      </c>
      <c r="J40" s="240">
        <v>23176</v>
      </c>
      <c r="K40" s="240">
        <v>16830</v>
      </c>
      <c r="L40" s="240">
        <v>21144</v>
      </c>
      <c r="M40" s="240">
        <v>20459</v>
      </c>
      <c r="N40" s="240">
        <v>15693</v>
      </c>
      <c r="O40" s="240">
        <v>12122</v>
      </c>
      <c r="P40" s="240">
        <v>14421</v>
      </c>
      <c r="Q40" s="240">
        <v>10398</v>
      </c>
      <c r="R40" s="240">
        <v>9517</v>
      </c>
      <c r="S40" s="240">
        <v>14446</v>
      </c>
      <c r="T40" s="241">
        <v>15135</v>
      </c>
      <c r="U40" s="241">
        <v>7397</v>
      </c>
      <c r="V40" s="241"/>
      <c r="W40" s="241"/>
      <c r="X40" s="241"/>
      <c r="Y40" s="241"/>
      <c r="AV40" s="385" t="s">
        <v>770</v>
      </c>
      <c r="AW40" s="386">
        <f>(AW44+AW45)/(AW43+AW44+AW45)</f>
        <v>0.17694541684363987</v>
      </c>
    </row>
    <row r="41" spans="1:49" s="240" customFormat="1" thickBot="1">
      <c r="A41" s="403"/>
      <c r="B41" s="242" t="s">
        <v>10</v>
      </c>
      <c r="C41" s="243">
        <v>28774</v>
      </c>
      <c r="D41" s="243">
        <v>16870</v>
      </c>
      <c r="E41" s="243">
        <v>72536</v>
      </c>
      <c r="F41" s="243">
        <v>91089</v>
      </c>
      <c r="G41" s="243">
        <v>78842</v>
      </c>
      <c r="H41" s="243">
        <v>123916</v>
      </c>
      <c r="I41" s="243">
        <v>169409</v>
      </c>
      <c r="J41" s="243">
        <v>186908</v>
      </c>
      <c r="K41" s="243">
        <v>153124</v>
      </c>
      <c r="L41" s="243">
        <v>163045</v>
      </c>
      <c r="M41" s="243">
        <v>158788</v>
      </c>
      <c r="N41" s="243">
        <v>115083</v>
      </c>
      <c r="O41" s="243">
        <v>82086</v>
      </c>
      <c r="P41" s="243">
        <v>85154</v>
      </c>
      <c r="Q41" s="243">
        <v>63095</v>
      </c>
      <c r="R41" s="243">
        <v>58942</v>
      </c>
      <c r="S41" s="244">
        <v>82490</v>
      </c>
      <c r="T41" s="244">
        <v>88117</v>
      </c>
      <c r="U41" s="244">
        <v>69000</v>
      </c>
      <c r="V41" s="244">
        <f>V36+V31+V26+V21+V16+V11+V6</f>
        <v>20000</v>
      </c>
      <c r="W41" s="244">
        <f t="shared" ref="W41:Y41" si="2">W36+W31+W26+W21+W16+W11+W6</f>
        <v>20000</v>
      </c>
      <c r="X41" s="244">
        <f t="shared" si="2"/>
        <v>20000</v>
      </c>
      <c r="Y41" s="244">
        <f t="shared" si="2"/>
        <v>20000</v>
      </c>
      <c r="AV41" s="383" t="s">
        <v>771</v>
      </c>
      <c r="AW41" s="384">
        <f>AW45/(AW44+AW45)</f>
        <v>1.3176407093421487E-2</v>
      </c>
    </row>
    <row r="42" spans="1:49" s="246" customFormat="1" ht="24">
      <c r="B42" s="111"/>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247" t="s">
        <v>597</v>
      </c>
      <c r="AA42" s="92"/>
      <c r="AC42" s="245"/>
      <c r="AD42" s="245"/>
      <c r="AE42" s="245"/>
      <c r="AF42" s="245"/>
      <c r="AG42" s="245"/>
      <c r="AH42" s="245"/>
      <c r="AI42" s="245"/>
      <c r="AJ42" s="245"/>
      <c r="AL42" s="248"/>
      <c r="AM42" s="247" t="s">
        <v>722</v>
      </c>
      <c r="AN42" s="92"/>
      <c r="AP42" s="245"/>
      <c r="AQ42" s="245"/>
      <c r="AR42" s="245"/>
      <c r="AS42" s="245"/>
      <c r="AT42" s="245"/>
      <c r="AU42" s="245"/>
      <c r="AV42" s="245"/>
    </row>
    <row r="43" spans="1:49" s="246" customFormat="1" ht="17" thickBot="1">
      <c r="B43" s="113"/>
      <c r="C43" s="114"/>
      <c r="D43" s="114"/>
      <c r="E43" s="114"/>
      <c r="F43" s="114"/>
      <c r="G43" s="114"/>
      <c r="H43" s="114"/>
      <c r="I43" s="114"/>
      <c r="J43" s="114"/>
      <c r="K43" s="114"/>
      <c r="L43" s="114"/>
      <c r="M43" s="114"/>
      <c r="N43" s="114"/>
      <c r="O43" s="114"/>
      <c r="P43" s="114"/>
      <c r="Q43" s="114"/>
      <c r="R43" s="114"/>
      <c r="S43" s="114"/>
      <c r="T43" s="114"/>
      <c r="U43" s="114"/>
      <c r="V43" s="114"/>
      <c r="W43" s="114"/>
      <c r="X43" s="114"/>
      <c r="Y43" s="114"/>
      <c r="Z43" s="21"/>
      <c r="AA43" s="92"/>
      <c r="AB43" s="266" t="s">
        <v>643</v>
      </c>
      <c r="AC43" s="265">
        <f t="array" ref="AC43">SUM(IF((ISNUMBER(FIND("Total",$Z$48:$Z$302)))*(ISNUMBER(FIND("Base",$AB$48:$AB$302))),AC$48:AC$302))/1000</f>
        <v>2294.578</v>
      </c>
      <c r="AD43" s="265">
        <f t="array" ref="AD43">SUM(IF((ISNUMBER(FIND("Total",$Z$48:$Z$302)))*(ISNUMBER(FIND("Base",$AB$48:$AB$302))),AD$48:AD$302))/1000</f>
        <v>3221.2330000000002</v>
      </c>
      <c r="AE43" s="265">
        <f t="array" ref="AE43">SUM(IF((ISNUMBER(FIND("Total",$Z$48:$Z$302)))*(ISNUMBER(FIND("Base",$AB$48:$AB$302))),AE$48:AE$302))/1000</f>
        <v>1757.3019999999999</v>
      </c>
      <c r="AF43" s="265">
        <f t="array" ref="AF43">SUM(IF((ISNUMBER(FIND("Total",$Z$48:$Z$302)))*(ISNUMBER(FIND("Base",$AB$48:$AB$302))),AF$48:AF$302))/1000</f>
        <v>1304.55</v>
      </c>
      <c r="AG43" s="265">
        <f t="array" ref="AG43">SUM(IF((ISNUMBER(FIND("Total",$Z$48:$Z$302)))*(ISNUMBER(FIND("Base",$AB$48:$AB$302))),AG$48:AG$302))/1000</f>
        <v>184.19900000000001</v>
      </c>
      <c r="AH43" s="265">
        <f t="array" ref="AH43">SUM(IF((ISNUMBER(FIND("Total",$Z$48:$Z$302)))*(ISNUMBER(FIND("Base",$AB$48:$AB$302))),AH$48:AH$302))/1000</f>
        <v>48.817</v>
      </c>
      <c r="AI43" s="265">
        <f t="array" ref="AI43">SUM(IF((ISNUMBER(FIND("Total",$Z$48:$Z$302)))*(ISNUMBER(FIND("Base",$AB$48:$AB$302))),AI$48:AI$302))/1000</f>
        <v>42.03</v>
      </c>
      <c r="AJ43" s="265">
        <f t="array" ref="AJ43">SUM(IF((ISNUMBER(FIND("Total",$Z$48:$Z$302)))*(ISNUMBER(FIND("Base",$AB$48:$AB$302))),AJ$48:AJ$302))/1000</f>
        <v>8852.7109999999993</v>
      </c>
      <c r="AL43" s="248"/>
      <c r="AM43" s="21"/>
      <c r="AN43" s="92"/>
      <c r="AO43" s="266" t="s">
        <v>643</v>
      </c>
      <c r="AP43" s="265">
        <f t="array" ref="AP43">SUM(IF((ISNUMBER(FIND("Total",$AM$48:$AM$302)))*(ISNUMBER(FIND("Base",$AO$48:$AO$302))),AP$48:AP$302))</f>
        <v>2656.9005845378124</v>
      </c>
      <c r="AQ43" s="265">
        <f t="array" ref="AQ43">SUM(IF((ISNUMBER(FIND("Total",$AM$48:$AM$302)))*(ISNUMBER(FIND("Base",$AO$48:$AO$302))),AQ$48:AQ$302))</f>
        <v>3713.0106838193674</v>
      </c>
      <c r="AR43" s="265">
        <f t="array" ref="AR43">SUM(IF((ISNUMBER(FIND("Total",$AM$48:$AM$302)))*(ISNUMBER(FIND("Base",$AO$48:$AO$302))),AR$48:AR$302))</f>
        <v>2033.7723565728365</v>
      </c>
      <c r="AS43" s="265">
        <f t="array" ref="AS43">SUM(IF((ISNUMBER(FIND("Total",$AM$48:$AM$302)))*(ISNUMBER(FIND("Base",$AO$48:$AO$302))),AS$48:AS$302))</f>
        <v>1520.0204992617046</v>
      </c>
      <c r="AT43" s="265">
        <f t="array" ref="AT43">SUM(IF((ISNUMBER(FIND("Total",$AM$48:$AM$302)))*(ISNUMBER(FIND("Base",$AO$48:$AO$302))),AT$48:AT$302))</f>
        <v>215.37244713567313</v>
      </c>
      <c r="AU43" s="265">
        <f t="array" ref="AU43">SUM(IF((ISNUMBER(FIND("Total",$AM$48:$AM$302)))*(ISNUMBER(FIND("Base",$AO$48:$AO$302))),AU$48:AU$302))</f>
        <v>59.999518161340063</v>
      </c>
      <c r="AV43" s="265">
        <f t="array" ref="AV43">SUM(IF((ISNUMBER(FIND("Total",$AM$48:$AM$302)))*(ISNUMBER(FIND("Base",$AO$48:$AO$302))),AV$48:AV$302))</f>
        <v>49.771202525443513</v>
      </c>
      <c r="AW43" s="265">
        <f t="array" ref="AW43">SUM(IF((ISNUMBER(FIND("Total",$AM$48:$AM$302)))*(ISNUMBER(FIND("Base",$AO$48:$AO$302))),AW$48:AW$302))</f>
        <v>10248.849721391281</v>
      </c>
    </row>
    <row r="44" spans="1:49" s="246" customFormat="1" ht="17" thickBot="1">
      <c r="B44" s="113"/>
      <c r="C44" s="114"/>
      <c r="D44" s="114"/>
      <c r="E44" s="114"/>
      <c r="F44" s="114"/>
      <c r="G44" s="114"/>
      <c r="H44" s="114"/>
      <c r="I44" s="114"/>
      <c r="J44" s="114"/>
      <c r="K44" s="114"/>
      <c r="L44" s="114"/>
      <c r="M44" s="114"/>
      <c r="N44" s="114"/>
      <c r="O44" s="114"/>
      <c r="P44" s="114"/>
      <c r="Q44" s="114"/>
      <c r="R44" s="114"/>
      <c r="S44" s="114"/>
      <c r="T44" s="114"/>
      <c r="U44" s="114"/>
      <c r="V44" s="114"/>
      <c r="W44" s="114"/>
      <c r="X44" s="114"/>
      <c r="Y44" s="114"/>
      <c r="Z44" s="21"/>
      <c r="AA44" s="92"/>
      <c r="AB44" s="266" t="s">
        <v>755</v>
      </c>
      <c r="AC44" s="265">
        <f t="array" ref="AC44">SUM(IF((ISNUMBER(FIND("Total",$Z$48:$Z$302)))*(ISNUMBER(FIND("Global",$AB$48:$AB$302))),AC$48:AC$302))/1000+SUM(IF((ISNUMBER(FIND("Total",$Z$48:$Z$302)))*(ISNUMBER(FIND("Overseas",$AB$48:$AB$302))),AC$48:AC$302))/1000+SUM(IF((ISNUMBER(FIND("Total",$Z$48:$Z$302)))*(ISNUMBER(FIND("Other",$AB$48:$AB$302))),AC$48:AC$302))/1000</f>
        <v>210.63399999999999</v>
      </c>
      <c r="AD44" s="265">
        <f t="array" ref="AD44">SUM(IF((ISNUMBER(FIND("Total",$Z$48:$Z$302)))*(ISNUMBER(FIND("Global",$AB$48:$AB$302))),AD$48:AD$302))/1000+SUM(IF((ISNUMBER(FIND("Total",$Z$48:$Z$302)))*(ISNUMBER(FIND("Overseas",$AB$48:$AB$302))),AD$48:AD$302))/1000+SUM(IF((ISNUMBER(FIND("Total",$Z$48:$Z$302)))*(ISNUMBER(FIND("Other",$AB$48:$AB$302))),AD$48:AD$302))/1000</f>
        <v>1243.913</v>
      </c>
      <c r="AE44" s="265">
        <f t="array" ref="AE44">SUM(IF((ISNUMBER(FIND("Total",$Z$48:$Z$302)))*(ISNUMBER(FIND("Global",$AB$48:$AB$302))),AE$48:AE$302))/1000+SUM(IF((ISNUMBER(FIND("Total",$Z$48:$Z$302)))*(ISNUMBER(FIND("Overseas",$AB$48:$AB$302))),AE$48:AE$302))/1000+SUM(IF((ISNUMBER(FIND("Total",$Z$48:$Z$302)))*(ISNUMBER(FIND("Other",$AB$48:$AB$302))),AE$48:AE$302))/1000</f>
        <v>359.27000000000004</v>
      </c>
      <c r="AF44" s="265">
        <f t="array" ref="AF44">SUM(IF((ISNUMBER(FIND("Total",$Z$48:$Z$302)))*(ISNUMBER(FIND("Global",$AB$48:$AB$302))),AF$48:AF$302))/1000+SUM(IF((ISNUMBER(FIND("Total",$Z$48:$Z$302)))*(ISNUMBER(FIND("Overseas",$AB$48:$AB$302))),AF$48:AF$302))/1000+SUM(IF((ISNUMBER(FIND("Total",$Z$48:$Z$302)))*(ISNUMBER(FIND("Other",$AB$48:$AB$302))),AF$48:AF$302))/1000</f>
        <v>14.685999999999998</v>
      </c>
      <c r="AG44" s="265">
        <f t="array" ref="AG44">SUM(IF((ISNUMBER(FIND("Total",$Z$48:$Z$302)))*(ISNUMBER(FIND("Global",$AB$48:$AB$302))),AG$48:AG$302))/1000+SUM(IF((ISNUMBER(FIND("Total",$Z$48:$Z$302)))*(ISNUMBER(FIND("Overseas",$AB$48:$AB$302))),AG$48:AG$302))/1000+SUM(IF((ISNUMBER(FIND("Total",$Z$48:$Z$302)))*(ISNUMBER(FIND("Other",$AB$48:$AB$302))),AG$48:AG$302))/1000</f>
        <v>19.242000000000001</v>
      </c>
      <c r="AH44" s="265">
        <f t="array" ref="AH44">SUM(IF((ISNUMBER(FIND("Total",$Z$48:$Z$302)))*(ISNUMBER(FIND("Global",$AB$48:$AB$302))),AH$48:AH$302))/1000+SUM(IF((ISNUMBER(FIND("Total",$Z$48:$Z$302)))*(ISNUMBER(FIND("Overseas",$AB$48:$AB$302))),AH$48:AH$302))/1000+SUM(IF((ISNUMBER(FIND("Total",$Z$48:$Z$302)))*(ISNUMBER(FIND("Other",$AB$48:$AB$302))),AH$48:AH$302))/1000</f>
        <v>0.106</v>
      </c>
      <c r="AI44" s="265">
        <f t="array" ref="AI44">SUM(IF((ISNUMBER(FIND("Total",$Z$48:$Z$302)))*(ISNUMBER(FIND("Global",$AB$48:$AB$302))),AI$48:AI$302))/1000+SUM(IF((ISNUMBER(FIND("Total",$Z$48:$Z$302)))*(ISNUMBER(FIND("Overseas",$AB$48:$AB$302))),AI$48:AI$302))/1000+SUM(IF((ISNUMBER(FIND("Total",$Z$48:$Z$302)))*(ISNUMBER(FIND("Other",$AB$48:$AB$302))),AI$48:AI$302))/1000</f>
        <v>14.836</v>
      </c>
      <c r="AJ44" s="265">
        <f t="array" ref="AJ44">SUM(IF((ISNUMBER(FIND("Total",$Z$48:$Z$302)))*(ISNUMBER(FIND("Global",$AB$48:$AB$302))),AJ$48:AJ$302))/1000+SUM(IF((ISNUMBER(FIND("Total",$Z$48:$Z$302)))*(ISNUMBER(FIND("Overseas",$AB$48:$AB$302))),AJ$48:AJ$302))/1000+SUM(IF((ISNUMBER(FIND("Total",$Z$48:$Z$302)))*(ISNUMBER(FIND("Other",$AB$48:$AB$302))),AJ$48:AJ$302))/1000</f>
        <v>1862.6890000000001</v>
      </c>
      <c r="AL44" s="251"/>
      <c r="AM44" s="21"/>
      <c r="AN44" s="92"/>
      <c r="AO44" s="266" t="s">
        <v>755</v>
      </c>
      <c r="AP44" s="265">
        <f t="array" ref="AP44">SUM(IF((ISNUMBER(FIND("Total",$AM$48:$AM$302)))*(ISNUMBER(FIND("Global",$AO$48:$AO$302))),AP$48:AP$302))+SUM(IF((ISNUMBER(FIND("Total",$AM$48:$AM$302)))*(ISNUMBER(FIND("Overseas",$AO$48:$AO$302))),AP$48:AP$302))+SUM(IF((ISNUMBER(FIND("Total",$AM$48:$AM$302)))*(ISNUMBER(FIND("Other",$AO$48:$AO$302))),AP$48:AP$302))</f>
        <v>251.63718101465548</v>
      </c>
      <c r="AQ44" s="265">
        <f t="array" ref="AQ44">SUM(IF((ISNUMBER(FIND("Total",$AM$48:$AM$302)))*(ISNUMBER(FIND("Global",$AO$48:$AO$302))),AQ$48:AQ$302))+SUM(IF((ISNUMBER(FIND("Total",$AM$48:$AM$302)))*(ISNUMBER(FIND("Overseas",$AO$48:$AO$302))),AQ$48:AQ$302))+SUM(IF((ISNUMBER(FIND("Total",$AM$48:$AM$302)))*(ISNUMBER(FIND("Other",$AO$48:$AO$302))),AQ$48:AQ$302))</f>
        <v>1446.5354863319508</v>
      </c>
      <c r="AR44" s="265">
        <f t="array" ref="AR44">SUM(IF((ISNUMBER(FIND("Total",$AM$48:$AM$302)))*(ISNUMBER(FIND("Global",$AO$48:$AO$302))),AR$48:AR$302))+SUM(IF((ISNUMBER(FIND("Total",$AM$48:$AM$302)))*(ISNUMBER(FIND("Overseas",$AO$48:$AO$302))),AR$48:AR$302))+SUM(IF((ISNUMBER(FIND("Total",$AM$48:$AM$302)))*(ISNUMBER(FIND("Other",$AO$48:$AO$302))),AR$48:AR$302))</f>
        <v>418.25726980811868</v>
      </c>
      <c r="AS44" s="265">
        <f t="array" ref="AS44">SUM(IF((ISNUMBER(FIND("Total",$AM$48:$AM$302)))*(ISNUMBER(FIND("Global",$AO$48:$AO$302))),AS$48:AS$302))+SUM(IF((ISNUMBER(FIND("Total",$AM$48:$AM$302)))*(ISNUMBER(FIND("Overseas",$AO$48:$AO$302))),AS$48:AS$302))+SUM(IF((ISNUMBER(FIND("Total",$AM$48:$AM$302)))*(ISNUMBER(FIND("Other",$AO$48:$AO$302))),AS$48:AS$302))</f>
        <v>16.914156848273315</v>
      </c>
      <c r="AT44" s="265">
        <f t="array" ref="AT44">SUM(IF((ISNUMBER(FIND("Total",$AM$48:$AM$302)))*(ISNUMBER(FIND("Global",$AO$48:$AO$302))),AT$48:AT$302))+SUM(IF((ISNUMBER(FIND("Total",$AM$48:$AM$302)))*(ISNUMBER(FIND("Overseas",$AO$48:$AO$302))),AT$48:AT$302))+SUM(IF((ISNUMBER(FIND("Total",$AM$48:$AM$302)))*(ISNUMBER(FIND("Other",$AO$48:$AO$302))),AT$48:AT$302))</f>
        <v>22.762250585975671</v>
      </c>
      <c r="AU44" s="265">
        <f t="array" ref="AU44">SUM(IF((ISNUMBER(FIND("Total",$AM$48:$AM$302)))*(ISNUMBER(FIND("Global",$AO$48:$AO$302))),AU$48:AU$302))+SUM(IF((ISNUMBER(FIND("Total",$AM$48:$AM$302)))*(ISNUMBER(FIND("Overseas",$AO$48:$AO$302))),AU$48:AU$302))+SUM(IF((ISNUMBER(FIND("Total",$AM$48:$AM$302)))*(ISNUMBER(FIND("Other",$AO$48:$AO$302))),AU$48:AU$302))</f>
        <v>0.14259731339186726</v>
      </c>
      <c r="AV44" s="265">
        <f t="array" ref="AV44">SUM(IF((ISNUMBER(FIND("Total",$AM$48:$AM$302)))*(ISNUMBER(FIND("Global",$AO$48:$AO$302))),AV$48:AV$302))+SUM(IF((ISNUMBER(FIND("Total",$AM$48:$AM$302)))*(ISNUMBER(FIND("Overseas",$AO$48:$AO$302))),AV$48:AV$302))+SUM(IF((ISNUMBER(FIND("Total",$AM$48:$AM$302)))*(ISNUMBER(FIND("Other",$AO$48:$AO$302))),AV$48:AV$302))</f>
        <v>18.077652187618625</v>
      </c>
      <c r="AW44" s="394">
        <f t="array" ref="AW44">SUM(IF((ISNUMBER(FIND("Total",$AM$48:$AM$302)))*(ISNUMBER(FIND("Global",$AO$48:$AO$302))),AW$48:AW$302))+SUM(IF((ISNUMBER(FIND("Total",$AM$48:$AM$302)))*(ISNUMBER(FIND("Overseas",$AO$48:$AO$302))),AW$48:AW$302))+SUM(IF((ISNUMBER(FIND("Total",$AM$48:$AM$302)))*(ISNUMBER(FIND("Other",$AO$48:$AO$302))),AW$48:AW$302))</f>
        <v>2174.3293579250903</v>
      </c>
    </row>
    <row r="45" spans="1:49" s="246" customFormat="1" ht="17" thickBot="1">
      <c r="B45" s="113"/>
      <c r="C45" s="114"/>
      <c r="D45" s="113"/>
      <c r="E45" s="113"/>
      <c r="F45" s="114"/>
      <c r="G45" s="114"/>
      <c r="H45" s="114"/>
      <c r="I45" s="114"/>
      <c r="J45" s="113"/>
      <c r="K45" s="114"/>
      <c r="L45" s="114"/>
      <c r="M45" s="113"/>
      <c r="N45" s="113"/>
      <c r="O45" s="114"/>
      <c r="P45" s="114"/>
      <c r="Q45" s="114"/>
      <c r="R45" s="113"/>
      <c r="S45" s="113"/>
      <c r="T45" s="113"/>
      <c r="U45" s="113"/>
      <c r="V45" s="113"/>
      <c r="W45" s="113"/>
      <c r="X45" s="113"/>
      <c r="Y45" s="113"/>
      <c r="Z45" s="21"/>
      <c r="AA45" s="92"/>
      <c r="AB45" s="266" t="s">
        <v>754</v>
      </c>
      <c r="AC45" s="265">
        <f t="array" ref="AC45">SUM(IF((ISNUMBER(FIND("Total",$Z$48:$Z$302))),AC$48:AC$302))/1000-AC44-AC43</f>
        <v>0.54800000000022919</v>
      </c>
      <c r="AD45" s="265">
        <f t="array" ref="AD45">SUM(IF((ISNUMBER(FIND("Total",$Z$48:$Z$302))),AD$48:AD$302))/1000-AD44-AD43</f>
        <v>11.496999999999844</v>
      </c>
      <c r="AE45" s="265">
        <f t="array" ref="AE45">SUM(IF((ISNUMBER(FIND("Total",$Z$48:$Z$302))),AE$48:AE$302))/1000-AE44-AE43</f>
        <v>5.66599999999994</v>
      </c>
      <c r="AF45" s="265">
        <f t="array" ref="AF45">SUM(IF((ISNUMBER(FIND("Total",$Z$48:$Z$302))),AF$48:AF$302))/1000-AF44-AF43</f>
        <v>1.803000000000111</v>
      </c>
      <c r="AG45" s="265">
        <f t="array" ref="AG45">SUM(IF((ISNUMBER(FIND("Total",$Z$48:$Z$302))),AG$48:AG$302))/1000-AG44-AG43</f>
        <v>3.8009999999999877</v>
      </c>
      <c r="AH45" s="265">
        <f t="array" ref="AH45">SUM(IF((ISNUMBER(FIND("Total",$Z$48:$Z$302))),AH$48:AH$302))/1000-AH44-AH43</f>
        <v>1.1709999999999994</v>
      </c>
      <c r="AI45" s="265">
        <f t="array" ref="AI45">SUM(IF((ISNUMBER(FIND("Total",$Z$48:$Z$302))),AI$48:AI$302))/1000-AI44-AI43</f>
        <v>9.4000000000001194E-2</v>
      </c>
      <c r="AJ45" s="265">
        <f t="array" ref="AJ45">SUM(IF((ISNUMBER(FIND("Total",$Z$48:$Z$302))),AJ$48:AJ$302))/1000-AJ44-AJ43</f>
        <v>24.578999999999724</v>
      </c>
      <c r="AL45" s="251"/>
      <c r="AM45" s="21"/>
      <c r="AN45" s="92"/>
      <c r="AO45" s="266" t="s">
        <v>754</v>
      </c>
      <c r="AP45" s="265">
        <f t="array" ref="AP45">SUM(IF((ISNUMBER(FIND("Total",$AM$48:$AM$302))),AP$48:AP$302))-AP44-AP43</f>
        <v>0.68265143688222452</v>
      </c>
      <c r="AQ45" s="265">
        <f t="array" ref="AQ45">SUM(IF((ISNUMBER(FIND("Total",$AM$48:$AM$302))),AQ$48:AQ$302))-AQ44-AQ43</f>
        <v>13.910530921890768</v>
      </c>
      <c r="AR45" s="265">
        <f t="array" ref="AR45">SUM(IF((ISNUMBER(FIND("Total",$AM$48:$AM$302))),AR$48:AR$302))-AR44-AR43</f>
        <v>6.4766349250364783</v>
      </c>
      <c r="AS45" s="265">
        <f t="array" ref="AS45">SUM(IF((ISNUMBER(FIND("Total",$AM$48:$AM$302))),AS$48:AS$302))-AS44-AS43</f>
        <v>1.9036331012191567</v>
      </c>
      <c r="AT45" s="265">
        <f t="array" ref="AT45">SUM(IF((ISNUMBER(FIND("Total",$AM$48:$AM$302))),AT$48:AT$302))-AT44-AT43</f>
        <v>4.5361698891081801</v>
      </c>
      <c r="AU45" s="265">
        <f t="array" ref="AU45">SUM(IF((ISNUMBER(FIND("Total",$AM$48:$AM$302))),AU$48:AU$302))-AU44-AU43</f>
        <v>1.4103941580705666</v>
      </c>
      <c r="AV45" s="265">
        <f t="array" ref="AV45">SUM(IF((ISNUMBER(FIND("Total",$AM$48:$AM$302))),AV$48:AV$302))-AV44-AV43</f>
        <v>0.11380694458449625</v>
      </c>
      <c r="AW45" s="393">
        <f t="array" ref="AW45">SUM(IF((ISNUMBER(FIND("Total",$AM$48:$AM$302))),AW$48:AW$302))-AW44-AW43</f>
        <v>29.032391382956121</v>
      </c>
    </row>
    <row r="46" spans="1:49" s="364" customFormat="1">
      <c r="B46" s="115"/>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257" t="s">
        <v>723</v>
      </c>
      <c r="AA46" s="258">
        <f>SUBTOTAL(3,AB48:AB302)</f>
        <v>1</v>
      </c>
      <c r="AB46" s="257" t="s">
        <v>724</v>
      </c>
      <c r="AC46" s="265">
        <f>SUBTOTAL(9,AC48:AC302)/1000</f>
        <v>3.7519999999999998</v>
      </c>
      <c r="AD46" s="265">
        <f t="shared" ref="AD46:AJ46" si="3">SUBTOTAL(9,AD48:AD302)/1000</f>
        <v>60.134999999999998</v>
      </c>
      <c r="AE46" s="265">
        <f t="shared" si="3"/>
        <v>16.271000000000001</v>
      </c>
      <c r="AF46" s="265">
        <f t="shared" si="3"/>
        <v>1.534</v>
      </c>
      <c r="AG46" s="265">
        <f t="shared" si="3"/>
        <v>0.42</v>
      </c>
      <c r="AH46" s="265">
        <f t="shared" si="3"/>
        <v>0</v>
      </c>
      <c r="AI46" s="265">
        <f t="shared" si="3"/>
        <v>0.378</v>
      </c>
      <c r="AJ46" s="265">
        <f t="shared" si="3"/>
        <v>82.49</v>
      </c>
      <c r="AL46" s="365"/>
      <c r="AM46" s="21"/>
      <c r="AN46" s="92"/>
      <c r="AO46" s="249">
        <f>SUBTOTAL(3,AO48:AO302)</f>
        <v>1</v>
      </c>
      <c r="AP46" s="265">
        <f>SUBTOTAL(9,AP48:AP302)</f>
        <v>3.8992336293885153</v>
      </c>
      <c r="AQ46" s="265">
        <f t="shared" ref="AQ46:AW46" si="4">SUBTOTAL(9,AQ48:AQ302)</f>
        <v>62.494779931577384</v>
      </c>
      <c r="AR46" s="265">
        <f t="shared" si="4"/>
        <v>16.909496370943639</v>
      </c>
      <c r="AS46" s="265">
        <f t="shared" si="4"/>
        <v>1.5941962653203574</v>
      </c>
      <c r="AT46" s="265">
        <f t="shared" si="4"/>
        <v>0.43648137642408752</v>
      </c>
      <c r="AU46" s="265">
        <f t="shared" si="4"/>
        <v>0</v>
      </c>
      <c r="AV46" s="265">
        <f t="shared" si="4"/>
        <v>0.39283323878167875</v>
      </c>
      <c r="AW46" s="265">
        <f t="shared" si="4"/>
        <v>85.727020812435654</v>
      </c>
    </row>
    <row r="47" spans="1:49" s="246" customFormat="1" ht="39">
      <c r="B47" s="252"/>
      <c r="Y47" s="267" t="s">
        <v>756</v>
      </c>
      <c r="Z47" s="154" t="s">
        <v>0</v>
      </c>
      <c r="AA47" s="154" t="s">
        <v>1</v>
      </c>
      <c r="AB47" s="154" t="s">
        <v>688</v>
      </c>
      <c r="AC47" s="154" t="s">
        <v>2</v>
      </c>
      <c r="AD47" s="154" t="s">
        <v>3</v>
      </c>
      <c r="AE47" s="154" t="s">
        <v>4</v>
      </c>
      <c r="AF47" s="154" t="s">
        <v>5</v>
      </c>
      <c r="AG47" s="154" t="s">
        <v>6</v>
      </c>
      <c r="AH47" s="154" t="s">
        <v>19</v>
      </c>
      <c r="AI47" s="154" t="s">
        <v>8</v>
      </c>
      <c r="AJ47" s="154" t="s">
        <v>9</v>
      </c>
      <c r="AK47" s="251"/>
      <c r="AL47" s="19" t="s">
        <v>598</v>
      </c>
      <c r="AM47" s="154" t="s">
        <v>0</v>
      </c>
      <c r="AN47" s="154" t="s">
        <v>1</v>
      </c>
      <c r="AO47" s="154" t="s">
        <v>688</v>
      </c>
      <c r="AP47" s="154" t="s">
        <v>2</v>
      </c>
      <c r="AQ47" s="154" t="s">
        <v>3</v>
      </c>
      <c r="AR47" s="154" t="s">
        <v>4</v>
      </c>
      <c r="AS47" s="154" t="s">
        <v>5</v>
      </c>
      <c r="AT47" s="154" t="s">
        <v>6</v>
      </c>
      <c r="AU47" s="154" t="s">
        <v>19</v>
      </c>
      <c r="AV47" s="154" t="s">
        <v>8</v>
      </c>
      <c r="AW47" s="154" t="s">
        <v>9</v>
      </c>
    </row>
    <row r="48" spans="1:49" s="248" customFormat="1" hidden="1">
      <c r="A48" s="251"/>
      <c r="B48" s="253"/>
      <c r="C48" s="251"/>
      <c r="D48" s="251"/>
      <c r="E48" s="251"/>
      <c r="F48" s="251"/>
      <c r="G48" s="251"/>
      <c r="H48" s="251"/>
      <c r="I48" s="251"/>
      <c r="J48" s="251"/>
      <c r="K48" s="251"/>
      <c r="L48" s="246"/>
      <c r="Z48" s="153" t="s">
        <v>10</v>
      </c>
      <c r="AA48" s="153">
        <v>2001</v>
      </c>
      <c r="AB48" s="153" t="s">
        <v>689</v>
      </c>
      <c r="AC48" s="153">
        <v>76374</v>
      </c>
      <c r="AD48" s="153">
        <v>98251</v>
      </c>
      <c r="AE48" s="153">
        <v>61628</v>
      </c>
      <c r="AF48" s="153">
        <v>41108</v>
      </c>
      <c r="AG48" s="153">
        <v>5360</v>
      </c>
      <c r="AH48" s="153">
        <v>3622</v>
      </c>
      <c r="AI48" s="153">
        <v>1075</v>
      </c>
      <c r="AJ48" s="153">
        <v>287418</v>
      </c>
      <c r="AL48" s="254">
        <f>VLOOKUP(AA48,pgdp!$A$13:$C$90,3,FALSE)</f>
        <v>0.71033050332114134</v>
      </c>
      <c r="AM48" s="153" t="s">
        <v>10</v>
      </c>
      <c r="AN48" s="153">
        <v>2001</v>
      </c>
      <c r="AO48" s="153" t="s">
        <v>689</v>
      </c>
      <c r="AP48" s="255">
        <f>AC48/$AL48/1000</f>
        <v>107.51896426088184</v>
      </c>
      <c r="AQ48" s="255">
        <f t="shared" ref="AQ48:AQ111" si="5">AD48/$AL48/1000</f>
        <v>138.31730376300703</v>
      </c>
      <c r="AR48" s="255">
        <f t="shared" ref="AR48:AR111" si="6">AE48/$AL48/1000</f>
        <v>86.759613605017748</v>
      </c>
      <c r="AS48" s="255">
        <f t="shared" ref="AS48:AS111" si="7">AF48/$AL48/1000</f>
        <v>57.871652431931416</v>
      </c>
      <c r="AT48" s="255">
        <f t="shared" ref="AT48:AT111" si="8">AG48/$AL48/1000</f>
        <v>7.5457832303968191</v>
      </c>
      <c r="AU48" s="255">
        <f t="shared" ref="AU48:AU111" si="9">AH48/$AL48/1000</f>
        <v>5.0990348620330739</v>
      </c>
      <c r="AV48" s="255">
        <f t="shared" ref="AV48:AV111" si="10">AI48/$AL48/1000</f>
        <v>1.51338003221578</v>
      </c>
      <c r="AW48" s="255">
        <f t="shared" ref="AW48:AW111" si="11">AJ48/$AL48/1000</f>
        <v>404.62573218548374</v>
      </c>
    </row>
    <row r="49" spans="1:49" s="248" customFormat="1" hidden="1">
      <c r="A49" s="251"/>
      <c r="B49" s="253"/>
      <c r="C49" s="251"/>
      <c r="D49" s="251"/>
      <c r="E49" s="251"/>
      <c r="F49" s="251"/>
      <c r="G49" s="251"/>
      <c r="H49" s="251"/>
      <c r="I49" s="251"/>
      <c r="J49" s="251"/>
      <c r="K49" s="251"/>
      <c r="L49" s="246"/>
      <c r="Z49" s="153" t="s">
        <v>10</v>
      </c>
      <c r="AA49" s="153">
        <v>2001</v>
      </c>
      <c r="AB49" s="153" t="s">
        <v>690</v>
      </c>
      <c r="AC49" s="153">
        <v>0</v>
      </c>
      <c r="AD49" s="153">
        <v>21769</v>
      </c>
      <c r="AE49" s="153">
        <v>1165</v>
      </c>
      <c r="AF49" s="153">
        <v>0</v>
      </c>
      <c r="AG49" s="153">
        <v>0</v>
      </c>
      <c r="AH49" s="153">
        <v>0</v>
      </c>
      <c r="AI49" s="153">
        <v>0</v>
      </c>
      <c r="AJ49" s="153">
        <v>22934</v>
      </c>
      <c r="AK49" s="251"/>
      <c r="AL49" s="254">
        <f>VLOOKUP(AA49,pgdp!$A$13:$C$90,3,FALSE)</f>
        <v>0.71033050332114134</v>
      </c>
      <c r="AM49" s="153" t="s">
        <v>10</v>
      </c>
      <c r="AN49" s="153">
        <v>2001</v>
      </c>
      <c r="AO49" s="153" t="s">
        <v>690</v>
      </c>
      <c r="AP49" s="255">
        <f t="shared" ref="AP49:AP112" si="12">AC49/$AL49/1000</f>
        <v>0</v>
      </c>
      <c r="AQ49" s="255">
        <f t="shared" si="5"/>
        <v>30.646297601214243</v>
      </c>
      <c r="AR49" s="255">
        <f t="shared" si="6"/>
        <v>1.6400816163082639</v>
      </c>
      <c r="AS49" s="255">
        <f t="shared" si="7"/>
        <v>0</v>
      </c>
      <c r="AT49" s="255">
        <f t="shared" si="8"/>
        <v>0</v>
      </c>
      <c r="AU49" s="255">
        <f t="shared" si="9"/>
        <v>0</v>
      </c>
      <c r="AV49" s="255">
        <f t="shared" si="10"/>
        <v>0</v>
      </c>
      <c r="AW49" s="255">
        <f t="shared" si="11"/>
        <v>32.286379217522509</v>
      </c>
    </row>
    <row r="50" spans="1:49" s="248" customFormat="1" ht="24" hidden="1">
      <c r="A50" s="247"/>
      <c r="B50" s="92"/>
      <c r="C50" s="246"/>
      <c r="D50" s="245"/>
      <c r="E50" s="245"/>
      <c r="F50" s="245"/>
      <c r="G50" s="245"/>
      <c r="H50" s="245"/>
      <c r="I50" s="245"/>
      <c r="J50" s="245"/>
      <c r="K50" s="245"/>
      <c r="L50" s="246"/>
      <c r="N50" s="247"/>
      <c r="O50" s="92"/>
      <c r="P50" s="246"/>
      <c r="Q50" s="245"/>
      <c r="R50" s="245"/>
      <c r="S50" s="245"/>
      <c r="T50" s="245"/>
      <c r="U50" s="245"/>
      <c r="V50" s="245"/>
      <c r="W50" s="245"/>
      <c r="Z50" s="153" t="s">
        <v>10</v>
      </c>
      <c r="AA50" s="153">
        <v>2001</v>
      </c>
      <c r="AB50" s="153" t="s">
        <v>691</v>
      </c>
      <c r="AC50" s="153">
        <v>515</v>
      </c>
      <c r="AD50" s="153">
        <v>4724</v>
      </c>
      <c r="AE50" s="153">
        <v>-187</v>
      </c>
      <c r="AF50" s="153">
        <v>487</v>
      </c>
      <c r="AG50" s="153">
        <v>63</v>
      </c>
      <c r="AH50" s="153">
        <v>60</v>
      </c>
      <c r="AI50" s="153">
        <v>178</v>
      </c>
      <c r="AJ50" s="153">
        <v>5840</v>
      </c>
      <c r="AL50" s="254">
        <f>VLOOKUP(AA50,pgdp!$A$13:$C$90,3,FALSE)</f>
        <v>0.71033050332114134</v>
      </c>
      <c r="AM50" s="153" t="s">
        <v>10</v>
      </c>
      <c r="AN50" s="153">
        <v>2001</v>
      </c>
      <c r="AO50" s="153" t="s">
        <v>691</v>
      </c>
      <c r="AP50" s="255">
        <f t="shared" si="12"/>
        <v>0.72501462008476891</v>
      </c>
      <c r="AQ50" s="255">
        <f t="shared" si="5"/>
        <v>6.6504253694765998</v>
      </c>
      <c r="AR50" s="255">
        <f t="shared" si="6"/>
        <v>-0.26325773583660544</v>
      </c>
      <c r="AS50" s="255">
        <f t="shared" si="7"/>
        <v>0.68559634947821835</v>
      </c>
      <c r="AT50" s="255">
        <f t="shared" si="8"/>
        <v>8.869110886473873E-2</v>
      </c>
      <c r="AU50" s="255">
        <f t="shared" si="9"/>
        <v>8.4467722728322606E-2</v>
      </c>
      <c r="AV50" s="255">
        <f t="shared" si="10"/>
        <v>0.25058757742735704</v>
      </c>
      <c r="AW50" s="255">
        <f t="shared" si="11"/>
        <v>8.2215250122233989</v>
      </c>
    </row>
    <row r="51" spans="1:49" s="248" customFormat="1" hidden="1">
      <c r="A51" s="21"/>
      <c r="B51" s="92"/>
      <c r="C51" s="245"/>
      <c r="D51" s="249"/>
      <c r="E51" s="249"/>
      <c r="F51" s="249"/>
      <c r="G51" s="249"/>
      <c r="H51" s="249"/>
      <c r="I51" s="249"/>
      <c r="J51" s="249"/>
      <c r="K51" s="249"/>
      <c r="L51" s="246"/>
      <c r="N51" s="21"/>
      <c r="O51" s="92"/>
      <c r="P51" s="245"/>
      <c r="Q51" s="249"/>
      <c r="R51" s="249"/>
      <c r="S51" s="249"/>
      <c r="T51" s="249"/>
      <c r="U51" s="249"/>
      <c r="V51" s="249"/>
      <c r="W51" s="249"/>
      <c r="Z51" s="153" t="s">
        <v>10</v>
      </c>
      <c r="AA51" s="153">
        <v>2002</v>
      </c>
      <c r="AB51" s="153" t="s">
        <v>689</v>
      </c>
      <c r="AC51" s="153">
        <v>86724</v>
      </c>
      <c r="AD51" s="153">
        <v>117962</v>
      </c>
      <c r="AE51" s="153">
        <v>61547</v>
      </c>
      <c r="AF51" s="153">
        <v>48732</v>
      </c>
      <c r="AG51" s="153">
        <v>6526</v>
      </c>
      <c r="AH51" s="153">
        <v>4049</v>
      </c>
      <c r="AI51" s="153">
        <v>2644</v>
      </c>
      <c r="AJ51" s="153">
        <v>328184</v>
      </c>
      <c r="AK51" s="251"/>
      <c r="AL51" s="254">
        <f>VLOOKUP(AA51,pgdp!$A$13:$C$90,3,FALSE)</f>
        <v>0.72177029812501559</v>
      </c>
      <c r="AM51" s="153" t="s">
        <v>10</v>
      </c>
      <c r="AN51" s="153">
        <v>2002</v>
      </c>
      <c r="AO51" s="153" t="s">
        <v>689</v>
      </c>
      <c r="AP51" s="255">
        <f t="shared" si="12"/>
        <v>120.15457026326513</v>
      </c>
      <c r="AQ51" s="255">
        <f t="shared" si="5"/>
        <v>163.43426753142475</v>
      </c>
      <c r="AR51" s="255">
        <f t="shared" si="6"/>
        <v>85.272281444504159</v>
      </c>
      <c r="AS51" s="255">
        <f t="shared" si="7"/>
        <v>67.517325285612245</v>
      </c>
      <c r="AT51" s="255">
        <f t="shared" si="8"/>
        <v>9.0416577364751198</v>
      </c>
      <c r="AU51" s="255">
        <f t="shared" si="9"/>
        <v>5.6098179857474344</v>
      </c>
      <c r="AV51" s="255">
        <f t="shared" si="10"/>
        <v>3.6632153011400876</v>
      </c>
      <c r="AW51" s="255">
        <f t="shared" si="11"/>
        <v>454.69313554816893</v>
      </c>
    </row>
    <row r="52" spans="1:49" hidden="1">
      <c r="A52" s="21"/>
      <c r="B52" s="92"/>
      <c r="C52" s="245"/>
      <c r="D52" s="250"/>
      <c r="E52" s="250"/>
      <c r="F52" s="250"/>
      <c r="G52" s="250"/>
      <c r="H52" s="250"/>
      <c r="I52" s="250"/>
      <c r="J52" s="250"/>
      <c r="K52" s="250"/>
      <c r="L52" s="246"/>
      <c r="N52" s="21"/>
      <c r="O52" s="92"/>
      <c r="P52" s="245"/>
      <c r="Q52" s="250"/>
      <c r="R52" s="250"/>
      <c r="S52" s="250"/>
      <c r="T52" s="250"/>
      <c r="U52" s="250"/>
      <c r="V52" s="250"/>
      <c r="W52" s="250"/>
      <c r="Z52" s="153" t="s">
        <v>10</v>
      </c>
      <c r="AA52" s="153">
        <v>2002</v>
      </c>
      <c r="AB52" s="153" t="s">
        <v>692</v>
      </c>
      <c r="AC52" s="153">
        <v>206</v>
      </c>
      <c r="AD52" s="153">
        <v>15379</v>
      </c>
      <c r="AE52" s="153">
        <v>1194</v>
      </c>
      <c r="AF52" s="153">
        <v>-14</v>
      </c>
      <c r="AG52" s="153">
        <v>105</v>
      </c>
      <c r="AH52" s="153">
        <v>0</v>
      </c>
      <c r="AI52" s="153">
        <v>0</v>
      </c>
      <c r="AJ52" s="153">
        <v>16870</v>
      </c>
      <c r="AL52" s="254">
        <f>VLOOKUP(AA52,pgdp!$A$13:$C$90,3,FALSE)</f>
        <v>0.72177029812501559</v>
      </c>
      <c r="AM52" s="153" t="s">
        <v>10</v>
      </c>
      <c r="AN52" s="153">
        <v>2002</v>
      </c>
      <c r="AO52" s="153" t="s">
        <v>692</v>
      </c>
      <c r="AP52" s="255">
        <f t="shared" si="12"/>
        <v>0.2854093615865575</v>
      </c>
      <c r="AQ52" s="255">
        <f t="shared" si="5"/>
        <v>21.307332873008097</v>
      </c>
      <c r="AR52" s="255">
        <f t="shared" si="6"/>
        <v>1.6542659113317946</v>
      </c>
      <c r="AS52" s="255">
        <f t="shared" si="7"/>
        <v>-1.9396752729183522E-2</v>
      </c>
      <c r="AT52" s="255">
        <f t="shared" si="8"/>
        <v>0.14547564546887642</v>
      </c>
      <c r="AU52" s="255">
        <f t="shared" si="9"/>
        <v>0</v>
      </c>
      <c r="AV52" s="255">
        <f t="shared" si="10"/>
        <v>0</v>
      </c>
      <c r="AW52" s="255">
        <f t="shared" si="11"/>
        <v>23.373087038666146</v>
      </c>
    </row>
    <row r="53" spans="1:49" hidden="1">
      <c r="A53" s="21"/>
      <c r="B53" s="92"/>
      <c r="C53" s="245"/>
      <c r="D53" s="249"/>
      <c r="E53" s="249"/>
      <c r="F53" s="249"/>
      <c r="G53" s="249"/>
      <c r="H53" s="249"/>
      <c r="I53" s="249"/>
      <c r="J53" s="249"/>
      <c r="K53" s="249"/>
      <c r="L53" s="246"/>
      <c r="N53" s="21"/>
      <c r="O53" s="92"/>
      <c r="P53" s="245"/>
      <c r="Q53" s="249"/>
      <c r="R53" s="249"/>
      <c r="S53" s="249"/>
      <c r="T53" s="249"/>
      <c r="U53" s="249"/>
      <c r="V53" s="249"/>
      <c r="W53" s="249"/>
      <c r="Z53" s="153" t="s">
        <v>10</v>
      </c>
      <c r="AA53" s="153">
        <v>2003</v>
      </c>
      <c r="AB53" s="153" t="s">
        <v>689</v>
      </c>
      <c r="AC53" s="153">
        <v>93934</v>
      </c>
      <c r="AD53" s="153">
        <v>124931</v>
      </c>
      <c r="AE53" s="153">
        <v>74756</v>
      </c>
      <c r="AF53" s="153">
        <v>57294</v>
      </c>
      <c r="AG53" s="153">
        <v>6483</v>
      </c>
      <c r="AH53" s="153">
        <v>4181</v>
      </c>
      <c r="AI53" s="153">
        <v>3342</v>
      </c>
      <c r="AJ53" s="153">
        <v>364919</v>
      </c>
      <c r="AK53" s="248"/>
      <c r="AL53" s="254">
        <f>VLOOKUP(AA53,pgdp!$A$13:$C$90,3,FALSE)</f>
        <v>0.73558157581522121</v>
      </c>
      <c r="AM53" s="153" t="s">
        <v>10</v>
      </c>
      <c r="AN53" s="153">
        <v>2003</v>
      </c>
      <c r="AO53" s="153" t="s">
        <v>689</v>
      </c>
      <c r="AP53" s="255">
        <f t="shared" si="12"/>
        <v>127.70031644130836</v>
      </c>
      <c r="AQ53" s="255">
        <f t="shared" si="5"/>
        <v>169.83976231533944</v>
      </c>
      <c r="AR53" s="255">
        <f t="shared" si="6"/>
        <v>101.62842906600855</v>
      </c>
      <c r="AS53" s="255">
        <f t="shared" si="7"/>
        <v>77.88938967986374</v>
      </c>
      <c r="AT53" s="255">
        <f t="shared" si="8"/>
        <v>8.8134344485383576</v>
      </c>
      <c r="AU53" s="255">
        <f t="shared" si="9"/>
        <v>5.683937903646286</v>
      </c>
      <c r="AV53" s="255">
        <f t="shared" si="10"/>
        <v>4.5433438110466122</v>
      </c>
      <c r="AW53" s="255">
        <f t="shared" si="11"/>
        <v>496.09589472870101</v>
      </c>
    </row>
    <row r="54" spans="1:49" s="248" customFormat="1" hidden="1">
      <c r="A54" s="21"/>
      <c r="B54" s="92"/>
      <c r="C54" s="249"/>
      <c r="D54" s="249"/>
      <c r="E54" s="249"/>
      <c r="F54" s="249"/>
      <c r="G54" s="249"/>
      <c r="H54" s="249"/>
      <c r="I54" s="249"/>
      <c r="J54" s="249"/>
      <c r="K54" s="249"/>
      <c r="L54" s="246"/>
      <c r="N54" s="21"/>
      <c r="O54" s="92"/>
      <c r="P54" s="249"/>
      <c r="Q54" s="249"/>
      <c r="R54" s="249"/>
      <c r="S54" s="249"/>
      <c r="T54" s="249"/>
      <c r="U54" s="249"/>
      <c r="V54" s="249"/>
      <c r="W54" s="249"/>
      <c r="Z54" s="153" t="s">
        <v>10</v>
      </c>
      <c r="AA54" s="153">
        <v>2003</v>
      </c>
      <c r="AB54" s="153" t="s">
        <v>693</v>
      </c>
      <c r="AC54" s="153">
        <v>15019</v>
      </c>
      <c r="AD54" s="153">
        <v>52785</v>
      </c>
      <c r="AE54" s="153">
        <v>3734</v>
      </c>
      <c r="AF54" s="153">
        <v>809</v>
      </c>
      <c r="AG54" s="153">
        <v>186</v>
      </c>
      <c r="AH54" s="153">
        <v>2</v>
      </c>
      <c r="AI54" s="153">
        <v>0</v>
      </c>
      <c r="AJ54" s="153">
        <v>72536</v>
      </c>
      <c r="AK54" s="251"/>
      <c r="AL54" s="254">
        <f>VLOOKUP(AA54,pgdp!$A$13:$C$90,3,FALSE)</f>
        <v>0.73558157581522121</v>
      </c>
      <c r="AM54" s="153" t="s">
        <v>10</v>
      </c>
      <c r="AN54" s="153">
        <v>2003</v>
      </c>
      <c r="AO54" s="153" t="s">
        <v>693</v>
      </c>
      <c r="AP54" s="255">
        <f t="shared" si="12"/>
        <v>20.417857779206784</v>
      </c>
      <c r="AQ54" s="255">
        <f t="shared" si="5"/>
        <v>71.759546099968716</v>
      </c>
      <c r="AR54" s="255">
        <f t="shared" si="6"/>
        <v>5.0762554729048626</v>
      </c>
      <c r="AS54" s="255">
        <f t="shared" si="7"/>
        <v>1.0998100368452153</v>
      </c>
      <c r="AT54" s="255">
        <f t="shared" si="8"/>
        <v>0.25286114567763912</v>
      </c>
      <c r="AU54" s="255">
        <f t="shared" si="9"/>
        <v>2.7189370502971946E-3</v>
      </c>
      <c r="AV54" s="255">
        <f t="shared" si="10"/>
        <v>0</v>
      </c>
      <c r="AW54" s="255">
        <f t="shared" si="11"/>
        <v>98.610408940178658</v>
      </c>
    </row>
    <row r="55" spans="1:49" hidden="1">
      <c r="A55" s="154"/>
      <c r="B55" s="154"/>
      <c r="C55" s="154"/>
      <c r="D55" s="154"/>
      <c r="E55" s="154"/>
      <c r="F55" s="154"/>
      <c r="G55" s="154"/>
      <c r="H55" s="154"/>
      <c r="I55" s="154"/>
      <c r="J55" s="154"/>
      <c r="K55" s="154"/>
      <c r="M55" s="19"/>
      <c r="N55" s="154"/>
      <c r="O55" s="154"/>
      <c r="P55" s="154"/>
      <c r="Q55" s="154"/>
      <c r="R55" s="154"/>
      <c r="S55" s="154"/>
      <c r="T55" s="154"/>
      <c r="U55" s="154"/>
      <c r="V55" s="154"/>
      <c r="W55" s="154"/>
      <c r="Z55" s="153" t="s">
        <v>10</v>
      </c>
      <c r="AA55" s="153">
        <v>2004</v>
      </c>
      <c r="AB55" s="153" t="s">
        <v>689</v>
      </c>
      <c r="AC55" s="153">
        <v>97048</v>
      </c>
      <c r="AD55" s="153">
        <v>126984</v>
      </c>
      <c r="AE55" s="153">
        <v>76153</v>
      </c>
      <c r="AF55" s="153">
        <v>64307</v>
      </c>
      <c r="AG55" s="153">
        <v>5637</v>
      </c>
      <c r="AH55" s="153">
        <v>3801</v>
      </c>
      <c r="AI55" s="153">
        <v>2586</v>
      </c>
      <c r="AJ55" s="153">
        <v>376516</v>
      </c>
      <c r="AL55" s="254">
        <f>VLOOKUP(AA55,pgdp!$A$13:$C$90,3,FALSE)</f>
        <v>0.75378638244667995</v>
      </c>
      <c r="AM55" s="153" t="s">
        <v>10</v>
      </c>
      <c r="AN55" s="153">
        <v>2004</v>
      </c>
      <c r="AO55" s="153" t="s">
        <v>689</v>
      </c>
      <c r="AP55" s="255">
        <f t="shared" si="12"/>
        <v>128.74735105322074</v>
      </c>
      <c r="AQ55" s="255">
        <f t="shared" si="5"/>
        <v>168.46152034191513</v>
      </c>
      <c r="AR55" s="255">
        <f t="shared" si="6"/>
        <v>101.02729602625421</v>
      </c>
      <c r="AS55" s="255">
        <f t="shared" si="7"/>
        <v>85.3119683474102</v>
      </c>
      <c r="AT55" s="255">
        <f t="shared" si="8"/>
        <v>7.4782460008140843</v>
      </c>
      <c r="AU55" s="255">
        <f t="shared" si="9"/>
        <v>5.0425426732471763</v>
      </c>
      <c r="AV55" s="255">
        <f t="shared" si="10"/>
        <v>3.4306801770631932</v>
      </c>
      <c r="AW55" s="255">
        <f t="shared" si="11"/>
        <v>499.49960461992475</v>
      </c>
    </row>
    <row r="56" spans="1:49" s="248" customFormat="1" hidden="1">
      <c r="A56" s="153"/>
      <c r="B56" s="153"/>
      <c r="C56" s="153"/>
      <c r="D56" s="153"/>
      <c r="E56" s="153"/>
      <c r="F56" s="153"/>
      <c r="G56" s="153"/>
      <c r="H56" s="153"/>
      <c r="I56" s="153"/>
      <c r="J56" s="153"/>
      <c r="K56" s="153"/>
      <c r="M56" s="254"/>
      <c r="N56" s="153"/>
      <c r="O56" s="153"/>
      <c r="P56" s="153"/>
      <c r="Q56" s="255"/>
      <c r="R56" s="255"/>
      <c r="S56" s="255"/>
      <c r="T56" s="255"/>
      <c r="U56" s="255"/>
      <c r="V56" s="255"/>
      <c r="W56" s="255"/>
      <c r="Z56" s="153" t="s">
        <v>10</v>
      </c>
      <c r="AA56" s="153">
        <v>2004</v>
      </c>
      <c r="AB56" s="153" t="s">
        <v>694</v>
      </c>
      <c r="AC56" s="153">
        <v>19064</v>
      </c>
      <c r="AD56" s="153">
        <v>61833</v>
      </c>
      <c r="AE56" s="153">
        <v>6918</v>
      </c>
      <c r="AF56" s="153">
        <v>334</v>
      </c>
      <c r="AG56" s="153">
        <v>501</v>
      </c>
      <c r="AH56" s="153">
        <v>24</v>
      </c>
      <c r="AI56" s="153">
        <v>2102</v>
      </c>
      <c r="AJ56" s="153">
        <v>90776</v>
      </c>
      <c r="AL56" s="254">
        <f>VLOOKUP(AA56,pgdp!$A$13:$C$90,3,FALSE)</f>
        <v>0.75378638244667995</v>
      </c>
      <c r="AM56" s="153" t="s">
        <v>10</v>
      </c>
      <c r="AN56" s="153">
        <v>2004</v>
      </c>
      <c r="AO56" s="153" t="s">
        <v>694</v>
      </c>
      <c r="AP56" s="255">
        <f t="shared" si="12"/>
        <v>25.290984878396255</v>
      </c>
      <c r="AQ56" s="255">
        <f t="shared" si="5"/>
        <v>82.029871379871778</v>
      </c>
      <c r="AR56" s="255">
        <f t="shared" si="6"/>
        <v>9.1776664597537394</v>
      </c>
      <c r="AS56" s="255">
        <f t="shared" si="7"/>
        <v>0.44309635697567928</v>
      </c>
      <c r="AT56" s="255">
        <f t="shared" si="8"/>
        <v>0.66464453546351887</v>
      </c>
      <c r="AU56" s="255">
        <f t="shared" si="9"/>
        <v>3.1839259183881148E-2</v>
      </c>
      <c r="AV56" s="255">
        <f t="shared" si="10"/>
        <v>2.7885884501882567</v>
      </c>
      <c r="AW56" s="255">
        <f t="shared" si="11"/>
        <v>120.42669131983311</v>
      </c>
    </row>
    <row r="57" spans="1:49" hidden="1">
      <c r="A57" s="153"/>
      <c r="B57" s="153"/>
      <c r="C57" s="153"/>
      <c r="D57" s="153"/>
      <c r="E57" s="153"/>
      <c r="F57" s="153"/>
      <c r="G57" s="153"/>
      <c r="H57" s="153"/>
      <c r="I57" s="153"/>
      <c r="J57" s="153"/>
      <c r="K57" s="153"/>
      <c r="M57" s="254"/>
      <c r="N57" s="153"/>
      <c r="O57" s="153"/>
      <c r="P57" s="153"/>
      <c r="Q57" s="255"/>
      <c r="R57" s="255"/>
      <c r="S57" s="255"/>
      <c r="T57" s="255"/>
      <c r="U57" s="255"/>
      <c r="V57" s="255"/>
      <c r="W57" s="255"/>
      <c r="Z57" s="153" t="s">
        <v>10</v>
      </c>
      <c r="AA57" s="153">
        <v>2004</v>
      </c>
      <c r="AB57" s="153" t="s">
        <v>695</v>
      </c>
      <c r="AC57" s="153">
        <v>0</v>
      </c>
      <c r="AD57" s="153">
        <v>310</v>
      </c>
      <c r="AE57" s="153">
        <v>2</v>
      </c>
      <c r="AF57" s="153">
        <v>0</v>
      </c>
      <c r="AG57" s="153">
        <v>0</v>
      </c>
      <c r="AH57" s="153">
        <v>0</v>
      </c>
      <c r="AI57" s="153">
        <v>0</v>
      </c>
      <c r="AJ57" s="153">
        <v>313</v>
      </c>
      <c r="AL57" s="254">
        <f>VLOOKUP(AA57,pgdp!$A$13:$C$90,3,FALSE)</f>
        <v>0.75378638244667995</v>
      </c>
      <c r="AM57" s="153" t="s">
        <v>10</v>
      </c>
      <c r="AN57" s="153">
        <v>2004</v>
      </c>
      <c r="AO57" s="153" t="s">
        <v>695</v>
      </c>
      <c r="AP57" s="255">
        <f t="shared" si="12"/>
        <v>0</v>
      </c>
      <c r="AQ57" s="255">
        <f t="shared" si="5"/>
        <v>0.41125709779179814</v>
      </c>
      <c r="AR57" s="255">
        <f t="shared" si="6"/>
        <v>2.6532715986567622E-3</v>
      </c>
      <c r="AS57" s="255">
        <f t="shared" si="7"/>
        <v>0</v>
      </c>
      <c r="AT57" s="255">
        <f t="shared" si="8"/>
        <v>0</v>
      </c>
      <c r="AU57" s="255">
        <f t="shared" si="9"/>
        <v>0</v>
      </c>
      <c r="AV57" s="255">
        <f t="shared" si="10"/>
        <v>0</v>
      </c>
      <c r="AW57" s="255">
        <f t="shared" si="11"/>
        <v>0.41523700518978324</v>
      </c>
    </row>
    <row r="58" spans="1:49" s="248" customFormat="1" hidden="1">
      <c r="A58" s="153"/>
      <c r="B58" s="153"/>
      <c r="C58" s="153"/>
      <c r="D58" s="153"/>
      <c r="E58" s="153"/>
      <c r="F58" s="153"/>
      <c r="G58" s="153"/>
      <c r="H58" s="153"/>
      <c r="I58" s="153"/>
      <c r="J58" s="153"/>
      <c r="K58" s="153"/>
      <c r="M58" s="254"/>
      <c r="N58" s="153"/>
      <c r="O58" s="153"/>
      <c r="P58" s="153"/>
      <c r="Q58" s="255"/>
      <c r="R58" s="255"/>
      <c r="S58" s="255"/>
      <c r="T58" s="255"/>
      <c r="U58" s="255"/>
      <c r="V58" s="255"/>
      <c r="W58" s="255"/>
      <c r="Z58" s="153" t="s">
        <v>10</v>
      </c>
      <c r="AA58" s="153">
        <v>2005</v>
      </c>
      <c r="AB58" s="153" t="s">
        <v>689</v>
      </c>
      <c r="AC58" s="153">
        <v>102294</v>
      </c>
      <c r="AD58" s="153">
        <v>138192</v>
      </c>
      <c r="AE58" s="153">
        <v>79088</v>
      </c>
      <c r="AF58" s="153">
        <v>68179</v>
      </c>
      <c r="AG58" s="153">
        <v>5984</v>
      </c>
      <c r="AH58" s="153">
        <v>4075</v>
      </c>
      <c r="AI58" s="153">
        <v>2260</v>
      </c>
      <c r="AJ58" s="153">
        <v>400074</v>
      </c>
      <c r="AK58" s="251"/>
      <c r="AL58" s="254">
        <f>VLOOKUP(AA58,pgdp!$A$13:$C$90,3,FALSE)</f>
        <v>0.77750760344715164</v>
      </c>
      <c r="AM58" s="153" t="s">
        <v>10</v>
      </c>
      <c r="AN58" s="153">
        <v>2005</v>
      </c>
      <c r="AO58" s="153" t="s">
        <v>689</v>
      </c>
      <c r="AP58" s="255">
        <f t="shared" si="12"/>
        <v>131.56655902330746</v>
      </c>
      <c r="AQ58" s="255">
        <f t="shared" si="5"/>
        <v>177.73716859785426</v>
      </c>
      <c r="AR58" s="255">
        <f t="shared" si="6"/>
        <v>101.71990556665435</v>
      </c>
      <c r="AS58" s="255">
        <f t="shared" si="7"/>
        <v>87.689174610926145</v>
      </c>
      <c r="AT58" s="255">
        <f t="shared" si="8"/>
        <v>7.6963877568134187</v>
      </c>
      <c r="AU58" s="255">
        <f t="shared" si="9"/>
        <v>5.2411063016401531</v>
      </c>
      <c r="AV58" s="255">
        <f t="shared" si="10"/>
        <v>2.9067239856949074</v>
      </c>
      <c r="AW58" s="255">
        <f t="shared" si="11"/>
        <v>514.55959816500194</v>
      </c>
    </row>
    <row r="59" spans="1:49" hidden="1">
      <c r="A59" s="153"/>
      <c r="B59" s="153"/>
      <c r="C59" s="153"/>
      <c r="D59" s="153"/>
      <c r="E59" s="153"/>
      <c r="F59" s="153"/>
      <c r="G59" s="153"/>
      <c r="H59" s="153"/>
      <c r="I59" s="153"/>
      <c r="J59" s="153"/>
      <c r="K59" s="153"/>
      <c r="M59" s="254"/>
      <c r="N59" s="153"/>
      <c r="O59" s="153"/>
      <c r="P59" s="153"/>
      <c r="Q59" s="255"/>
      <c r="R59" s="255"/>
      <c r="S59" s="255"/>
      <c r="T59" s="255"/>
      <c r="U59" s="255"/>
      <c r="V59" s="255"/>
      <c r="W59" s="255"/>
      <c r="Z59" s="153" t="s">
        <v>10</v>
      </c>
      <c r="AA59" s="153">
        <v>2005</v>
      </c>
      <c r="AB59" s="153" t="s">
        <v>696</v>
      </c>
      <c r="AC59" s="153">
        <v>17447</v>
      </c>
      <c r="AD59" s="153">
        <v>37508</v>
      </c>
      <c r="AE59" s="153">
        <v>17376</v>
      </c>
      <c r="AF59" s="153">
        <v>640</v>
      </c>
      <c r="AG59" s="153">
        <v>1128</v>
      </c>
      <c r="AH59" s="153">
        <v>0</v>
      </c>
      <c r="AI59" s="153">
        <v>1543</v>
      </c>
      <c r="AJ59" s="153">
        <v>75642</v>
      </c>
      <c r="AL59" s="254">
        <f>VLOOKUP(AA59,pgdp!$A$13:$C$90,3,FALSE)</f>
        <v>0.77750760344715164</v>
      </c>
      <c r="AM59" s="153" t="s">
        <v>10</v>
      </c>
      <c r="AN59" s="153">
        <v>2005</v>
      </c>
      <c r="AO59" s="153" t="s">
        <v>696</v>
      </c>
      <c r="AP59" s="255">
        <f t="shared" si="12"/>
        <v>22.43965193735356</v>
      </c>
      <c r="AQ59" s="255">
        <f t="shared" si="5"/>
        <v>48.24132887409052</v>
      </c>
      <c r="AR59" s="255">
        <f t="shared" si="6"/>
        <v>22.348334502404736</v>
      </c>
      <c r="AS59" s="255">
        <f t="shared" si="7"/>
        <v>0.82314307559501798</v>
      </c>
      <c r="AT59" s="255">
        <f t="shared" si="8"/>
        <v>1.4507896707362193</v>
      </c>
      <c r="AU59" s="255">
        <f t="shared" si="9"/>
        <v>0</v>
      </c>
      <c r="AV59" s="255">
        <f t="shared" si="10"/>
        <v>1.9845465088173637</v>
      </c>
      <c r="AW59" s="255">
        <f t="shared" si="11"/>
        <v>97.287794568997413</v>
      </c>
    </row>
    <row r="60" spans="1:49" hidden="1">
      <c r="A60" s="153"/>
      <c r="B60" s="153"/>
      <c r="C60" s="153"/>
      <c r="D60" s="153"/>
      <c r="E60" s="153"/>
      <c r="F60" s="153"/>
      <c r="G60" s="153"/>
      <c r="H60" s="153"/>
      <c r="I60" s="153"/>
      <c r="J60" s="153"/>
      <c r="K60" s="153"/>
      <c r="M60" s="254"/>
      <c r="N60" s="153"/>
      <c r="O60" s="153"/>
      <c r="P60" s="153"/>
      <c r="Q60" s="255"/>
      <c r="R60" s="255"/>
      <c r="S60" s="255"/>
      <c r="T60" s="255"/>
      <c r="U60" s="255"/>
      <c r="V60" s="255"/>
      <c r="W60" s="255"/>
      <c r="Z60" s="153" t="s">
        <v>10</v>
      </c>
      <c r="AA60" s="153">
        <v>2005</v>
      </c>
      <c r="AB60" s="153" t="s">
        <v>697</v>
      </c>
      <c r="AC60" s="153">
        <v>0</v>
      </c>
      <c r="AD60" s="153">
        <v>2872</v>
      </c>
      <c r="AE60" s="153">
        <v>150</v>
      </c>
      <c r="AF60" s="153">
        <v>6</v>
      </c>
      <c r="AG60" s="153">
        <v>148</v>
      </c>
      <c r="AH60" s="153">
        <v>21</v>
      </c>
      <c r="AI60" s="153">
        <v>4</v>
      </c>
      <c r="AJ60" s="153">
        <v>3200</v>
      </c>
      <c r="AK60" s="248"/>
      <c r="AL60" s="254">
        <f>VLOOKUP(AA60,pgdp!$A$13:$C$90,3,FALSE)</f>
        <v>0.77750760344715164</v>
      </c>
      <c r="AM60" s="153" t="s">
        <v>10</v>
      </c>
      <c r="AN60" s="153">
        <v>2005</v>
      </c>
      <c r="AO60" s="153" t="s">
        <v>697</v>
      </c>
      <c r="AP60" s="255">
        <f t="shared" si="12"/>
        <v>0</v>
      </c>
      <c r="AQ60" s="255">
        <f t="shared" si="5"/>
        <v>3.6938545517326435</v>
      </c>
      <c r="AR60" s="255">
        <f t="shared" si="6"/>
        <v>0.19292415834258234</v>
      </c>
      <c r="AS60" s="255">
        <f t="shared" si="7"/>
        <v>7.7169663337032937E-3</v>
      </c>
      <c r="AT60" s="255">
        <f t="shared" si="8"/>
        <v>0.19035183623134791</v>
      </c>
      <c r="AU60" s="255">
        <f t="shared" si="9"/>
        <v>2.7009382167961525E-2</v>
      </c>
      <c r="AV60" s="255">
        <f t="shared" si="10"/>
        <v>5.1446442224688622E-3</v>
      </c>
      <c r="AW60" s="255">
        <f t="shared" si="11"/>
        <v>4.1157153779750901</v>
      </c>
    </row>
    <row r="61" spans="1:49" s="248" customFormat="1" hidden="1">
      <c r="A61" s="153"/>
      <c r="B61" s="153"/>
      <c r="C61" s="153"/>
      <c r="D61" s="153"/>
      <c r="E61" s="153"/>
      <c r="F61" s="153"/>
      <c r="G61" s="153"/>
      <c r="H61" s="153"/>
      <c r="I61" s="153"/>
      <c r="J61" s="153"/>
      <c r="K61" s="153"/>
      <c r="M61" s="254"/>
      <c r="N61" s="153"/>
      <c r="O61" s="153"/>
      <c r="P61" s="153"/>
      <c r="Q61" s="255"/>
      <c r="R61" s="255"/>
      <c r="S61" s="255"/>
      <c r="T61" s="255"/>
      <c r="U61" s="255"/>
      <c r="V61" s="255"/>
      <c r="W61" s="255"/>
      <c r="Z61" s="153" t="s">
        <v>10</v>
      </c>
      <c r="AA61" s="153">
        <v>2006</v>
      </c>
      <c r="AB61" s="153" t="s">
        <v>689</v>
      </c>
      <c r="AC61" s="153">
        <v>109103</v>
      </c>
      <c r="AD61" s="153">
        <v>137187</v>
      </c>
      <c r="AE61" s="153">
        <v>79632</v>
      </c>
      <c r="AF61" s="153">
        <v>72037</v>
      </c>
      <c r="AG61" s="153">
        <v>8055</v>
      </c>
      <c r="AH61" s="153">
        <v>3965</v>
      </c>
      <c r="AI61" s="153">
        <v>589</v>
      </c>
      <c r="AJ61" s="153">
        <v>410570</v>
      </c>
      <c r="AK61" s="251"/>
      <c r="AL61" s="254">
        <f>VLOOKUP(AA61,pgdp!$A$13:$C$90,3,FALSE)</f>
        <v>0.80275228380407149</v>
      </c>
      <c r="AM61" s="153" t="s">
        <v>10</v>
      </c>
      <c r="AN61" s="153">
        <v>2006</v>
      </c>
      <c r="AO61" s="153" t="s">
        <v>689</v>
      </c>
      <c r="AP61" s="255">
        <f t="shared" si="12"/>
        <v>135.91116736907207</v>
      </c>
      <c r="AQ61" s="255">
        <f t="shared" si="5"/>
        <v>170.89580779502754</v>
      </c>
      <c r="AR61" s="255">
        <f t="shared" si="6"/>
        <v>99.19872120779398</v>
      </c>
      <c r="AS61" s="255">
        <f t="shared" si="7"/>
        <v>89.737521092599138</v>
      </c>
      <c r="AT61" s="255">
        <f t="shared" si="8"/>
        <v>10.034228693600319</v>
      </c>
      <c r="AU61" s="255">
        <f t="shared" si="9"/>
        <v>4.9392572029950665</v>
      </c>
      <c r="AV61" s="255">
        <f t="shared" si="10"/>
        <v>0.73372572321919138</v>
      </c>
      <c r="AW61" s="255">
        <f t="shared" si="11"/>
        <v>511.45292051290909</v>
      </c>
    </row>
    <row r="62" spans="1:49" hidden="1">
      <c r="A62" s="153"/>
      <c r="B62" s="153"/>
      <c r="C62" s="153"/>
      <c r="D62" s="153"/>
      <c r="E62" s="153"/>
      <c r="F62" s="153"/>
      <c r="G62" s="153"/>
      <c r="H62" s="153"/>
      <c r="I62" s="153"/>
      <c r="J62" s="153"/>
      <c r="K62" s="153"/>
      <c r="M62" s="254"/>
      <c r="N62" s="153"/>
      <c r="O62" s="153"/>
      <c r="P62" s="153"/>
      <c r="Q62" s="255"/>
      <c r="R62" s="255"/>
      <c r="S62" s="255"/>
      <c r="T62" s="255"/>
      <c r="U62" s="255"/>
      <c r="V62" s="255"/>
      <c r="W62" s="255"/>
      <c r="Z62" s="153" t="s">
        <v>10</v>
      </c>
      <c r="AA62" s="153">
        <v>2006</v>
      </c>
      <c r="AB62" s="153" t="s">
        <v>698</v>
      </c>
      <c r="AC62" s="153">
        <v>16489</v>
      </c>
      <c r="AD62" s="153">
        <v>72354</v>
      </c>
      <c r="AE62" s="153">
        <v>22889</v>
      </c>
      <c r="AF62" s="153">
        <v>762</v>
      </c>
      <c r="AG62" s="153">
        <v>236</v>
      </c>
      <c r="AH62" s="153">
        <v>0</v>
      </c>
      <c r="AI62" s="153">
        <v>3033</v>
      </c>
      <c r="AJ62" s="153">
        <v>115763</v>
      </c>
      <c r="AL62" s="254">
        <f>VLOOKUP(AA62,pgdp!$A$13:$C$90,3,FALSE)</f>
        <v>0.80275228380407149</v>
      </c>
      <c r="AM62" s="153" t="s">
        <v>10</v>
      </c>
      <c r="AN62" s="153">
        <v>2006</v>
      </c>
      <c r="AO62" s="153" t="s">
        <v>698</v>
      </c>
      <c r="AP62" s="255">
        <f t="shared" si="12"/>
        <v>20.540583107234717</v>
      </c>
      <c r="AQ62" s="255">
        <f t="shared" si="5"/>
        <v>90.13241252597858</v>
      </c>
      <c r="AR62" s="255">
        <f t="shared" si="6"/>
        <v>28.513154632876187</v>
      </c>
      <c r="AS62" s="255">
        <f t="shared" si="7"/>
        <v>0.9492342972716874</v>
      </c>
      <c r="AT62" s="255">
        <f t="shared" si="8"/>
        <v>0.29398857500802916</v>
      </c>
      <c r="AU62" s="255">
        <f t="shared" si="9"/>
        <v>0</v>
      </c>
      <c r="AV62" s="255">
        <f t="shared" si="10"/>
        <v>3.7782514745735276</v>
      </c>
      <c r="AW62" s="255">
        <f t="shared" si="11"/>
        <v>144.20762461294271</v>
      </c>
    </row>
    <row r="63" spans="1:49" hidden="1">
      <c r="A63" s="153"/>
      <c r="B63" s="153"/>
      <c r="C63" s="153"/>
      <c r="D63" s="153"/>
      <c r="E63" s="153"/>
      <c r="F63" s="153"/>
      <c r="G63" s="153"/>
      <c r="H63" s="153"/>
      <c r="I63" s="153"/>
      <c r="J63" s="153"/>
      <c r="K63" s="153"/>
      <c r="M63" s="254"/>
      <c r="N63" s="153"/>
      <c r="O63" s="153"/>
      <c r="P63" s="153"/>
      <c r="Q63" s="255"/>
      <c r="R63" s="255"/>
      <c r="S63" s="255"/>
      <c r="T63" s="255"/>
      <c r="U63" s="255"/>
      <c r="V63" s="255"/>
      <c r="W63" s="255"/>
      <c r="Z63" s="153" t="s">
        <v>10</v>
      </c>
      <c r="AA63" s="153">
        <v>2006</v>
      </c>
      <c r="AB63" s="153" t="s">
        <v>699</v>
      </c>
      <c r="AC63" s="153">
        <v>548</v>
      </c>
      <c r="AD63" s="153">
        <v>2806</v>
      </c>
      <c r="AE63" s="153">
        <v>2850</v>
      </c>
      <c r="AF63" s="153">
        <v>55</v>
      </c>
      <c r="AG63" s="153">
        <v>1239</v>
      </c>
      <c r="AH63" s="153">
        <v>460</v>
      </c>
      <c r="AI63" s="153">
        <v>66</v>
      </c>
      <c r="AJ63" s="153">
        <v>8023</v>
      </c>
      <c r="AK63" s="248"/>
      <c r="AL63" s="254">
        <f>VLOOKUP(AA63,pgdp!$A$13:$C$90,3,FALSE)</f>
        <v>0.80275228380407149</v>
      </c>
      <c r="AM63" s="153" t="s">
        <v>10</v>
      </c>
      <c r="AN63" s="153">
        <v>2006</v>
      </c>
      <c r="AO63" s="153" t="s">
        <v>699</v>
      </c>
      <c r="AP63" s="255">
        <f t="shared" si="12"/>
        <v>0.68265143688305074</v>
      </c>
      <c r="AQ63" s="255">
        <f t="shared" si="5"/>
        <v>3.4954743282734317</v>
      </c>
      <c r="AR63" s="255">
        <f t="shared" si="6"/>
        <v>3.5502857575122166</v>
      </c>
      <c r="AS63" s="255">
        <f t="shared" si="7"/>
        <v>6.8514286548481379E-2</v>
      </c>
      <c r="AT63" s="255">
        <f t="shared" si="8"/>
        <v>1.5434400187921533</v>
      </c>
      <c r="AU63" s="255">
        <f t="shared" si="9"/>
        <v>0.5730285784054806</v>
      </c>
      <c r="AV63" s="255">
        <f t="shared" si="10"/>
        <v>8.2217143858177646E-2</v>
      </c>
      <c r="AW63" s="255">
        <f t="shared" si="11"/>
        <v>9.9943658359721095</v>
      </c>
    </row>
    <row r="64" spans="1:49" s="248" customFormat="1" hidden="1">
      <c r="A64" s="153"/>
      <c r="B64" s="153"/>
      <c r="C64" s="153"/>
      <c r="D64" s="153"/>
      <c r="E64" s="153"/>
      <c r="F64" s="153"/>
      <c r="G64" s="153"/>
      <c r="H64" s="153"/>
      <c r="I64" s="153"/>
      <c r="J64" s="153"/>
      <c r="K64" s="153"/>
      <c r="M64" s="254"/>
      <c r="N64" s="153"/>
      <c r="O64" s="153"/>
      <c r="P64" s="153"/>
      <c r="Q64" s="255"/>
      <c r="R64" s="255"/>
      <c r="S64" s="255"/>
      <c r="T64" s="255"/>
      <c r="U64" s="255"/>
      <c r="V64" s="255"/>
      <c r="W64" s="255"/>
      <c r="Z64" s="153" t="s">
        <v>10</v>
      </c>
      <c r="AA64" s="153">
        <v>2006</v>
      </c>
      <c r="AB64" s="153" t="s">
        <v>700</v>
      </c>
      <c r="AC64" s="153">
        <v>0</v>
      </c>
      <c r="AD64" s="153">
        <v>130</v>
      </c>
      <c r="AE64" s="153">
        <v>0</v>
      </c>
      <c r="AF64" s="153">
        <v>0</v>
      </c>
      <c r="AG64" s="153">
        <v>0</v>
      </c>
      <c r="AH64" s="153">
        <v>0</v>
      </c>
      <c r="AI64" s="153">
        <v>0</v>
      </c>
      <c r="AJ64" s="153">
        <v>130</v>
      </c>
      <c r="AK64" s="251"/>
      <c r="AL64" s="254">
        <f>VLOOKUP(AA64,pgdp!$A$13:$C$90,3,FALSE)</f>
        <v>0.80275228380407149</v>
      </c>
      <c r="AM64" s="153" t="s">
        <v>10</v>
      </c>
      <c r="AN64" s="153">
        <v>2006</v>
      </c>
      <c r="AO64" s="153" t="s">
        <v>700</v>
      </c>
      <c r="AP64" s="255">
        <f t="shared" si="12"/>
        <v>0</v>
      </c>
      <c r="AQ64" s="255">
        <f t="shared" si="5"/>
        <v>0.16194285911459236</v>
      </c>
      <c r="AR64" s="255">
        <f t="shared" si="6"/>
        <v>0</v>
      </c>
      <c r="AS64" s="255">
        <f t="shared" si="7"/>
        <v>0</v>
      </c>
      <c r="AT64" s="255">
        <f t="shared" si="8"/>
        <v>0</v>
      </c>
      <c r="AU64" s="255">
        <f t="shared" si="9"/>
        <v>0</v>
      </c>
      <c r="AV64" s="255">
        <f t="shared" si="10"/>
        <v>0</v>
      </c>
      <c r="AW64" s="255">
        <f t="shared" si="11"/>
        <v>0.16194285911459236</v>
      </c>
    </row>
    <row r="65" spans="1:49" hidden="1">
      <c r="A65" s="153"/>
      <c r="B65" s="153"/>
      <c r="C65" s="153"/>
      <c r="D65" s="153"/>
      <c r="E65" s="153"/>
      <c r="F65" s="153"/>
      <c r="G65" s="153"/>
      <c r="H65" s="153"/>
      <c r="I65" s="153"/>
      <c r="J65" s="153"/>
      <c r="K65" s="153"/>
      <c r="M65" s="254"/>
      <c r="N65" s="153"/>
      <c r="O65" s="153"/>
      <c r="P65" s="153"/>
      <c r="Q65" s="255"/>
      <c r="R65" s="255"/>
      <c r="S65" s="255"/>
      <c r="T65" s="255"/>
      <c r="U65" s="255"/>
      <c r="V65" s="255"/>
      <c r="W65" s="255"/>
      <c r="Z65" s="153" t="s">
        <v>10</v>
      </c>
      <c r="AA65" s="153">
        <v>2007</v>
      </c>
      <c r="AB65" s="153" t="s">
        <v>689</v>
      </c>
      <c r="AC65" s="153">
        <v>110410</v>
      </c>
      <c r="AD65" s="153">
        <v>145613</v>
      </c>
      <c r="AE65" s="153">
        <v>84123</v>
      </c>
      <c r="AF65" s="153">
        <v>75893</v>
      </c>
      <c r="AG65" s="153">
        <v>9154</v>
      </c>
      <c r="AH65" s="153">
        <v>4022</v>
      </c>
      <c r="AI65" s="153">
        <v>2279</v>
      </c>
      <c r="AJ65" s="153">
        <v>431495</v>
      </c>
      <c r="AK65" s="248"/>
      <c r="AL65" s="254">
        <f>VLOOKUP(AA65,pgdp!$A$13:$C$90,3,FALSE)</f>
        <v>0.82459421647952613</v>
      </c>
      <c r="AM65" s="153" t="s">
        <v>10</v>
      </c>
      <c r="AN65" s="153">
        <v>2007</v>
      </c>
      <c r="AO65" s="153" t="s">
        <v>689</v>
      </c>
      <c r="AP65" s="255">
        <f t="shared" si="12"/>
        <v>133.89616103709525</v>
      </c>
      <c r="AQ65" s="255">
        <f t="shared" si="5"/>
        <v>176.58746216008106</v>
      </c>
      <c r="AR65" s="255">
        <f t="shared" si="6"/>
        <v>102.01745090955133</v>
      </c>
      <c r="AS65" s="255">
        <f t="shared" si="7"/>
        <v>92.036784254943115</v>
      </c>
      <c r="AT65" s="255">
        <f t="shared" si="8"/>
        <v>11.101217807567883</v>
      </c>
      <c r="AU65" s="255">
        <f t="shared" si="9"/>
        <v>4.8775505813893396</v>
      </c>
      <c r="AV65" s="255">
        <f t="shared" si="10"/>
        <v>2.7637836337608914</v>
      </c>
      <c r="AW65" s="255">
        <f t="shared" si="11"/>
        <v>523.28162310208688</v>
      </c>
    </row>
    <row r="66" spans="1:49" hidden="1">
      <c r="A66" s="153"/>
      <c r="B66" s="153"/>
      <c r="C66" s="153"/>
      <c r="D66" s="153"/>
      <c r="E66" s="153"/>
      <c r="F66" s="153"/>
      <c r="G66" s="153"/>
      <c r="H66" s="153"/>
      <c r="I66" s="153"/>
      <c r="J66" s="153"/>
      <c r="K66" s="153"/>
      <c r="M66" s="254"/>
      <c r="N66" s="153"/>
      <c r="O66" s="153"/>
      <c r="P66" s="153"/>
      <c r="Q66" s="255"/>
      <c r="R66" s="255"/>
      <c r="S66" s="255"/>
      <c r="T66" s="255"/>
      <c r="U66" s="255"/>
      <c r="V66" s="255"/>
      <c r="W66" s="255"/>
      <c r="Z66" s="153" t="s">
        <v>10</v>
      </c>
      <c r="AA66" s="153">
        <v>2007</v>
      </c>
      <c r="AB66" s="153" t="s">
        <v>701</v>
      </c>
      <c r="AC66" s="153">
        <v>18894</v>
      </c>
      <c r="AD66" s="153">
        <v>93615</v>
      </c>
      <c r="AE66" s="153">
        <v>49466</v>
      </c>
      <c r="AF66" s="153">
        <v>1506</v>
      </c>
      <c r="AG66" s="153">
        <v>1670</v>
      </c>
      <c r="AH66" s="153">
        <v>0</v>
      </c>
      <c r="AI66" s="153">
        <v>1121</v>
      </c>
      <c r="AJ66" s="153">
        <v>166272</v>
      </c>
      <c r="AL66" s="254">
        <f>VLOOKUP(AA66,pgdp!$A$13:$C$90,3,FALSE)</f>
        <v>0.82459421647952613</v>
      </c>
      <c r="AM66" s="153" t="s">
        <v>10</v>
      </c>
      <c r="AN66" s="153">
        <v>2007</v>
      </c>
      <c r="AO66" s="153" t="s">
        <v>701</v>
      </c>
      <c r="AP66" s="255">
        <f t="shared" si="12"/>
        <v>22.913088186168622</v>
      </c>
      <c r="AQ66" s="255">
        <f t="shared" si="5"/>
        <v>113.52856729904602</v>
      </c>
      <c r="AR66" s="255">
        <f t="shared" si="6"/>
        <v>59.988293649678049</v>
      </c>
      <c r="AS66" s="255">
        <f t="shared" si="7"/>
        <v>1.8263528532004838</v>
      </c>
      <c r="AT66" s="255">
        <f t="shared" si="8"/>
        <v>2.0252385556738433</v>
      </c>
      <c r="AU66" s="255">
        <f t="shared" si="9"/>
        <v>0</v>
      </c>
      <c r="AV66" s="255">
        <f t="shared" si="10"/>
        <v>1.3594565394672924</v>
      </c>
      <c r="AW66" s="255">
        <f t="shared" si="11"/>
        <v>201.64099708323431</v>
      </c>
    </row>
    <row r="67" spans="1:49" hidden="1">
      <c r="A67" s="153"/>
      <c r="B67" s="153"/>
      <c r="C67" s="153"/>
      <c r="D67" s="153"/>
      <c r="E67" s="153"/>
      <c r="F67" s="153"/>
      <c r="G67" s="153"/>
      <c r="H67" s="153"/>
      <c r="I67" s="153"/>
      <c r="J67" s="153"/>
      <c r="K67" s="153"/>
      <c r="M67" s="254"/>
      <c r="N67" s="153"/>
      <c r="O67" s="153"/>
      <c r="P67" s="153"/>
      <c r="Q67" s="255"/>
      <c r="R67" s="255"/>
      <c r="S67" s="255"/>
      <c r="T67" s="255"/>
      <c r="U67" s="255"/>
      <c r="V67" s="255"/>
      <c r="W67" s="255"/>
      <c r="Z67" s="153" t="s">
        <v>10</v>
      </c>
      <c r="AA67" s="153">
        <v>2007</v>
      </c>
      <c r="AB67" s="153" t="s">
        <v>702</v>
      </c>
      <c r="AC67" s="153">
        <v>0</v>
      </c>
      <c r="AD67" s="153">
        <v>0</v>
      </c>
      <c r="AE67" s="153">
        <v>0</v>
      </c>
      <c r="AF67" s="153">
        <v>0</v>
      </c>
      <c r="AG67" s="153">
        <v>3137</v>
      </c>
      <c r="AH67" s="153">
        <v>0</v>
      </c>
      <c r="AI67" s="153">
        <v>0</v>
      </c>
      <c r="AJ67" s="153">
        <v>3137</v>
      </c>
      <c r="AL67" s="254">
        <f>VLOOKUP(AA67,pgdp!$A$13:$C$90,3,FALSE)</f>
        <v>0.82459421647952613</v>
      </c>
      <c r="AM67" s="153" t="s">
        <v>10</v>
      </c>
      <c r="AN67" s="153">
        <v>2007</v>
      </c>
      <c r="AO67" s="153" t="s">
        <v>702</v>
      </c>
      <c r="AP67" s="255">
        <f t="shared" si="12"/>
        <v>0</v>
      </c>
      <c r="AQ67" s="255">
        <f t="shared" si="5"/>
        <v>0</v>
      </c>
      <c r="AR67" s="255">
        <f t="shared" si="6"/>
        <v>0</v>
      </c>
      <c r="AS67" s="255">
        <f t="shared" si="7"/>
        <v>0</v>
      </c>
      <c r="AT67" s="255">
        <f t="shared" si="8"/>
        <v>3.8042954186520039</v>
      </c>
      <c r="AU67" s="255">
        <f t="shared" si="9"/>
        <v>0</v>
      </c>
      <c r="AV67" s="255">
        <f t="shared" si="10"/>
        <v>0</v>
      </c>
      <c r="AW67" s="255">
        <f t="shared" si="11"/>
        <v>3.8042954186520039</v>
      </c>
    </row>
    <row r="68" spans="1:49" s="248" customFormat="1" hidden="1">
      <c r="A68" s="153"/>
      <c r="B68" s="153"/>
      <c r="C68" s="153"/>
      <c r="D68" s="153"/>
      <c r="E68" s="153"/>
      <c r="F68" s="153"/>
      <c r="G68" s="153"/>
      <c r="H68" s="153"/>
      <c r="I68" s="153"/>
      <c r="J68" s="153"/>
      <c r="K68" s="153"/>
      <c r="M68" s="254"/>
      <c r="N68" s="153"/>
      <c r="O68" s="153"/>
      <c r="P68" s="153"/>
      <c r="Q68" s="255"/>
      <c r="R68" s="255"/>
      <c r="S68" s="255"/>
      <c r="T68" s="255"/>
      <c r="U68" s="255"/>
      <c r="V68" s="255"/>
      <c r="W68" s="255"/>
      <c r="Z68" s="153" t="s">
        <v>10</v>
      </c>
      <c r="AA68" s="153">
        <v>2008</v>
      </c>
      <c r="AB68" s="153" t="s">
        <v>689</v>
      </c>
      <c r="AC68" s="153">
        <v>117119</v>
      </c>
      <c r="AD68" s="153">
        <v>161778</v>
      </c>
      <c r="AE68" s="153">
        <v>99111</v>
      </c>
      <c r="AF68" s="153">
        <v>77959</v>
      </c>
      <c r="AG68" s="153">
        <v>17831</v>
      </c>
      <c r="AH68" s="153">
        <v>2832</v>
      </c>
      <c r="AI68" s="153">
        <v>2402</v>
      </c>
      <c r="AJ68" s="153">
        <v>479032</v>
      </c>
      <c r="AK68" s="251"/>
      <c r="AL68" s="254">
        <f>VLOOKUP(AA68,pgdp!$A$13:$C$90,3,FALSE)</f>
        <v>0.84165483055935886</v>
      </c>
      <c r="AM68" s="153" t="s">
        <v>10</v>
      </c>
      <c r="AN68" s="153">
        <v>2008</v>
      </c>
      <c r="AO68" s="153" t="s">
        <v>689</v>
      </c>
      <c r="AP68" s="255">
        <f t="shared" si="12"/>
        <v>139.15324399928102</v>
      </c>
      <c r="AQ68" s="255">
        <f t="shared" si="5"/>
        <v>192.21418819931597</v>
      </c>
      <c r="AR68" s="255">
        <f t="shared" si="6"/>
        <v>117.75729955013911</v>
      </c>
      <c r="AS68" s="255">
        <f t="shared" si="7"/>
        <v>92.625857025247399</v>
      </c>
      <c r="AT68" s="255">
        <f t="shared" si="8"/>
        <v>21.185644462052956</v>
      </c>
      <c r="AU68" s="255">
        <f t="shared" si="9"/>
        <v>3.3647997934234746</v>
      </c>
      <c r="AV68" s="255">
        <f t="shared" si="10"/>
        <v>2.8539015197045146</v>
      </c>
      <c r="AW68" s="255">
        <f t="shared" si="11"/>
        <v>569.15493454916452</v>
      </c>
    </row>
    <row r="69" spans="1:49" hidden="1">
      <c r="A69" s="153"/>
      <c r="B69" s="153"/>
      <c r="C69" s="153"/>
      <c r="D69" s="153"/>
      <c r="E69" s="153"/>
      <c r="F69" s="153"/>
      <c r="G69" s="153"/>
      <c r="H69" s="153"/>
      <c r="I69" s="153"/>
      <c r="J69" s="153"/>
      <c r="K69" s="153"/>
      <c r="M69" s="254"/>
      <c r="N69" s="153"/>
      <c r="O69" s="153"/>
      <c r="P69" s="153"/>
      <c r="Q69" s="255"/>
      <c r="R69" s="255"/>
      <c r="S69" s="255"/>
      <c r="T69" s="255"/>
      <c r="U69" s="255"/>
      <c r="V69" s="255"/>
      <c r="W69" s="255"/>
      <c r="Z69" s="153" t="s">
        <v>10</v>
      </c>
      <c r="AA69" s="153">
        <v>2008</v>
      </c>
      <c r="AB69" s="153" t="s">
        <v>703</v>
      </c>
      <c r="AC69" s="153">
        <v>19138</v>
      </c>
      <c r="AD69" s="153">
        <v>93349</v>
      </c>
      <c r="AE69" s="153">
        <v>65869</v>
      </c>
      <c r="AF69" s="153">
        <v>1608</v>
      </c>
      <c r="AG69" s="153">
        <v>4234</v>
      </c>
      <c r="AH69" s="153">
        <v>12</v>
      </c>
      <c r="AI69" s="153">
        <v>2698</v>
      </c>
      <c r="AJ69" s="153">
        <v>186908</v>
      </c>
      <c r="AK69" s="248"/>
      <c r="AL69" s="254">
        <f>VLOOKUP(AA69,pgdp!$A$13:$C$90,3,FALSE)</f>
        <v>0.84165483055935886</v>
      </c>
      <c r="AM69" s="153" t="s">
        <v>10</v>
      </c>
      <c r="AN69" s="153">
        <v>2008</v>
      </c>
      <c r="AO69" s="153" t="s">
        <v>703</v>
      </c>
      <c r="AP69" s="255">
        <f t="shared" si="12"/>
        <v>22.738537587054541</v>
      </c>
      <c r="AQ69" s="255">
        <f t="shared" si="5"/>
        <v>110.91126268230505</v>
      </c>
      <c r="AR69" s="255">
        <f t="shared" si="6"/>
        <v>78.261298585102693</v>
      </c>
      <c r="AS69" s="255">
        <f t="shared" si="7"/>
        <v>1.9105219166048542</v>
      </c>
      <c r="AT69" s="255">
        <f t="shared" si="8"/>
        <v>5.0305657928513385</v>
      </c>
      <c r="AU69" s="255">
        <f t="shared" si="9"/>
        <v>1.4257626243319808E-2</v>
      </c>
      <c r="AV69" s="255">
        <f t="shared" si="10"/>
        <v>3.2055896337064032</v>
      </c>
      <c r="AW69" s="255">
        <f t="shared" si="11"/>
        <v>222.0720338238682</v>
      </c>
    </row>
    <row r="70" spans="1:49" hidden="1">
      <c r="A70" s="153"/>
      <c r="B70" s="153"/>
      <c r="C70" s="153"/>
      <c r="D70" s="153"/>
      <c r="E70" s="153"/>
      <c r="F70" s="153"/>
      <c r="G70" s="153"/>
      <c r="H70" s="153"/>
      <c r="I70" s="153"/>
      <c r="J70" s="153"/>
      <c r="K70" s="153"/>
      <c r="M70" s="254"/>
      <c r="N70" s="153"/>
      <c r="O70" s="153"/>
      <c r="P70" s="153"/>
      <c r="Q70" s="255"/>
      <c r="R70" s="255"/>
      <c r="S70" s="255"/>
      <c r="T70" s="255"/>
      <c r="U70" s="255"/>
      <c r="V70" s="255"/>
      <c r="W70" s="255"/>
      <c r="Z70" s="153" t="s">
        <v>10</v>
      </c>
      <c r="AA70" s="153">
        <v>2009</v>
      </c>
      <c r="AB70" s="153" t="s">
        <v>689</v>
      </c>
      <c r="AC70" s="153">
        <v>125625</v>
      </c>
      <c r="AD70" s="153">
        <v>179102</v>
      </c>
      <c r="AE70" s="153">
        <v>100886</v>
      </c>
      <c r="AF70" s="153">
        <v>79393</v>
      </c>
      <c r="AG70" s="153">
        <v>21899</v>
      </c>
      <c r="AH70" s="153">
        <v>3158</v>
      </c>
      <c r="AI70" s="153">
        <v>3156</v>
      </c>
      <c r="AJ70" s="153">
        <v>513219</v>
      </c>
      <c r="AL70" s="254">
        <f>VLOOKUP(AA70,pgdp!$A$13:$C$90,3,FALSE)</f>
        <v>0.85147741466177274</v>
      </c>
      <c r="AM70" s="153" t="s">
        <v>10</v>
      </c>
      <c r="AN70" s="153">
        <v>2009</v>
      </c>
      <c r="AO70" s="153" t="s">
        <v>689</v>
      </c>
      <c r="AP70" s="255">
        <f t="shared" si="12"/>
        <v>147.53767726170548</v>
      </c>
      <c r="AQ70" s="255">
        <f t="shared" si="5"/>
        <v>210.34263142627643</v>
      </c>
      <c r="AR70" s="255">
        <f t="shared" si="6"/>
        <v>118.4834715082541</v>
      </c>
      <c r="AS70" s="255">
        <f t="shared" si="7"/>
        <v>93.241463170854402</v>
      </c>
      <c r="AT70" s="255">
        <f t="shared" si="8"/>
        <v>25.718826621724084</v>
      </c>
      <c r="AU70" s="255">
        <f t="shared" si="9"/>
        <v>3.708847640139032</v>
      </c>
      <c r="AV70" s="255">
        <f t="shared" si="10"/>
        <v>3.7064987815955623</v>
      </c>
      <c r="AW70" s="255">
        <f t="shared" si="11"/>
        <v>602.7394164105491</v>
      </c>
    </row>
    <row r="71" spans="1:49" s="248" customFormat="1" hidden="1">
      <c r="A71" s="153"/>
      <c r="B71" s="153"/>
      <c r="C71" s="153"/>
      <c r="D71" s="153"/>
      <c r="E71" s="153"/>
      <c r="F71" s="153"/>
      <c r="G71" s="153"/>
      <c r="H71" s="153"/>
      <c r="I71" s="153"/>
      <c r="J71" s="153"/>
      <c r="K71" s="153"/>
      <c r="M71" s="254"/>
      <c r="N71" s="153"/>
      <c r="O71" s="153"/>
      <c r="P71" s="153"/>
      <c r="Q71" s="255"/>
      <c r="R71" s="255"/>
      <c r="S71" s="255"/>
      <c r="T71" s="255"/>
      <c r="U71" s="255"/>
      <c r="V71" s="255"/>
      <c r="W71" s="255"/>
      <c r="Z71" s="153" t="s">
        <v>10</v>
      </c>
      <c r="AA71" s="153">
        <v>2009</v>
      </c>
      <c r="AB71" s="153" t="s">
        <v>704</v>
      </c>
      <c r="AC71" s="153">
        <v>0</v>
      </c>
      <c r="AD71" s="153">
        <v>4255</v>
      </c>
      <c r="AE71" s="153">
        <v>0</v>
      </c>
      <c r="AF71" s="153">
        <v>300</v>
      </c>
      <c r="AG71" s="153">
        <v>2190</v>
      </c>
      <c r="AH71" s="153">
        <v>690</v>
      </c>
      <c r="AI71" s="153">
        <v>0</v>
      </c>
      <c r="AJ71" s="153">
        <v>7435</v>
      </c>
      <c r="AK71" s="251"/>
      <c r="AL71" s="254">
        <f>VLOOKUP(AA71,pgdp!$A$13:$C$90,3,FALSE)</f>
        <v>0.85147741466177274</v>
      </c>
      <c r="AM71" s="153" t="s">
        <v>10</v>
      </c>
      <c r="AN71" s="153">
        <v>2009</v>
      </c>
      <c r="AO71" s="153" t="s">
        <v>704</v>
      </c>
      <c r="AP71" s="255">
        <f t="shared" si="12"/>
        <v>0</v>
      </c>
      <c r="AQ71" s="255">
        <f t="shared" si="5"/>
        <v>4.9971965512322933</v>
      </c>
      <c r="AR71" s="255">
        <f t="shared" si="6"/>
        <v>0</v>
      </c>
      <c r="AS71" s="255">
        <f t="shared" si="7"/>
        <v>0.35232878152049074</v>
      </c>
      <c r="AT71" s="255">
        <f t="shared" si="8"/>
        <v>2.572000105099582</v>
      </c>
      <c r="AU71" s="255">
        <f t="shared" si="9"/>
        <v>0.81035619749712862</v>
      </c>
      <c r="AV71" s="255">
        <f t="shared" si="10"/>
        <v>0</v>
      </c>
      <c r="AW71" s="255">
        <f t="shared" si="11"/>
        <v>8.7318816353494952</v>
      </c>
    </row>
    <row r="72" spans="1:49" hidden="1">
      <c r="A72" s="153"/>
      <c r="B72" s="153"/>
      <c r="C72" s="153"/>
      <c r="D72" s="153"/>
      <c r="E72" s="153"/>
      <c r="F72" s="153"/>
      <c r="G72" s="153"/>
      <c r="H72" s="153"/>
      <c r="I72" s="153"/>
      <c r="J72" s="153"/>
      <c r="K72" s="153"/>
      <c r="M72" s="254"/>
      <c r="N72" s="153"/>
      <c r="O72" s="153"/>
      <c r="P72" s="153"/>
      <c r="Q72" s="255"/>
      <c r="R72" s="255"/>
      <c r="S72" s="255"/>
      <c r="T72" s="255"/>
      <c r="U72" s="255"/>
      <c r="V72" s="255"/>
      <c r="W72" s="255"/>
      <c r="Z72" s="153" t="s">
        <v>10</v>
      </c>
      <c r="AA72" s="153">
        <v>2009</v>
      </c>
      <c r="AB72" s="153" t="s">
        <v>705</v>
      </c>
      <c r="AC72" s="153">
        <v>1194</v>
      </c>
      <c r="AD72" s="153">
        <v>54089</v>
      </c>
      <c r="AE72" s="153">
        <v>7997</v>
      </c>
      <c r="AF72" s="153">
        <v>171</v>
      </c>
      <c r="AG72" s="153">
        <v>-143</v>
      </c>
      <c r="AH72" s="153">
        <v>0</v>
      </c>
      <c r="AI72" s="153">
        <v>0</v>
      </c>
      <c r="AJ72" s="153">
        <v>63308</v>
      </c>
      <c r="AK72" s="248"/>
      <c r="AL72" s="254">
        <f>VLOOKUP(AA72,pgdp!$A$13:$C$90,3,FALSE)</f>
        <v>0.85147741466177274</v>
      </c>
      <c r="AM72" s="153" t="s">
        <v>10</v>
      </c>
      <c r="AN72" s="153">
        <v>2009</v>
      </c>
      <c r="AO72" s="153" t="s">
        <v>705</v>
      </c>
      <c r="AP72" s="255">
        <f t="shared" si="12"/>
        <v>1.4022685504515531</v>
      </c>
      <c r="AQ72" s="255">
        <f t="shared" si="5"/>
        <v>63.523704878872742</v>
      </c>
      <c r="AR72" s="255">
        <f t="shared" si="6"/>
        <v>9.3919108860645473</v>
      </c>
      <c r="AS72" s="255">
        <f t="shared" si="7"/>
        <v>0.20082740546667968</v>
      </c>
      <c r="AT72" s="255">
        <f t="shared" si="8"/>
        <v>-0.16794338585810059</v>
      </c>
      <c r="AU72" s="255">
        <f t="shared" si="9"/>
        <v>0</v>
      </c>
      <c r="AV72" s="255">
        <f t="shared" si="10"/>
        <v>0</v>
      </c>
      <c r="AW72" s="255">
        <f t="shared" si="11"/>
        <v>74.350768334997426</v>
      </c>
    </row>
    <row r="73" spans="1:49" s="248" customFormat="1" hidden="1">
      <c r="A73" s="153"/>
      <c r="B73" s="153"/>
      <c r="C73" s="153"/>
      <c r="D73" s="153"/>
      <c r="E73" s="153"/>
      <c r="F73" s="153"/>
      <c r="G73" s="153"/>
      <c r="H73" s="153"/>
      <c r="I73" s="153"/>
      <c r="J73" s="153"/>
      <c r="K73" s="153"/>
      <c r="M73" s="254"/>
      <c r="N73" s="153"/>
      <c r="O73" s="153"/>
      <c r="P73" s="153"/>
      <c r="Q73" s="255"/>
      <c r="R73" s="255"/>
      <c r="S73" s="255"/>
      <c r="T73" s="255"/>
      <c r="U73" s="255"/>
      <c r="V73" s="255"/>
      <c r="W73" s="255"/>
      <c r="Z73" s="153" t="s">
        <v>10</v>
      </c>
      <c r="AA73" s="153">
        <v>2009</v>
      </c>
      <c r="AB73" s="153" t="s">
        <v>706</v>
      </c>
      <c r="AC73" s="153">
        <v>18726</v>
      </c>
      <c r="AD73" s="153">
        <v>33229</v>
      </c>
      <c r="AE73" s="153">
        <v>26555</v>
      </c>
      <c r="AF73" s="153">
        <v>141</v>
      </c>
      <c r="AG73" s="153">
        <v>2869</v>
      </c>
      <c r="AH73" s="153">
        <v>0</v>
      </c>
      <c r="AI73" s="153">
        <v>862</v>
      </c>
      <c r="AJ73" s="153">
        <v>82381</v>
      </c>
      <c r="AK73" s="251"/>
      <c r="AL73" s="254">
        <f>VLOOKUP(AA73,pgdp!$A$13:$C$90,3,FALSE)</f>
        <v>0.85147741466177274</v>
      </c>
      <c r="AM73" s="153" t="s">
        <v>10</v>
      </c>
      <c r="AN73" s="153">
        <v>2009</v>
      </c>
      <c r="AO73" s="153" t="s">
        <v>706</v>
      </c>
      <c r="AP73" s="255">
        <f t="shared" si="12"/>
        <v>21.992362542509028</v>
      </c>
      <c r="AQ73" s="255">
        <f t="shared" si="5"/>
        <v>39.025110270481285</v>
      </c>
      <c r="AR73" s="255">
        <f t="shared" si="6"/>
        <v>31.186969310922105</v>
      </c>
      <c r="AS73" s="255">
        <f t="shared" si="7"/>
        <v>0.16559452731463062</v>
      </c>
      <c r="AT73" s="255">
        <f t="shared" si="8"/>
        <v>3.3694375806076264</v>
      </c>
      <c r="AU73" s="255">
        <f t="shared" si="9"/>
        <v>0</v>
      </c>
      <c r="AV73" s="255">
        <f t="shared" si="10"/>
        <v>1.0123580322355432</v>
      </c>
      <c r="AW73" s="255">
        <f t="shared" si="11"/>
        <v>96.750657834798488</v>
      </c>
    </row>
    <row r="74" spans="1:49" hidden="1">
      <c r="A74" s="153"/>
      <c r="B74" s="153"/>
      <c r="C74" s="153"/>
      <c r="D74" s="153"/>
      <c r="E74" s="153"/>
      <c r="F74" s="153"/>
      <c r="G74" s="153"/>
      <c r="H74" s="153"/>
      <c r="I74" s="153"/>
      <c r="J74" s="153"/>
      <c r="K74" s="153"/>
      <c r="M74" s="254"/>
      <c r="N74" s="153"/>
      <c r="O74" s="153"/>
      <c r="P74" s="153"/>
      <c r="Q74" s="255"/>
      <c r="R74" s="255"/>
      <c r="S74" s="255"/>
      <c r="T74" s="255"/>
      <c r="U74" s="255"/>
      <c r="V74" s="255"/>
      <c r="W74" s="255"/>
      <c r="Z74" s="153" t="s">
        <v>10</v>
      </c>
      <c r="AA74" s="153">
        <v>2010</v>
      </c>
      <c r="AB74" s="153" t="s">
        <v>689</v>
      </c>
      <c r="AC74" s="153">
        <v>135714</v>
      </c>
      <c r="AD74" s="153">
        <v>183855</v>
      </c>
      <c r="AE74" s="153">
        <v>103182</v>
      </c>
      <c r="AF74" s="153">
        <v>79264</v>
      </c>
      <c r="AG74" s="153">
        <v>20529</v>
      </c>
      <c r="AH74" s="153">
        <v>2259</v>
      </c>
      <c r="AI74" s="153">
        <v>3119</v>
      </c>
      <c r="AJ74" s="153">
        <v>527922</v>
      </c>
      <c r="AK74" s="248"/>
      <c r="AL74" s="254">
        <f>VLOOKUP(AA74,pgdp!$A$13:$C$90,3,FALSE)</f>
        <v>0.85894343086456204</v>
      </c>
      <c r="AM74" s="153" t="s">
        <v>10</v>
      </c>
      <c r="AN74" s="153">
        <v>2010</v>
      </c>
      <c r="AO74" s="153" t="s">
        <v>689</v>
      </c>
      <c r="AP74" s="255">
        <f t="shared" si="12"/>
        <v>158.00109195013957</v>
      </c>
      <c r="AQ74" s="255">
        <f t="shared" si="5"/>
        <v>214.04785623069768</v>
      </c>
      <c r="AR74" s="255">
        <f t="shared" si="6"/>
        <v>120.12665362158141</v>
      </c>
      <c r="AS74" s="255">
        <f t="shared" si="7"/>
        <v>92.280815187348836</v>
      </c>
      <c r="AT74" s="255">
        <f t="shared" si="8"/>
        <v>23.900293386418607</v>
      </c>
      <c r="AU74" s="255">
        <f t="shared" si="9"/>
        <v>2.6299752915348842</v>
      </c>
      <c r="AV74" s="255">
        <f t="shared" si="10"/>
        <v>3.6312053715348838</v>
      </c>
      <c r="AW74" s="255">
        <f t="shared" si="11"/>
        <v>614.61789103925594</v>
      </c>
    </row>
    <row r="75" spans="1:49" hidden="1">
      <c r="A75" s="153"/>
      <c r="B75" s="153"/>
      <c r="C75" s="153"/>
      <c r="D75" s="153"/>
      <c r="E75" s="153"/>
      <c r="F75" s="153"/>
      <c r="G75" s="153"/>
      <c r="H75" s="153"/>
      <c r="I75" s="153"/>
      <c r="J75" s="153"/>
      <c r="K75" s="153"/>
      <c r="M75" s="254"/>
      <c r="N75" s="153"/>
      <c r="O75" s="153"/>
      <c r="P75" s="153"/>
      <c r="Q75" s="255"/>
      <c r="R75" s="255"/>
      <c r="S75" s="255"/>
      <c r="T75" s="255"/>
      <c r="U75" s="255"/>
      <c r="V75" s="255"/>
      <c r="W75" s="255"/>
      <c r="Z75" s="153" t="s">
        <v>10</v>
      </c>
      <c r="AA75" s="153">
        <v>2010</v>
      </c>
      <c r="AB75" s="153" t="s">
        <v>707</v>
      </c>
      <c r="AC75" s="153">
        <v>16869</v>
      </c>
      <c r="AD75" s="153">
        <v>108316</v>
      </c>
      <c r="AE75" s="153">
        <v>32632</v>
      </c>
      <c r="AF75" s="153">
        <v>969</v>
      </c>
      <c r="AG75" s="153">
        <v>2048</v>
      </c>
      <c r="AH75" s="153">
        <v>8</v>
      </c>
      <c r="AI75" s="153">
        <v>1547</v>
      </c>
      <c r="AJ75" s="153">
        <v>162390</v>
      </c>
      <c r="AL75" s="254">
        <f>VLOOKUP(AA75,pgdp!$A$13:$C$90,3,FALSE)</f>
        <v>0.85894343086456204</v>
      </c>
      <c r="AM75" s="153" t="s">
        <v>10</v>
      </c>
      <c r="AN75" s="153">
        <v>2010</v>
      </c>
      <c r="AO75" s="153" t="s">
        <v>707</v>
      </c>
      <c r="AP75" s="255">
        <f t="shared" si="12"/>
        <v>19.639244441302324</v>
      </c>
      <c r="AQ75" s="255">
        <f t="shared" si="5"/>
        <v>126.10376435497675</v>
      </c>
      <c r="AR75" s="255">
        <f t="shared" si="6"/>
        <v>37.990860430883721</v>
      </c>
      <c r="AS75" s="255">
        <f t="shared" si="7"/>
        <v>1.1281301715348839</v>
      </c>
      <c r="AT75" s="255">
        <f t="shared" si="8"/>
        <v>2.3843246556279074</v>
      </c>
      <c r="AU75" s="255">
        <f t="shared" si="9"/>
        <v>9.3137681860465133E-3</v>
      </c>
      <c r="AV75" s="255">
        <f t="shared" si="10"/>
        <v>1.8010499229767443</v>
      </c>
      <c r="AW75" s="255">
        <f t="shared" si="11"/>
        <v>189.05785196651163</v>
      </c>
    </row>
    <row r="76" spans="1:49" hidden="1">
      <c r="A76" s="153"/>
      <c r="B76" s="153"/>
      <c r="C76" s="153"/>
      <c r="D76" s="153"/>
      <c r="E76" s="153"/>
      <c r="F76" s="153"/>
      <c r="G76" s="153"/>
      <c r="H76" s="153"/>
      <c r="I76" s="153"/>
      <c r="J76" s="153"/>
      <c r="K76" s="153"/>
      <c r="M76" s="254"/>
      <c r="N76" s="153"/>
      <c r="O76" s="153"/>
      <c r="P76" s="153"/>
      <c r="Q76" s="255"/>
      <c r="R76" s="255"/>
      <c r="S76" s="255"/>
      <c r="T76" s="255"/>
      <c r="U76" s="255"/>
      <c r="V76" s="255"/>
      <c r="W76" s="255"/>
      <c r="Z76" s="153" t="s">
        <v>10</v>
      </c>
      <c r="AA76" s="153">
        <v>2010</v>
      </c>
      <c r="AB76" s="153" t="s">
        <v>708</v>
      </c>
      <c r="AC76" s="153">
        <v>0</v>
      </c>
      <c r="AD76" s="153">
        <v>655</v>
      </c>
      <c r="AE76" s="153">
        <v>0</v>
      </c>
      <c r="AF76" s="153">
        <v>0</v>
      </c>
      <c r="AG76" s="153">
        <v>0</v>
      </c>
      <c r="AH76" s="153">
        <v>0</v>
      </c>
      <c r="AI76" s="153">
        <v>0</v>
      </c>
      <c r="AJ76" s="153">
        <v>655</v>
      </c>
      <c r="AK76" s="248"/>
      <c r="AL76" s="254">
        <f>VLOOKUP(AA76,pgdp!$A$13:$C$90,3,FALSE)</f>
        <v>0.85894343086456204</v>
      </c>
      <c r="AM76" s="153" t="s">
        <v>10</v>
      </c>
      <c r="AN76" s="153">
        <v>2010</v>
      </c>
      <c r="AO76" s="153" t="s">
        <v>708</v>
      </c>
      <c r="AP76" s="255">
        <f t="shared" si="12"/>
        <v>0</v>
      </c>
      <c r="AQ76" s="255">
        <f t="shared" si="5"/>
        <v>0.7625647702325582</v>
      </c>
      <c r="AR76" s="255">
        <f t="shared" si="6"/>
        <v>0</v>
      </c>
      <c r="AS76" s="255">
        <f t="shared" si="7"/>
        <v>0</v>
      </c>
      <c r="AT76" s="255">
        <f t="shared" si="8"/>
        <v>0</v>
      </c>
      <c r="AU76" s="255">
        <f t="shared" si="9"/>
        <v>0</v>
      </c>
      <c r="AV76" s="255">
        <f t="shared" si="10"/>
        <v>0</v>
      </c>
      <c r="AW76" s="255">
        <f t="shared" si="11"/>
        <v>0.7625647702325582</v>
      </c>
    </row>
    <row r="77" spans="1:49" s="248" customFormat="1" hidden="1">
      <c r="A77" s="153"/>
      <c r="B77" s="153"/>
      <c r="C77" s="153"/>
      <c r="D77" s="153"/>
      <c r="E77" s="153"/>
      <c r="F77" s="153"/>
      <c r="G77" s="153"/>
      <c r="H77" s="153"/>
      <c r="I77" s="153"/>
      <c r="J77" s="153"/>
      <c r="K77" s="153"/>
      <c r="M77" s="254"/>
      <c r="N77" s="153"/>
      <c r="O77" s="153"/>
      <c r="P77" s="153"/>
      <c r="Q77" s="255"/>
      <c r="R77" s="255"/>
      <c r="S77" s="255"/>
      <c r="T77" s="255"/>
      <c r="U77" s="255"/>
      <c r="V77" s="255"/>
      <c r="W77" s="255"/>
      <c r="Z77" s="153" t="s">
        <v>10</v>
      </c>
      <c r="AA77" s="153">
        <v>2011</v>
      </c>
      <c r="AB77" s="153" t="s">
        <v>689</v>
      </c>
      <c r="AC77" s="153">
        <v>137799</v>
      </c>
      <c r="AD77" s="153">
        <v>194134</v>
      </c>
      <c r="AE77" s="153">
        <v>102074</v>
      </c>
      <c r="AF77" s="153">
        <v>75291</v>
      </c>
      <c r="AG77" s="153">
        <v>14768</v>
      </c>
      <c r="AH77" s="153">
        <v>1820</v>
      </c>
      <c r="AI77" s="153">
        <v>2349</v>
      </c>
      <c r="AJ77" s="153">
        <v>528234</v>
      </c>
      <c r="AK77" s="251"/>
      <c r="AL77" s="254">
        <f>VLOOKUP(AA77,pgdp!$A$13:$C$90,3,FALSE)</f>
        <v>0.87638757317399019</v>
      </c>
      <c r="AM77" s="153" t="s">
        <v>10</v>
      </c>
      <c r="AN77" s="153">
        <v>2011</v>
      </c>
      <c r="AO77" s="153" t="s">
        <v>689</v>
      </c>
      <c r="AP77" s="255">
        <f t="shared" si="12"/>
        <v>157.23522813192903</v>
      </c>
      <c r="AQ77" s="255">
        <f t="shared" si="5"/>
        <v>221.51614872505542</v>
      </c>
      <c r="AR77" s="255">
        <f t="shared" si="6"/>
        <v>116.47130005543237</v>
      </c>
      <c r="AS77" s="255">
        <f t="shared" si="7"/>
        <v>85.910620260532141</v>
      </c>
      <c r="AT77" s="255">
        <f t="shared" si="8"/>
        <v>16.850992017738356</v>
      </c>
      <c r="AU77" s="255">
        <f t="shared" si="9"/>
        <v>2.0767067627494455</v>
      </c>
      <c r="AV77" s="255">
        <f t="shared" si="10"/>
        <v>2.6803209811529931</v>
      </c>
      <c r="AW77" s="255">
        <f t="shared" si="11"/>
        <v>602.740175886918</v>
      </c>
    </row>
    <row r="78" spans="1:49" hidden="1">
      <c r="A78" s="153"/>
      <c r="B78" s="153"/>
      <c r="C78" s="153"/>
      <c r="D78" s="153"/>
      <c r="E78" s="153"/>
      <c r="F78" s="153"/>
      <c r="G78" s="153"/>
      <c r="H78" s="153"/>
      <c r="I78" s="153"/>
      <c r="J78" s="153"/>
      <c r="K78" s="153"/>
      <c r="M78" s="254"/>
      <c r="N78" s="153"/>
      <c r="O78" s="153"/>
      <c r="P78" s="153"/>
      <c r="Q78" s="255"/>
      <c r="R78" s="255"/>
      <c r="S78" s="255"/>
      <c r="T78" s="255"/>
      <c r="U78" s="255"/>
      <c r="V78" s="255"/>
      <c r="W78" s="255"/>
      <c r="Z78" s="153" t="s">
        <v>10</v>
      </c>
      <c r="AA78" s="153">
        <v>2011</v>
      </c>
      <c r="AB78" s="153" t="s">
        <v>709</v>
      </c>
      <c r="AC78" s="153">
        <v>15640</v>
      </c>
      <c r="AD78" s="153">
        <v>110219</v>
      </c>
      <c r="AE78" s="153">
        <v>29825</v>
      </c>
      <c r="AF78" s="153">
        <v>1396</v>
      </c>
      <c r="AG78" s="153">
        <v>1223</v>
      </c>
      <c r="AH78" s="153">
        <v>0</v>
      </c>
      <c r="AI78" s="153">
        <v>485</v>
      </c>
      <c r="AJ78" s="153">
        <v>158788</v>
      </c>
      <c r="AL78" s="254">
        <f>VLOOKUP(AA78,pgdp!$A$13:$C$90,3,FALSE)</f>
        <v>0.87638757317399019</v>
      </c>
      <c r="AM78" s="153" t="s">
        <v>10</v>
      </c>
      <c r="AN78" s="153">
        <v>2011</v>
      </c>
      <c r="AO78" s="153" t="s">
        <v>709</v>
      </c>
      <c r="AP78" s="255">
        <f t="shared" si="12"/>
        <v>17.845985587583151</v>
      </c>
      <c r="AQ78" s="255">
        <f t="shared" si="5"/>
        <v>125.76513334257206</v>
      </c>
      <c r="AR78" s="255">
        <f t="shared" si="6"/>
        <v>34.03174681263858</v>
      </c>
      <c r="AS78" s="255">
        <f t="shared" si="7"/>
        <v>1.5929025498891352</v>
      </c>
      <c r="AT78" s="255">
        <f t="shared" si="8"/>
        <v>1.3955013026607537</v>
      </c>
      <c r="AU78" s="255">
        <f t="shared" si="9"/>
        <v>0</v>
      </c>
      <c r="AV78" s="255">
        <f t="shared" si="10"/>
        <v>0.55340812084257196</v>
      </c>
      <c r="AW78" s="255">
        <f t="shared" si="11"/>
        <v>181.18467771618623</v>
      </c>
    </row>
    <row r="79" spans="1:49" hidden="1">
      <c r="A79" s="153"/>
      <c r="B79" s="153"/>
      <c r="C79" s="153"/>
      <c r="D79" s="153"/>
      <c r="E79" s="153"/>
      <c r="F79" s="153"/>
      <c r="G79" s="153"/>
      <c r="H79" s="153"/>
      <c r="I79" s="153"/>
      <c r="J79" s="153"/>
      <c r="K79" s="153"/>
      <c r="M79" s="254"/>
      <c r="N79" s="153"/>
      <c r="O79" s="153"/>
      <c r="P79" s="153"/>
      <c r="Q79" s="255"/>
      <c r="R79" s="255"/>
      <c r="S79" s="255"/>
      <c r="T79" s="255"/>
      <c r="U79" s="255"/>
      <c r="V79" s="255"/>
      <c r="W79" s="255"/>
      <c r="Z79" s="153" t="s">
        <v>10</v>
      </c>
      <c r="AA79" s="153">
        <v>2012</v>
      </c>
      <c r="AB79" s="153" t="s">
        <v>689</v>
      </c>
      <c r="AC79" s="153">
        <v>141682</v>
      </c>
      <c r="AD79" s="153">
        <v>199213</v>
      </c>
      <c r="AE79" s="153">
        <v>102263</v>
      </c>
      <c r="AF79" s="153">
        <v>71508</v>
      </c>
      <c r="AG79" s="153">
        <v>11367</v>
      </c>
      <c r="AH79" s="153">
        <v>1683</v>
      </c>
      <c r="AI79" s="153">
        <v>2695</v>
      </c>
      <c r="AJ79" s="153">
        <v>530411</v>
      </c>
      <c r="AK79" s="248"/>
      <c r="AL79" s="254">
        <f>VLOOKUP(AA79,pgdp!$A$13:$C$90,3,FALSE)</f>
        <v>0.89246166741880806</v>
      </c>
      <c r="AM79" s="153" t="s">
        <v>10</v>
      </c>
      <c r="AN79" s="153">
        <v>2012</v>
      </c>
      <c r="AO79" s="153" t="s">
        <v>689</v>
      </c>
      <c r="AP79" s="255">
        <f t="shared" si="12"/>
        <v>158.75415737437211</v>
      </c>
      <c r="AQ79" s="255">
        <f t="shared" si="5"/>
        <v>223.21743025240181</v>
      </c>
      <c r="AR79" s="255">
        <f t="shared" si="6"/>
        <v>114.58531355835898</v>
      </c>
      <c r="AS79" s="255">
        <f t="shared" si="7"/>
        <v>80.124449722100209</v>
      </c>
      <c r="AT79" s="255">
        <f t="shared" si="8"/>
        <v>12.736681490058638</v>
      </c>
      <c r="AU79" s="255">
        <f t="shared" si="9"/>
        <v>1.8857952800007642</v>
      </c>
      <c r="AV79" s="255">
        <f t="shared" si="10"/>
        <v>3.0197375398705049</v>
      </c>
      <c r="AW79" s="255">
        <f t="shared" si="11"/>
        <v>594.32356521716292</v>
      </c>
    </row>
    <row r="80" spans="1:49" s="248" customFormat="1" hidden="1">
      <c r="A80" s="153"/>
      <c r="B80" s="153"/>
      <c r="C80" s="153"/>
      <c r="D80" s="153"/>
      <c r="E80" s="153"/>
      <c r="F80" s="153"/>
      <c r="G80" s="153"/>
      <c r="H80" s="153"/>
      <c r="I80" s="153"/>
      <c r="J80" s="153"/>
      <c r="K80" s="153"/>
      <c r="M80" s="254"/>
      <c r="N80" s="153"/>
      <c r="O80" s="153"/>
      <c r="P80" s="153"/>
      <c r="Q80" s="255"/>
      <c r="R80" s="255"/>
      <c r="S80" s="255"/>
      <c r="T80" s="255"/>
      <c r="U80" s="255"/>
      <c r="V80" s="255"/>
      <c r="W80" s="255"/>
      <c r="Z80" s="153" t="s">
        <v>10</v>
      </c>
      <c r="AA80" s="153">
        <v>2012</v>
      </c>
      <c r="AB80" s="153" t="s">
        <v>710</v>
      </c>
      <c r="AC80" s="153">
        <v>11293</v>
      </c>
      <c r="AD80" s="153">
        <v>86776</v>
      </c>
      <c r="AE80" s="153">
        <v>16052</v>
      </c>
      <c r="AF80" s="153">
        <v>526</v>
      </c>
      <c r="AG80" s="153">
        <v>0</v>
      </c>
      <c r="AH80" s="153">
        <v>0</v>
      </c>
      <c r="AI80" s="153">
        <v>435</v>
      </c>
      <c r="AJ80" s="153">
        <v>115083</v>
      </c>
      <c r="AK80" s="251"/>
      <c r="AL80" s="254">
        <f>VLOOKUP(AA80,pgdp!$A$13:$C$90,3,FALSE)</f>
        <v>0.89246166741880806</v>
      </c>
      <c r="AM80" s="153" t="s">
        <v>10</v>
      </c>
      <c r="AN80" s="153">
        <v>2012</v>
      </c>
      <c r="AO80" s="153" t="s">
        <v>710</v>
      </c>
      <c r="AP80" s="255">
        <f t="shared" si="12"/>
        <v>12.653764763546423</v>
      </c>
      <c r="AQ80" s="255">
        <f t="shared" si="5"/>
        <v>97.232187294917594</v>
      </c>
      <c r="AR80" s="255">
        <f t="shared" si="6"/>
        <v>17.986206675325175</v>
      </c>
      <c r="AS80" s="255">
        <f t="shared" si="7"/>
        <v>0.5893810560192525</v>
      </c>
      <c r="AT80" s="255">
        <f t="shared" si="8"/>
        <v>0</v>
      </c>
      <c r="AU80" s="255">
        <f t="shared" si="9"/>
        <v>0</v>
      </c>
      <c r="AV80" s="255">
        <f t="shared" si="10"/>
        <v>0.48741589233531341</v>
      </c>
      <c r="AW80" s="255">
        <f t="shared" si="11"/>
        <v>128.95007617844797</v>
      </c>
    </row>
    <row r="81" spans="1:49" hidden="1">
      <c r="A81" s="153"/>
      <c r="B81" s="153"/>
      <c r="C81" s="153"/>
      <c r="D81" s="153"/>
      <c r="E81" s="153"/>
      <c r="F81" s="153"/>
      <c r="G81" s="153"/>
      <c r="H81" s="153"/>
      <c r="I81" s="153"/>
      <c r="J81" s="153"/>
      <c r="K81" s="153"/>
      <c r="M81" s="254"/>
      <c r="N81" s="153"/>
      <c r="O81" s="153"/>
      <c r="P81" s="153"/>
      <c r="Q81" s="255"/>
      <c r="R81" s="255"/>
      <c r="S81" s="255"/>
      <c r="T81" s="255"/>
      <c r="U81" s="255"/>
      <c r="V81" s="255"/>
      <c r="W81" s="255"/>
      <c r="Z81" s="153" t="s">
        <v>10</v>
      </c>
      <c r="AA81" s="153">
        <v>2013</v>
      </c>
      <c r="AB81" s="153" t="s">
        <v>689</v>
      </c>
      <c r="AC81" s="153">
        <v>134617</v>
      </c>
      <c r="AD81" s="153">
        <v>196091</v>
      </c>
      <c r="AE81" s="153">
        <v>89627</v>
      </c>
      <c r="AF81" s="153">
        <v>63154</v>
      </c>
      <c r="AG81" s="153">
        <v>8053</v>
      </c>
      <c r="AH81" s="153">
        <v>1479</v>
      </c>
      <c r="AI81" s="153">
        <v>2445</v>
      </c>
      <c r="AJ81" s="153">
        <v>495466</v>
      </c>
      <c r="AL81" s="254">
        <f>VLOOKUP(AA81,pgdp!$A$13:$C$90,3,FALSE)</f>
        <v>0.9075385882666781</v>
      </c>
      <c r="AM81" s="153" t="s">
        <v>10</v>
      </c>
      <c r="AN81" s="153">
        <v>2013</v>
      </c>
      <c r="AO81" s="153" t="s">
        <v>689</v>
      </c>
      <c r="AP81" s="255">
        <f t="shared" si="12"/>
        <v>148.33198471164411</v>
      </c>
      <c r="AQ81" s="255">
        <f t="shared" si="5"/>
        <v>216.06904933322693</v>
      </c>
      <c r="AR81" s="255">
        <f t="shared" si="6"/>
        <v>98.758335082125811</v>
      </c>
      <c r="AS81" s="255">
        <f t="shared" si="7"/>
        <v>69.588225576852651</v>
      </c>
      <c r="AT81" s="255">
        <f t="shared" si="8"/>
        <v>8.8734518885643734</v>
      </c>
      <c r="AU81" s="255">
        <f t="shared" si="9"/>
        <v>1.6296827695500693</v>
      </c>
      <c r="AV81" s="255">
        <f t="shared" si="10"/>
        <v>2.6941003188302362</v>
      </c>
      <c r="AW81" s="255">
        <f t="shared" si="11"/>
        <v>545.94482968079421</v>
      </c>
    </row>
    <row r="82" spans="1:49" s="248" customFormat="1" hidden="1">
      <c r="A82" s="153"/>
      <c r="B82" s="153"/>
      <c r="C82" s="153"/>
      <c r="D82" s="153"/>
      <c r="E82" s="153"/>
      <c r="F82" s="153"/>
      <c r="G82" s="153"/>
      <c r="H82" s="153"/>
      <c r="I82" s="153"/>
      <c r="J82" s="153"/>
      <c r="K82" s="153"/>
      <c r="M82" s="254"/>
      <c r="N82" s="153"/>
      <c r="O82" s="153"/>
      <c r="P82" s="153"/>
      <c r="Q82" s="255"/>
      <c r="R82" s="255"/>
      <c r="S82" s="255"/>
      <c r="T82" s="255"/>
      <c r="U82" s="255"/>
      <c r="V82" s="255"/>
      <c r="W82" s="255"/>
      <c r="Z82" s="153" t="s">
        <v>10</v>
      </c>
      <c r="AA82" s="153">
        <v>2013</v>
      </c>
      <c r="AB82" s="153" t="s">
        <v>711</v>
      </c>
      <c r="AC82" s="153">
        <v>12123</v>
      </c>
      <c r="AD82" s="153">
        <v>61523</v>
      </c>
      <c r="AE82" s="153">
        <v>8134</v>
      </c>
      <c r="AF82" s="153">
        <v>192</v>
      </c>
      <c r="AG82" s="153">
        <v>-9</v>
      </c>
      <c r="AH82" s="153">
        <v>0</v>
      </c>
      <c r="AI82" s="153">
        <v>10</v>
      </c>
      <c r="AJ82" s="153">
        <v>81973</v>
      </c>
      <c r="AL82" s="254">
        <f>VLOOKUP(AA82,pgdp!$A$13:$C$90,3,FALSE)</f>
        <v>0.9075385882666781</v>
      </c>
      <c r="AM82" s="153" t="s">
        <v>10</v>
      </c>
      <c r="AN82" s="153">
        <v>2013</v>
      </c>
      <c r="AO82" s="153" t="s">
        <v>711</v>
      </c>
      <c r="AP82" s="255">
        <f t="shared" si="12"/>
        <v>13.358109679009798</v>
      </c>
      <c r="AQ82" s="255">
        <f t="shared" si="5"/>
        <v>67.791056816111507</v>
      </c>
      <c r="AR82" s="255">
        <f t="shared" si="6"/>
        <v>8.9627042917648847</v>
      </c>
      <c r="AS82" s="255">
        <f t="shared" si="7"/>
        <v>0.21156125203084064</v>
      </c>
      <c r="AT82" s="255">
        <f t="shared" si="8"/>
        <v>-9.916933688945655E-3</v>
      </c>
      <c r="AU82" s="255">
        <f t="shared" si="9"/>
        <v>0</v>
      </c>
      <c r="AV82" s="255">
        <f t="shared" si="10"/>
        <v>1.1018815209939616E-2</v>
      </c>
      <c r="AW82" s="255">
        <f t="shared" si="11"/>
        <v>90.324533920438014</v>
      </c>
    </row>
    <row r="83" spans="1:49" hidden="1">
      <c r="A83" s="153"/>
      <c r="B83" s="153"/>
      <c r="C83" s="153"/>
      <c r="D83" s="153"/>
      <c r="E83" s="153"/>
      <c r="F83" s="153"/>
      <c r="G83" s="153"/>
      <c r="H83" s="153"/>
      <c r="I83" s="153"/>
      <c r="J83" s="153"/>
      <c r="K83" s="153"/>
      <c r="M83" s="254"/>
      <c r="N83" s="153"/>
      <c r="O83" s="153"/>
      <c r="P83" s="153"/>
      <c r="Q83" s="255"/>
      <c r="R83" s="255"/>
      <c r="S83" s="255"/>
      <c r="T83" s="255"/>
      <c r="U83" s="255"/>
      <c r="V83" s="255"/>
      <c r="W83" s="255"/>
      <c r="Z83" s="153" t="s">
        <v>10</v>
      </c>
      <c r="AA83" s="153">
        <v>2013</v>
      </c>
      <c r="AB83" s="153" t="s">
        <v>712</v>
      </c>
      <c r="AC83" s="153">
        <v>0</v>
      </c>
      <c r="AD83" s="153">
        <v>63</v>
      </c>
      <c r="AE83" s="153">
        <v>1</v>
      </c>
      <c r="AF83" s="153">
        <v>0</v>
      </c>
      <c r="AG83" s="153">
        <v>24</v>
      </c>
      <c r="AH83" s="153">
        <v>0</v>
      </c>
      <c r="AI83" s="153">
        <v>24</v>
      </c>
      <c r="AJ83" s="153">
        <v>113</v>
      </c>
      <c r="AL83" s="254">
        <f>VLOOKUP(AA83,pgdp!$A$13:$C$90,3,FALSE)</f>
        <v>0.9075385882666781</v>
      </c>
      <c r="AM83" s="153" t="s">
        <v>10</v>
      </c>
      <c r="AN83" s="153">
        <v>2013</v>
      </c>
      <c r="AO83" s="153" t="s">
        <v>712</v>
      </c>
      <c r="AP83" s="255">
        <f t="shared" si="12"/>
        <v>0</v>
      </c>
      <c r="AQ83" s="255">
        <f t="shared" si="5"/>
        <v>6.9418535822619587E-2</v>
      </c>
      <c r="AR83" s="255">
        <f t="shared" si="6"/>
        <v>1.1018815209939616E-3</v>
      </c>
      <c r="AS83" s="255">
        <f t="shared" si="7"/>
        <v>0</v>
      </c>
      <c r="AT83" s="255">
        <f t="shared" si="8"/>
        <v>2.644515650385508E-2</v>
      </c>
      <c r="AU83" s="255">
        <f t="shared" si="9"/>
        <v>0</v>
      </c>
      <c r="AV83" s="255">
        <f t="shared" si="10"/>
        <v>2.644515650385508E-2</v>
      </c>
      <c r="AW83" s="255">
        <f t="shared" si="11"/>
        <v>0.12451261187231766</v>
      </c>
    </row>
    <row r="84" spans="1:49" s="248" customFormat="1" hidden="1">
      <c r="A84" s="153"/>
      <c r="B84" s="153"/>
      <c r="C84" s="153"/>
      <c r="D84" s="153"/>
      <c r="E84" s="153"/>
      <c r="F84" s="153"/>
      <c r="G84" s="153"/>
      <c r="H84" s="153"/>
      <c r="I84" s="153"/>
      <c r="J84" s="153"/>
      <c r="K84" s="153"/>
      <c r="M84" s="254"/>
      <c r="N84" s="153"/>
      <c r="O84" s="153"/>
      <c r="P84" s="153"/>
      <c r="Q84" s="255"/>
      <c r="R84" s="255"/>
      <c r="S84" s="255"/>
      <c r="T84" s="255"/>
      <c r="U84" s="255"/>
      <c r="V84" s="255"/>
      <c r="W84" s="255"/>
      <c r="Z84" s="153" t="s">
        <v>10</v>
      </c>
      <c r="AA84" s="153">
        <v>2014</v>
      </c>
      <c r="AB84" s="153" t="s">
        <v>689</v>
      </c>
      <c r="AC84" s="153">
        <v>136039</v>
      </c>
      <c r="AD84" s="153">
        <v>192615</v>
      </c>
      <c r="AE84" s="153">
        <v>92163</v>
      </c>
      <c r="AF84" s="153">
        <v>63172</v>
      </c>
      <c r="AG84" s="153">
        <v>8392</v>
      </c>
      <c r="AH84" s="153">
        <v>1416</v>
      </c>
      <c r="AI84" s="153">
        <v>2487</v>
      </c>
      <c r="AJ84" s="153">
        <v>496285</v>
      </c>
      <c r="AK84" s="251"/>
      <c r="AL84" s="254">
        <f>VLOOKUP(AA84,pgdp!$A$13:$C$90,3,FALSE)</f>
        <v>0.9240281714268912</v>
      </c>
      <c r="AM84" s="153" t="s">
        <v>10</v>
      </c>
      <c r="AN84" s="153">
        <v>2014</v>
      </c>
      <c r="AO84" s="153" t="s">
        <v>689</v>
      </c>
      <c r="AP84" s="255">
        <f t="shared" si="12"/>
        <v>147.2238663350789</v>
      </c>
      <c r="AQ84" s="255">
        <f t="shared" si="5"/>
        <v>208.45143682422849</v>
      </c>
      <c r="AR84" s="255">
        <f t="shared" si="6"/>
        <v>99.740465550613251</v>
      </c>
      <c r="AS84" s="255">
        <f t="shared" si="7"/>
        <v>68.365880990889409</v>
      </c>
      <c r="AT84" s="255">
        <f t="shared" si="8"/>
        <v>9.0819741859612471</v>
      </c>
      <c r="AU84" s="255">
        <f t="shared" si="9"/>
        <v>1.532420811167913</v>
      </c>
      <c r="AV84" s="255">
        <f t="shared" si="10"/>
        <v>2.6914763823266949</v>
      </c>
      <c r="AW84" s="255">
        <f t="shared" si="11"/>
        <v>537.08860329835295</v>
      </c>
    </row>
    <row r="85" spans="1:49" hidden="1">
      <c r="A85" s="153"/>
      <c r="B85" s="153"/>
      <c r="C85" s="153"/>
      <c r="D85" s="153"/>
      <c r="E85" s="153"/>
      <c r="F85" s="153"/>
      <c r="G85" s="153"/>
      <c r="H85" s="153"/>
      <c r="I85" s="153"/>
      <c r="J85" s="153"/>
      <c r="K85" s="153"/>
      <c r="M85" s="254"/>
      <c r="N85" s="153"/>
      <c r="O85" s="153"/>
      <c r="P85" s="153"/>
      <c r="Q85" s="255"/>
      <c r="R85" s="255"/>
      <c r="S85" s="255"/>
      <c r="T85" s="255"/>
      <c r="U85" s="255"/>
      <c r="V85" s="255"/>
      <c r="W85" s="255"/>
      <c r="Z85" s="153" t="s">
        <v>10</v>
      </c>
      <c r="AA85" s="153">
        <v>2014</v>
      </c>
      <c r="AB85" s="153" t="s">
        <v>713</v>
      </c>
      <c r="AC85" s="153">
        <v>7810</v>
      </c>
      <c r="AD85" s="153">
        <v>68792</v>
      </c>
      <c r="AE85" s="153">
        <v>8018</v>
      </c>
      <c r="AF85" s="153">
        <v>310</v>
      </c>
      <c r="AG85" s="153">
        <v>0</v>
      </c>
      <c r="AH85" s="153">
        <v>0</v>
      </c>
      <c r="AI85" s="153"/>
      <c r="AJ85" s="153">
        <v>84929</v>
      </c>
      <c r="AK85" s="248"/>
      <c r="AL85" s="254">
        <f>VLOOKUP(AA85,pgdp!$A$13:$C$90,3,FALSE)</f>
        <v>0.9240281714268912</v>
      </c>
      <c r="AM85" s="153" t="s">
        <v>10</v>
      </c>
      <c r="AN85" s="153">
        <v>2014</v>
      </c>
      <c r="AO85" s="153" t="s">
        <v>713</v>
      </c>
      <c r="AP85" s="255">
        <f t="shared" si="12"/>
        <v>8.4521232593371476</v>
      </c>
      <c r="AQ85" s="255">
        <f t="shared" si="5"/>
        <v>74.447946639733814</v>
      </c>
      <c r="AR85" s="255">
        <f t="shared" si="6"/>
        <v>8.6772246214296089</v>
      </c>
      <c r="AS85" s="255">
        <f t="shared" si="7"/>
        <v>0.33548760696472668</v>
      </c>
      <c r="AT85" s="255">
        <f t="shared" si="8"/>
        <v>0</v>
      </c>
      <c r="AU85" s="255">
        <f t="shared" si="9"/>
        <v>0</v>
      </c>
      <c r="AV85" s="255">
        <f t="shared" si="10"/>
        <v>0</v>
      </c>
      <c r="AW85" s="255">
        <f t="shared" si="11"/>
        <v>91.911699909378314</v>
      </c>
    </row>
    <row r="86" spans="1:49" hidden="1">
      <c r="A86" s="153"/>
      <c r="B86" s="153"/>
      <c r="C86" s="153"/>
      <c r="D86" s="153"/>
      <c r="E86" s="153"/>
      <c r="F86" s="153"/>
      <c r="G86" s="153"/>
      <c r="H86" s="153"/>
      <c r="I86" s="153"/>
      <c r="J86" s="153"/>
      <c r="K86" s="153"/>
      <c r="M86" s="254"/>
      <c r="N86" s="153"/>
      <c r="O86" s="153"/>
      <c r="P86" s="153"/>
      <c r="Q86" s="255"/>
      <c r="R86" s="255"/>
      <c r="S86" s="255"/>
      <c r="T86" s="255"/>
      <c r="U86" s="255"/>
      <c r="V86" s="255"/>
      <c r="W86" s="255"/>
      <c r="Z86" s="153" t="s">
        <v>10</v>
      </c>
      <c r="AA86" s="153">
        <v>2014</v>
      </c>
      <c r="AB86" s="153" t="s">
        <v>714</v>
      </c>
      <c r="AC86" s="153"/>
      <c r="AD86" s="153"/>
      <c r="AE86" s="153">
        <v>225</v>
      </c>
      <c r="AF86" s="153"/>
      <c r="AG86" s="153"/>
      <c r="AH86" s="153"/>
      <c r="AI86" s="153"/>
      <c r="AJ86" s="153">
        <v>225</v>
      </c>
      <c r="AL86" s="254">
        <f>VLOOKUP(AA86,pgdp!$A$13:$C$90,3,FALSE)</f>
        <v>0.9240281714268912</v>
      </c>
      <c r="AM86" s="153" t="s">
        <v>10</v>
      </c>
      <c r="AN86" s="153">
        <v>2014</v>
      </c>
      <c r="AO86" s="153" t="s">
        <v>714</v>
      </c>
      <c r="AP86" s="255">
        <f t="shared" si="12"/>
        <v>0</v>
      </c>
      <c r="AQ86" s="255">
        <f t="shared" si="5"/>
        <v>0</v>
      </c>
      <c r="AR86" s="255">
        <f t="shared" si="6"/>
        <v>0.24349906957117262</v>
      </c>
      <c r="AS86" s="255">
        <f t="shared" si="7"/>
        <v>0</v>
      </c>
      <c r="AT86" s="255">
        <f t="shared" si="8"/>
        <v>0</v>
      </c>
      <c r="AU86" s="255">
        <f t="shared" si="9"/>
        <v>0</v>
      </c>
      <c r="AV86" s="255">
        <f t="shared" si="10"/>
        <v>0</v>
      </c>
      <c r="AW86" s="255">
        <f t="shared" si="11"/>
        <v>0.24349906957117262</v>
      </c>
    </row>
    <row r="87" spans="1:49" s="248" customFormat="1" hidden="1">
      <c r="A87" s="153"/>
      <c r="B87" s="153"/>
      <c r="C87" s="153"/>
      <c r="D87" s="153"/>
      <c r="E87" s="153"/>
      <c r="F87" s="153"/>
      <c r="G87" s="153"/>
      <c r="H87" s="153"/>
      <c r="I87" s="153"/>
      <c r="J87" s="153"/>
      <c r="K87" s="153"/>
      <c r="M87" s="254"/>
      <c r="N87" s="153"/>
      <c r="O87" s="153"/>
      <c r="P87" s="153"/>
      <c r="Q87" s="255"/>
      <c r="R87" s="255"/>
      <c r="S87" s="255"/>
      <c r="T87" s="255"/>
      <c r="U87" s="255"/>
      <c r="V87" s="255"/>
      <c r="W87" s="255"/>
      <c r="Z87" s="153" t="s">
        <v>10</v>
      </c>
      <c r="AA87" s="153">
        <v>2015</v>
      </c>
      <c r="AB87" s="153" t="s">
        <v>689</v>
      </c>
      <c r="AC87" s="153">
        <v>134887</v>
      </c>
      <c r="AD87" s="153">
        <v>196335</v>
      </c>
      <c r="AE87" s="153">
        <v>93875</v>
      </c>
      <c r="AF87" s="153">
        <v>63461</v>
      </c>
      <c r="AG87" s="153">
        <v>5431</v>
      </c>
      <c r="AH87" s="153">
        <v>1127</v>
      </c>
      <c r="AI87" s="153">
        <v>2226</v>
      </c>
      <c r="AJ87" s="153">
        <v>497341</v>
      </c>
      <c r="AL87" s="254">
        <f>VLOOKUP(AA87,pgdp!$A$13:$C$90,3,FALSE)</f>
        <v>0.9351696664966358</v>
      </c>
      <c r="AM87" s="153" t="s">
        <v>10</v>
      </c>
      <c r="AN87" s="153">
        <v>2015</v>
      </c>
      <c r="AO87" s="153" t="s">
        <v>689</v>
      </c>
      <c r="AP87" s="255">
        <f t="shared" si="12"/>
        <v>144.23799748051948</v>
      </c>
      <c r="AQ87" s="255">
        <f t="shared" si="5"/>
        <v>209.94586012987011</v>
      </c>
      <c r="AR87" s="255">
        <f t="shared" si="6"/>
        <v>100.3828538961039</v>
      </c>
      <c r="AS87" s="255">
        <f t="shared" si="7"/>
        <v>67.860413220779222</v>
      </c>
      <c r="AT87" s="255">
        <f t="shared" si="8"/>
        <v>5.807502311688312</v>
      </c>
      <c r="AU87" s="255">
        <f t="shared" si="9"/>
        <v>1.205128909090909</v>
      </c>
      <c r="AV87" s="255">
        <f t="shared" si="10"/>
        <v>2.3803167272727275</v>
      </c>
      <c r="AW87" s="255">
        <f t="shared" si="11"/>
        <v>531.81900335064938</v>
      </c>
    </row>
    <row r="88" spans="1:49" hidden="1">
      <c r="A88" s="153"/>
      <c r="B88" s="153"/>
      <c r="C88" s="153"/>
      <c r="D88" s="153"/>
      <c r="E88" s="153"/>
      <c r="F88" s="153"/>
      <c r="G88" s="153"/>
      <c r="H88" s="153"/>
      <c r="I88" s="153"/>
      <c r="J88" s="153"/>
      <c r="K88" s="153"/>
      <c r="M88" s="254"/>
      <c r="N88" s="153"/>
      <c r="O88" s="153"/>
      <c r="P88" s="153"/>
      <c r="Q88" s="255"/>
      <c r="R88" s="255"/>
      <c r="S88" s="255"/>
      <c r="T88" s="255"/>
      <c r="U88" s="255"/>
      <c r="V88" s="255"/>
      <c r="W88" s="255"/>
      <c r="Z88" s="153" t="s">
        <v>10</v>
      </c>
      <c r="AA88" s="153">
        <v>2015</v>
      </c>
      <c r="AB88" s="153" t="s">
        <v>715</v>
      </c>
      <c r="AC88" s="153">
        <v>4775</v>
      </c>
      <c r="AD88" s="153">
        <v>49483</v>
      </c>
      <c r="AE88" s="153">
        <v>8217</v>
      </c>
      <c r="AF88" s="153">
        <v>286</v>
      </c>
      <c r="AG88" s="153">
        <v>221</v>
      </c>
      <c r="AH88" s="153"/>
      <c r="AI88" s="153"/>
      <c r="AJ88" s="153">
        <v>62983</v>
      </c>
      <c r="AL88" s="254">
        <f>VLOOKUP(AA88,pgdp!$A$13:$C$90,3,FALSE)</f>
        <v>0.9351696664966358</v>
      </c>
      <c r="AM88" s="153" t="s">
        <v>10</v>
      </c>
      <c r="AN88" s="153">
        <v>2015</v>
      </c>
      <c r="AO88" s="153" t="s">
        <v>715</v>
      </c>
      <c r="AP88" s="255">
        <f t="shared" si="12"/>
        <v>5.1060253246753247</v>
      </c>
      <c r="AQ88" s="255">
        <f t="shared" si="5"/>
        <v>52.913392909090909</v>
      </c>
      <c r="AR88" s="255">
        <f t="shared" si="6"/>
        <v>8.7866408571428565</v>
      </c>
      <c r="AS88" s="255">
        <f t="shared" si="7"/>
        <v>0.30582685714285712</v>
      </c>
      <c r="AT88" s="255">
        <f t="shared" si="8"/>
        <v>0.23632075324675325</v>
      </c>
      <c r="AU88" s="255">
        <f t="shared" si="9"/>
        <v>0</v>
      </c>
      <c r="AV88" s="255">
        <f t="shared" si="10"/>
        <v>0</v>
      </c>
      <c r="AW88" s="255">
        <f t="shared" si="11"/>
        <v>67.349276025974035</v>
      </c>
    </row>
    <row r="89" spans="1:49" hidden="1">
      <c r="A89" s="153"/>
      <c r="B89" s="153"/>
      <c r="C89" s="153"/>
      <c r="D89" s="153"/>
      <c r="E89" s="153"/>
      <c r="F89" s="153"/>
      <c r="G89" s="153"/>
      <c r="H89" s="153"/>
      <c r="I89" s="153"/>
      <c r="J89" s="153"/>
      <c r="K89" s="153"/>
      <c r="M89" s="254"/>
      <c r="N89" s="153"/>
      <c r="O89" s="153"/>
      <c r="P89" s="153"/>
      <c r="Q89" s="255"/>
      <c r="R89" s="255"/>
      <c r="S89" s="255"/>
      <c r="T89" s="255"/>
      <c r="U89" s="255"/>
      <c r="V89" s="255"/>
      <c r="W89" s="255"/>
      <c r="Z89" s="153" t="s">
        <v>10</v>
      </c>
      <c r="AA89" s="153">
        <v>2015</v>
      </c>
      <c r="AB89" s="153" t="s">
        <v>716</v>
      </c>
      <c r="AC89" s="153"/>
      <c r="AD89" s="153"/>
      <c r="AE89" s="153">
        <v>17</v>
      </c>
      <c r="AF89" s="153">
        <v>95</v>
      </c>
      <c r="AG89" s="153"/>
      <c r="AH89" s="153"/>
      <c r="AI89" s="153"/>
      <c r="AJ89" s="153">
        <v>112</v>
      </c>
      <c r="AK89" s="248"/>
      <c r="AL89" s="254">
        <f>VLOOKUP(AA89,pgdp!$A$13:$C$90,3,FALSE)</f>
        <v>0.9351696664966358</v>
      </c>
      <c r="AM89" s="153" t="s">
        <v>10</v>
      </c>
      <c r="AN89" s="153">
        <v>2015</v>
      </c>
      <c r="AO89" s="153" t="s">
        <v>716</v>
      </c>
      <c r="AP89" s="255">
        <f t="shared" si="12"/>
        <v>0</v>
      </c>
      <c r="AQ89" s="255">
        <f t="shared" si="5"/>
        <v>0</v>
      </c>
      <c r="AR89" s="255">
        <f t="shared" si="6"/>
        <v>1.8178519480519479E-2</v>
      </c>
      <c r="AS89" s="255">
        <f t="shared" si="7"/>
        <v>0.10158584415584415</v>
      </c>
      <c r="AT89" s="255">
        <f t="shared" si="8"/>
        <v>0</v>
      </c>
      <c r="AU89" s="255">
        <f t="shared" si="9"/>
        <v>0</v>
      </c>
      <c r="AV89" s="255">
        <f t="shared" si="10"/>
        <v>0</v>
      </c>
      <c r="AW89" s="255">
        <f t="shared" si="11"/>
        <v>0.11976436363636364</v>
      </c>
    </row>
    <row r="90" spans="1:49" s="248" customFormat="1" hidden="1">
      <c r="A90" s="153"/>
      <c r="B90" s="153"/>
      <c r="C90" s="153"/>
      <c r="D90" s="153"/>
      <c r="E90" s="153"/>
      <c r="F90" s="153"/>
      <c r="G90" s="153"/>
      <c r="H90" s="153"/>
      <c r="I90" s="153"/>
      <c r="J90" s="153"/>
      <c r="K90" s="153"/>
      <c r="M90" s="254"/>
      <c r="N90" s="153"/>
      <c r="O90" s="153"/>
      <c r="P90" s="153"/>
      <c r="Q90" s="255"/>
      <c r="R90" s="255"/>
      <c r="S90" s="255"/>
      <c r="T90" s="255"/>
      <c r="U90" s="255"/>
      <c r="V90" s="255"/>
      <c r="W90" s="255"/>
      <c r="Z90" s="153" t="s">
        <v>10</v>
      </c>
      <c r="AA90" s="153">
        <v>2016</v>
      </c>
      <c r="AB90" s="153" t="s">
        <v>689</v>
      </c>
      <c r="AC90" s="153">
        <v>135396</v>
      </c>
      <c r="AD90" s="153">
        <v>197153</v>
      </c>
      <c r="AE90" s="153">
        <v>110454</v>
      </c>
      <c r="AF90" s="153">
        <v>68907</v>
      </c>
      <c r="AG90" s="153">
        <v>6927</v>
      </c>
      <c r="AH90" s="153">
        <v>1251</v>
      </c>
      <c r="AI90" s="153">
        <v>1262</v>
      </c>
      <c r="AJ90" s="153">
        <v>521350</v>
      </c>
      <c r="AK90" s="251"/>
      <c r="AL90" s="254">
        <f>VLOOKUP(AA90,pgdp!$A$13:$C$90,3,FALSE)</f>
        <v>0.94602138468179731</v>
      </c>
      <c r="AM90" s="153" t="s">
        <v>10</v>
      </c>
      <c r="AN90" s="153">
        <v>2016</v>
      </c>
      <c r="AO90" s="153" t="s">
        <v>689</v>
      </c>
      <c r="AP90" s="255">
        <f t="shared" si="12"/>
        <v>143.12150041464616</v>
      </c>
      <c r="AQ90" s="255">
        <f t="shared" si="5"/>
        <v>208.40226573346877</v>
      </c>
      <c r="AR90" s="255">
        <f t="shared" si="6"/>
        <v>116.75634588022783</v>
      </c>
      <c r="AS90" s="255">
        <f t="shared" si="7"/>
        <v>72.838734003013556</v>
      </c>
      <c r="AT90" s="255">
        <f t="shared" si="8"/>
        <v>7.3222446259287874</v>
      </c>
      <c r="AU90" s="255">
        <f t="shared" si="9"/>
        <v>1.3223802550941117</v>
      </c>
      <c r="AV90" s="255">
        <f t="shared" si="10"/>
        <v>1.3340078992236364</v>
      </c>
      <c r="AW90" s="255">
        <f t="shared" si="11"/>
        <v>551.09747881160297</v>
      </c>
    </row>
    <row r="91" spans="1:49" hidden="1">
      <c r="A91" s="153"/>
      <c r="B91" s="153"/>
      <c r="C91" s="153"/>
      <c r="D91" s="153"/>
      <c r="E91" s="153"/>
      <c r="F91" s="153"/>
      <c r="G91" s="153"/>
      <c r="H91" s="153"/>
      <c r="I91" s="153"/>
      <c r="J91" s="153"/>
      <c r="K91" s="153"/>
      <c r="M91" s="254"/>
      <c r="N91" s="153"/>
      <c r="O91" s="153"/>
      <c r="P91" s="153"/>
      <c r="Q91" s="255"/>
      <c r="R91" s="255"/>
      <c r="S91" s="255"/>
      <c r="T91" s="255"/>
      <c r="U91" s="255"/>
      <c r="V91" s="255"/>
      <c r="W91" s="255"/>
      <c r="Z91" s="153" t="s">
        <v>10</v>
      </c>
      <c r="AA91" s="153">
        <v>2016</v>
      </c>
      <c r="AB91" s="153" t="s">
        <v>717</v>
      </c>
      <c r="AC91" s="153">
        <v>3180</v>
      </c>
      <c r="AD91" s="153">
        <v>47154</v>
      </c>
      <c r="AE91" s="153">
        <v>8363</v>
      </c>
      <c r="AF91" s="153">
        <v>242</v>
      </c>
      <c r="AG91" s="153">
        <v>0</v>
      </c>
      <c r="AH91" s="153">
        <v>0</v>
      </c>
      <c r="AI91" s="153">
        <v>3</v>
      </c>
      <c r="AJ91" s="153">
        <v>58942</v>
      </c>
      <c r="AL91" s="254">
        <f>VLOOKUP(AA91,pgdp!$A$13:$C$90,3,FALSE)</f>
        <v>0.94602138468179731</v>
      </c>
      <c r="AM91" s="153" t="s">
        <v>10</v>
      </c>
      <c r="AN91" s="153">
        <v>2016</v>
      </c>
      <c r="AO91" s="153" t="s">
        <v>717</v>
      </c>
      <c r="AP91" s="255">
        <f t="shared" si="12"/>
        <v>3.3614462119898283</v>
      </c>
      <c r="AQ91" s="255">
        <f t="shared" si="5"/>
        <v>49.844539207600114</v>
      </c>
      <c r="AR91" s="255">
        <f t="shared" si="6"/>
        <v>8.8401807141103586</v>
      </c>
      <c r="AS91" s="255">
        <f t="shared" si="7"/>
        <v>0.25580817084954038</v>
      </c>
      <c r="AT91" s="255">
        <f t="shared" si="8"/>
        <v>0</v>
      </c>
      <c r="AU91" s="255">
        <f t="shared" si="9"/>
        <v>0</v>
      </c>
      <c r="AV91" s="255">
        <f t="shared" si="10"/>
        <v>3.1711756716885173E-3</v>
      </c>
      <c r="AW91" s="255">
        <f t="shared" si="11"/>
        <v>62.305145480221533</v>
      </c>
    </row>
    <row r="92" spans="1:49" hidden="1">
      <c r="A92" s="153"/>
      <c r="B92" s="153"/>
      <c r="C92" s="153"/>
      <c r="D92" s="153"/>
      <c r="E92" s="153"/>
      <c r="F92" s="153"/>
      <c r="G92" s="153"/>
      <c r="H92" s="153"/>
      <c r="I92" s="153"/>
      <c r="J92" s="153"/>
      <c r="K92" s="153"/>
      <c r="M92" s="254"/>
      <c r="N92" s="153"/>
      <c r="O92" s="153"/>
      <c r="P92" s="153"/>
      <c r="Q92" s="255"/>
      <c r="R92" s="255"/>
      <c r="S92" s="255"/>
      <c r="T92" s="255"/>
      <c r="U92" s="255"/>
      <c r="V92" s="255"/>
      <c r="W92" s="255"/>
      <c r="Z92" s="153" t="s">
        <v>10</v>
      </c>
      <c r="AA92" s="153">
        <v>2017</v>
      </c>
      <c r="AB92" s="153" t="s">
        <v>689</v>
      </c>
      <c r="AC92" s="153">
        <v>135626</v>
      </c>
      <c r="AD92" s="153">
        <v>197935</v>
      </c>
      <c r="AE92" s="153">
        <v>108048</v>
      </c>
      <c r="AF92" s="153">
        <v>72067</v>
      </c>
      <c r="AG92" s="153">
        <v>6475</v>
      </c>
      <c r="AH92" s="153">
        <v>1251</v>
      </c>
      <c r="AI92" s="153">
        <v>2071</v>
      </c>
      <c r="AJ92" s="153">
        <v>523473</v>
      </c>
      <c r="AK92" s="248"/>
      <c r="AL92" s="254">
        <f>VLOOKUP(AA92,pgdp!$A$13:$C$90,3,FALSE)</f>
        <v>0.96224036736890672</v>
      </c>
      <c r="AM92" s="153" t="s">
        <v>10</v>
      </c>
      <c r="AN92" s="153">
        <v>2017</v>
      </c>
      <c r="AO92" s="153" t="s">
        <v>689</v>
      </c>
      <c r="AP92" s="255">
        <f t="shared" si="12"/>
        <v>140.94815037831737</v>
      </c>
      <c r="AQ92" s="255">
        <f t="shared" si="5"/>
        <v>205.70224105357562</v>
      </c>
      <c r="AR92" s="255">
        <f t="shared" si="6"/>
        <v>112.28795180921382</v>
      </c>
      <c r="AS92" s="255">
        <f t="shared" si="7"/>
        <v>74.895007987511207</v>
      </c>
      <c r="AT92" s="255">
        <f t="shared" si="8"/>
        <v>6.7290878865380153</v>
      </c>
      <c r="AU92" s="255">
        <f t="shared" si="9"/>
        <v>1.3000909569203176</v>
      </c>
      <c r="AV92" s="255">
        <f t="shared" si="10"/>
        <v>2.1522688823197269</v>
      </c>
      <c r="AW92" s="255">
        <f t="shared" si="11"/>
        <v>544.01479895439604</v>
      </c>
    </row>
    <row r="93" spans="1:49" s="248" customFormat="1">
      <c r="A93" s="153"/>
      <c r="B93" s="153"/>
      <c r="C93" s="153"/>
      <c r="D93" s="153"/>
      <c r="E93" s="153"/>
      <c r="F93" s="153"/>
      <c r="G93" s="153"/>
      <c r="H93" s="153"/>
      <c r="I93" s="153"/>
      <c r="J93" s="153"/>
      <c r="K93" s="153"/>
      <c r="M93" s="254"/>
      <c r="N93" s="153"/>
      <c r="O93" s="153"/>
      <c r="P93" s="153"/>
      <c r="Q93" s="255"/>
      <c r="R93" s="255"/>
      <c r="S93" s="255"/>
      <c r="T93" s="255"/>
      <c r="U93" s="255"/>
      <c r="V93" s="255"/>
      <c r="W93" s="255"/>
      <c r="Z93" s="153" t="s">
        <v>10</v>
      </c>
      <c r="AA93" s="153">
        <v>2017</v>
      </c>
      <c r="AB93" s="153" t="s">
        <v>718</v>
      </c>
      <c r="AC93" s="153">
        <v>3752</v>
      </c>
      <c r="AD93" s="153">
        <v>60135</v>
      </c>
      <c r="AE93" s="153">
        <v>16271</v>
      </c>
      <c r="AF93" s="153">
        <v>1534</v>
      </c>
      <c r="AG93" s="153">
        <v>420</v>
      </c>
      <c r="AH93" s="153">
        <v>0</v>
      </c>
      <c r="AI93" s="153">
        <v>378</v>
      </c>
      <c r="AJ93" s="153">
        <v>82490</v>
      </c>
      <c r="AK93" s="251"/>
      <c r="AL93" s="254">
        <f>VLOOKUP(AA93,pgdp!$A$13:$C$90,3,FALSE)</f>
        <v>0.96224036736890672</v>
      </c>
      <c r="AM93" s="153" t="s">
        <v>10</v>
      </c>
      <c r="AN93" s="153">
        <v>2017</v>
      </c>
      <c r="AO93" s="153" t="s">
        <v>718</v>
      </c>
      <c r="AP93" s="255">
        <f t="shared" si="12"/>
        <v>3.8992336293885153</v>
      </c>
      <c r="AQ93" s="255">
        <f t="shared" si="5"/>
        <v>62.494779931577384</v>
      </c>
      <c r="AR93" s="255">
        <f t="shared" si="6"/>
        <v>16.909496370943639</v>
      </c>
      <c r="AS93" s="255">
        <f t="shared" si="7"/>
        <v>1.5941962653203574</v>
      </c>
      <c r="AT93" s="255">
        <f t="shared" si="8"/>
        <v>0.43648137642408752</v>
      </c>
      <c r="AU93" s="255">
        <f t="shared" si="9"/>
        <v>0</v>
      </c>
      <c r="AV93" s="255">
        <f t="shared" si="10"/>
        <v>0.39283323878167875</v>
      </c>
      <c r="AW93" s="255">
        <f t="shared" si="11"/>
        <v>85.727020812435654</v>
      </c>
    </row>
    <row r="94" spans="1:49" hidden="1">
      <c r="A94" s="153"/>
      <c r="B94" s="153"/>
      <c r="C94" s="153"/>
      <c r="D94" s="153"/>
      <c r="E94" s="153"/>
      <c r="F94" s="153"/>
      <c r="G94" s="153"/>
      <c r="H94" s="153"/>
      <c r="I94" s="153"/>
      <c r="J94" s="153"/>
      <c r="K94" s="153"/>
      <c r="M94" s="254"/>
      <c r="N94" s="153"/>
      <c r="O94" s="153"/>
      <c r="P94" s="153"/>
      <c r="Q94" s="255"/>
      <c r="R94" s="255"/>
      <c r="S94" s="255"/>
      <c r="T94" s="255"/>
      <c r="U94" s="255"/>
      <c r="V94" s="255"/>
      <c r="W94" s="255"/>
      <c r="Z94" s="153" t="s">
        <v>10</v>
      </c>
      <c r="AA94" s="153">
        <v>2018</v>
      </c>
      <c r="AB94" s="153" t="s">
        <v>689</v>
      </c>
      <c r="AC94" s="153">
        <v>135965</v>
      </c>
      <c r="AD94" s="153">
        <v>199670</v>
      </c>
      <c r="AE94" s="153">
        <v>107134</v>
      </c>
      <c r="AF94" s="153">
        <v>71767</v>
      </c>
      <c r="AG94" s="153">
        <v>6448</v>
      </c>
      <c r="AH94" s="153">
        <v>1243</v>
      </c>
      <c r="AI94" s="153">
        <v>1501</v>
      </c>
      <c r="AJ94" s="153">
        <v>523728</v>
      </c>
      <c r="AK94" s="248"/>
      <c r="AL94" s="254">
        <f>VLOOKUP(AA94,pgdp!$A$13:$C$90,3,FALSE)</f>
        <v>0.9807153483309915</v>
      </c>
      <c r="AM94" s="153" t="s">
        <v>10</v>
      </c>
      <c r="AN94" s="153">
        <v>2018</v>
      </c>
      <c r="AO94" s="153" t="s">
        <v>689</v>
      </c>
      <c r="AP94" s="255">
        <f t="shared" si="12"/>
        <v>138.63859705202842</v>
      </c>
      <c r="AQ94" s="255">
        <f t="shared" si="5"/>
        <v>203.59628340660103</v>
      </c>
      <c r="AR94" s="255">
        <f t="shared" si="6"/>
        <v>109.24066823500173</v>
      </c>
      <c r="AS94" s="255">
        <f t="shared" si="7"/>
        <v>73.178216413289618</v>
      </c>
      <c r="AT94" s="255">
        <f t="shared" si="8"/>
        <v>6.5747925847937267</v>
      </c>
      <c r="AU94" s="255">
        <f t="shared" si="9"/>
        <v>1.2674421809706271</v>
      </c>
      <c r="AV94" s="255">
        <f t="shared" si="10"/>
        <v>1.5305154574713686</v>
      </c>
      <c r="AW94" s="255">
        <f t="shared" si="11"/>
        <v>534.0265153301566</v>
      </c>
    </row>
    <row r="95" spans="1:49" s="248" customFormat="1" hidden="1">
      <c r="A95" s="153"/>
      <c r="B95" s="153"/>
      <c r="C95" s="153"/>
      <c r="D95" s="153"/>
      <c r="E95" s="153"/>
      <c r="F95" s="153"/>
      <c r="G95" s="153"/>
      <c r="H95" s="153"/>
      <c r="I95" s="153"/>
      <c r="J95" s="153"/>
      <c r="K95" s="153"/>
      <c r="M95" s="254"/>
      <c r="N95" s="153"/>
      <c r="O95" s="153"/>
      <c r="P95" s="153"/>
      <c r="Q95" s="255"/>
      <c r="R95" s="255"/>
      <c r="S95" s="255"/>
      <c r="T95" s="255"/>
      <c r="U95" s="255"/>
      <c r="V95" s="255"/>
      <c r="W95" s="255"/>
      <c r="Z95" s="153" t="s">
        <v>10</v>
      </c>
      <c r="AA95" s="153">
        <v>2018</v>
      </c>
      <c r="AB95" s="153" t="s">
        <v>719</v>
      </c>
      <c r="AC95" s="153">
        <v>3839</v>
      </c>
      <c r="AD95" s="153">
        <v>61258</v>
      </c>
      <c r="AE95" s="153">
        <v>15998</v>
      </c>
      <c r="AF95" s="153">
        <v>1479</v>
      </c>
      <c r="AG95" s="153">
        <v>432</v>
      </c>
      <c r="AH95" s="153">
        <v>0</v>
      </c>
      <c r="AI95" s="153">
        <v>426</v>
      </c>
      <c r="AJ95" s="153">
        <v>83431</v>
      </c>
      <c r="AK95" s="251"/>
      <c r="AL95" s="256">
        <f>VLOOKUP(AA95,pgdp!$A$13:$C$90,3,FALSE)</f>
        <v>0.9807153483309915</v>
      </c>
      <c r="AM95" s="153" t="s">
        <v>10</v>
      </c>
      <c r="AN95" s="153">
        <v>2018</v>
      </c>
      <c r="AO95" s="153" t="s">
        <v>719</v>
      </c>
      <c r="AP95" s="255">
        <f t="shared" si="12"/>
        <v>3.9144895677765379</v>
      </c>
      <c r="AQ95" s="255">
        <f t="shared" si="5"/>
        <v>62.462568883265213</v>
      </c>
      <c r="AR95" s="255">
        <f t="shared" si="6"/>
        <v>16.312582470770788</v>
      </c>
      <c r="AS95" s="255">
        <f t="shared" si="7"/>
        <v>1.5080828524984369</v>
      </c>
      <c r="AT95" s="255">
        <f t="shared" si="8"/>
        <v>0.44049478855938123</v>
      </c>
      <c r="AU95" s="255">
        <f t="shared" si="9"/>
        <v>0</v>
      </c>
      <c r="AV95" s="255">
        <f t="shared" si="10"/>
        <v>0.43437680538494539</v>
      </c>
      <c r="AW95" s="255">
        <f t="shared" si="11"/>
        <v>85.071575704392899</v>
      </c>
    </row>
    <row r="96" spans="1:49" hidden="1">
      <c r="A96" s="153"/>
      <c r="B96" s="153"/>
      <c r="C96" s="153"/>
      <c r="D96" s="153"/>
      <c r="E96" s="153"/>
      <c r="F96" s="153"/>
      <c r="G96" s="153"/>
      <c r="H96" s="153"/>
      <c r="I96" s="153"/>
      <c r="J96" s="153"/>
      <c r="K96" s="153"/>
      <c r="M96" s="254"/>
      <c r="N96" s="153"/>
      <c r="O96" s="153"/>
      <c r="P96" s="153"/>
      <c r="Q96" s="255"/>
      <c r="R96" s="255"/>
      <c r="S96" s="255"/>
      <c r="T96" s="255"/>
      <c r="U96" s="255"/>
      <c r="V96" s="255"/>
      <c r="W96" s="255"/>
      <c r="Z96" s="153" t="s">
        <v>10</v>
      </c>
      <c r="AA96" s="153">
        <v>2018</v>
      </c>
      <c r="AB96" s="153" t="s">
        <v>720</v>
      </c>
      <c r="AC96" s="153">
        <v>0</v>
      </c>
      <c r="AD96" s="153">
        <v>716</v>
      </c>
      <c r="AE96" s="153">
        <v>2423</v>
      </c>
      <c r="AF96" s="153">
        <v>1347</v>
      </c>
      <c r="AG96" s="153">
        <v>200</v>
      </c>
      <c r="AH96" s="153">
        <v>0</v>
      </c>
      <c r="AI96" s="153">
        <v>0</v>
      </c>
      <c r="AJ96" s="153">
        <v>4686</v>
      </c>
      <c r="AK96" s="248"/>
      <c r="AL96" s="256">
        <f>VLOOKUP(AA96,pgdp!$A$13:$C$90,3,FALSE)</f>
        <v>0.9807153483309915</v>
      </c>
      <c r="AM96" s="153" t="s">
        <v>10</v>
      </c>
      <c r="AN96" s="153">
        <v>2018</v>
      </c>
      <c r="AO96" s="153" t="s">
        <v>720</v>
      </c>
      <c r="AP96" s="255">
        <f t="shared" si="12"/>
        <v>0</v>
      </c>
      <c r="AQ96" s="255">
        <f t="shared" si="5"/>
        <v>0.73007932548267807</v>
      </c>
      <c r="AR96" s="255">
        <f t="shared" si="6"/>
        <v>2.4706455386096775</v>
      </c>
      <c r="AS96" s="255">
        <f t="shared" si="7"/>
        <v>1.3734872226608483</v>
      </c>
      <c r="AT96" s="255">
        <f t="shared" si="8"/>
        <v>0.20393277248119501</v>
      </c>
      <c r="AU96" s="255">
        <f t="shared" si="9"/>
        <v>0</v>
      </c>
      <c r="AV96" s="255">
        <f t="shared" si="10"/>
        <v>0</v>
      </c>
      <c r="AW96" s="255">
        <f t="shared" si="11"/>
        <v>4.7781448592343985</v>
      </c>
    </row>
    <row r="97" spans="1:49" s="248" customFormat="1" hidden="1">
      <c r="A97" s="153"/>
      <c r="B97" s="153"/>
      <c r="C97" s="153"/>
      <c r="D97" s="153"/>
      <c r="E97" s="153"/>
      <c r="F97" s="153"/>
      <c r="G97" s="153"/>
      <c r="H97" s="153"/>
      <c r="I97" s="153"/>
      <c r="J97" s="153"/>
      <c r="K97" s="153"/>
      <c r="M97" s="254"/>
      <c r="N97" s="153"/>
      <c r="O97" s="153"/>
      <c r="P97" s="153"/>
      <c r="Q97" s="255"/>
      <c r="R97" s="255"/>
      <c r="S97" s="255"/>
      <c r="T97" s="255"/>
      <c r="U97" s="255"/>
      <c r="V97" s="255"/>
      <c r="W97" s="255"/>
      <c r="Z97" s="153" t="s">
        <v>10</v>
      </c>
      <c r="AA97" s="153">
        <v>2019</v>
      </c>
      <c r="AB97" s="153" t="s">
        <v>689</v>
      </c>
      <c r="AC97" s="153">
        <v>148222</v>
      </c>
      <c r="AD97" s="153">
        <v>234232</v>
      </c>
      <c r="AE97" s="153">
        <v>131558</v>
      </c>
      <c r="AF97" s="153">
        <v>91057</v>
      </c>
      <c r="AG97" s="153">
        <v>8880</v>
      </c>
      <c r="AH97" s="153">
        <v>1583</v>
      </c>
      <c r="AI97" s="153">
        <v>1542</v>
      </c>
      <c r="AJ97" s="153">
        <v>617074</v>
      </c>
      <c r="AK97" s="251"/>
      <c r="AL97" s="254">
        <f>VLOOKUP(AA97,pgdp!$A$13:$C$90,3,FALSE)</f>
        <v>1</v>
      </c>
      <c r="AM97" s="153" t="s">
        <v>10</v>
      </c>
      <c r="AN97" s="153">
        <v>2019</v>
      </c>
      <c r="AO97" s="153" t="s">
        <v>689</v>
      </c>
      <c r="AP97" s="255">
        <f t="shared" si="12"/>
        <v>148.22200000000001</v>
      </c>
      <c r="AQ97" s="255">
        <f t="shared" si="5"/>
        <v>234.232</v>
      </c>
      <c r="AR97" s="255">
        <f t="shared" si="6"/>
        <v>131.55799999999999</v>
      </c>
      <c r="AS97" s="255">
        <f t="shared" si="7"/>
        <v>91.057000000000002</v>
      </c>
      <c r="AT97" s="255">
        <f t="shared" si="8"/>
        <v>8.8800000000000008</v>
      </c>
      <c r="AU97" s="255">
        <f t="shared" si="9"/>
        <v>1.583</v>
      </c>
      <c r="AV97" s="255">
        <f t="shared" si="10"/>
        <v>1.542</v>
      </c>
      <c r="AW97" s="255">
        <f t="shared" si="11"/>
        <v>617.07399999999996</v>
      </c>
    </row>
    <row r="98" spans="1:49" hidden="1">
      <c r="A98" s="153"/>
      <c r="B98" s="153"/>
      <c r="C98" s="153"/>
      <c r="D98" s="153"/>
      <c r="E98" s="153"/>
      <c r="F98" s="153"/>
      <c r="G98" s="153"/>
      <c r="H98" s="153"/>
      <c r="I98" s="153"/>
      <c r="J98" s="153"/>
      <c r="K98" s="153"/>
      <c r="M98" s="254"/>
      <c r="N98" s="153"/>
      <c r="O98" s="153"/>
      <c r="P98" s="153"/>
      <c r="Q98" s="255"/>
      <c r="R98" s="255"/>
      <c r="S98" s="255"/>
      <c r="T98" s="255"/>
      <c r="U98" s="255"/>
      <c r="V98" s="255"/>
      <c r="W98" s="255"/>
      <c r="Z98" s="153" t="s">
        <v>10</v>
      </c>
      <c r="AA98" s="153">
        <v>2019</v>
      </c>
      <c r="AB98" s="153" t="s">
        <v>721</v>
      </c>
      <c r="AC98" s="153">
        <v>4661</v>
      </c>
      <c r="AD98" s="153">
        <v>49313</v>
      </c>
      <c r="AE98" s="153">
        <v>12782</v>
      </c>
      <c r="AF98" s="153">
        <v>1308</v>
      </c>
      <c r="AG98" s="153">
        <v>921</v>
      </c>
      <c r="AH98" s="153">
        <v>0</v>
      </c>
      <c r="AI98" s="153">
        <v>15</v>
      </c>
      <c r="AJ98" s="153">
        <v>69000</v>
      </c>
      <c r="AL98" s="256">
        <f>VLOOKUP(AA98,pgdp!$A$13:$C$90,3,FALSE)</f>
        <v>1</v>
      </c>
      <c r="AM98" s="153" t="s">
        <v>10</v>
      </c>
      <c r="AN98" s="153">
        <v>2019</v>
      </c>
      <c r="AO98" s="153" t="s">
        <v>721</v>
      </c>
      <c r="AP98" s="255">
        <f t="shared" si="12"/>
        <v>4.6609999999999996</v>
      </c>
      <c r="AQ98" s="255">
        <f t="shared" si="5"/>
        <v>49.313000000000002</v>
      </c>
      <c r="AR98" s="255">
        <f t="shared" si="6"/>
        <v>12.782</v>
      </c>
      <c r="AS98" s="255">
        <f t="shared" si="7"/>
        <v>1.3080000000000001</v>
      </c>
      <c r="AT98" s="255">
        <f t="shared" si="8"/>
        <v>0.92100000000000004</v>
      </c>
      <c r="AU98" s="255">
        <f t="shared" si="9"/>
        <v>0</v>
      </c>
      <c r="AV98" s="255">
        <f t="shared" si="10"/>
        <v>1.4999999999999999E-2</v>
      </c>
      <c r="AW98" s="255">
        <f t="shared" si="11"/>
        <v>69</v>
      </c>
    </row>
    <row r="99" spans="1:49" hidden="1">
      <c r="A99" s="153"/>
      <c r="B99" s="153"/>
      <c r="C99" s="153"/>
      <c r="D99" s="153"/>
      <c r="E99" s="153"/>
      <c r="F99" s="153"/>
      <c r="G99" s="153"/>
      <c r="H99" s="153"/>
      <c r="I99" s="153"/>
      <c r="J99" s="153"/>
      <c r="K99" s="153"/>
      <c r="M99" s="254"/>
      <c r="N99" s="153"/>
      <c r="O99" s="153"/>
      <c r="P99" s="153"/>
      <c r="Q99" s="255"/>
      <c r="R99" s="255"/>
      <c r="S99" s="255"/>
      <c r="T99" s="255"/>
      <c r="U99" s="255"/>
      <c r="V99" s="255"/>
      <c r="W99" s="255"/>
      <c r="Z99" s="153" t="s">
        <v>12</v>
      </c>
      <c r="AA99" s="153">
        <v>2001</v>
      </c>
      <c r="AB99" s="153" t="s">
        <v>689</v>
      </c>
      <c r="AC99" s="153">
        <v>28837</v>
      </c>
      <c r="AD99" s="153">
        <v>25507</v>
      </c>
      <c r="AE99" s="153">
        <v>11849</v>
      </c>
      <c r="AF99" s="153">
        <v>6216</v>
      </c>
      <c r="AG99" s="153">
        <v>1591</v>
      </c>
      <c r="AH99" s="153">
        <v>1179</v>
      </c>
      <c r="AI99" s="153">
        <v>12</v>
      </c>
      <c r="AJ99" s="153">
        <v>75191</v>
      </c>
      <c r="AK99" s="248"/>
      <c r="AL99" s="254">
        <f>VLOOKUP(AA99,pgdp!$A$13:$C$90,3,FALSE)</f>
        <v>0.71033050332114134</v>
      </c>
      <c r="AM99" s="153" t="s">
        <v>12</v>
      </c>
      <c r="AN99" s="153">
        <v>2001</v>
      </c>
      <c r="AO99" s="153" t="s">
        <v>689</v>
      </c>
      <c r="AP99" s="255">
        <f t="shared" si="12"/>
        <v>40.596595338610648</v>
      </c>
      <c r="AQ99" s="255">
        <f t="shared" si="5"/>
        <v>35.908636727188743</v>
      </c>
      <c r="AR99" s="255">
        <f t="shared" si="6"/>
        <v>16.680967443464905</v>
      </c>
      <c r="AS99" s="255">
        <f t="shared" si="7"/>
        <v>8.7508560746542212</v>
      </c>
      <c r="AT99" s="255">
        <f t="shared" si="8"/>
        <v>2.2398024476793545</v>
      </c>
      <c r="AU99" s="255">
        <f t="shared" si="9"/>
        <v>1.6597907516115391</v>
      </c>
      <c r="AV99" s="255">
        <f t="shared" si="10"/>
        <v>1.6893544545664517E-2</v>
      </c>
      <c r="AW99" s="255">
        <f t="shared" si="11"/>
        <v>105.85354232775508</v>
      </c>
    </row>
    <row r="100" spans="1:49" s="248" customFormat="1" hidden="1">
      <c r="A100" s="153"/>
      <c r="B100" s="153"/>
      <c r="C100" s="153"/>
      <c r="D100" s="153"/>
      <c r="E100" s="153"/>
      <c r="F100" s="153"/>
      <c r="G100" s="153"/>
      <c r="H100" s="153"/>
      <c r="I100" s="153"/>
      <c r="J100" s="153"/>
      <c r="K100" s="153"/>
      <c r="M100" s="254"/>
      <c r="N100" s="153"/>
      <c r="O100" s="153"/>
      <c r="P100" s="153"/>
      <c r="Q100" s="255"/>
      <c r="R100" s="255"/>
      <c r="S100" s="255"/>
      <c r="T100" s="255"/>
      <c r="U100" s="255"/>
      <c r="V100" s="255"/>
      <c r="W100" s="255"/>
      <c r="Z100" s="153" t="s">
        <v>12</v>
      </c>
      <c r="AA100" s="153">
        <v>2001</v>
      </c>
      <c r="AB100" s="153" t="s">
        <v>690</v>
      </c>
      <c r="AC100" s="153"/>
      <c r="AD100" s="153"/>
      <c r="AE100" s="153"/>
      <c r="AF100" s="153"/>
      <c r="AG100" s="153"/>
      <c r="AH100" s="153"/>
      <c r="AI100" s="153"/>
      <c r="AJ100" s="153">
        <v>0</v>
      </c>
      <c r="AK100" s="251"/>
      <c r="AL100" s="256">
        <f>VLOOKUP(AA100,pgdp!$A$13:$C$90,3,FALSE)</f>
        <v>0.71033050332114134</v>
      </c>
      <c r="AM100" s="153" t="s">
        <v>12</v>
      </c>
      <c r="AN100" s="153">
        <v>2001</v>
      </c>
      <c r="AO100" s="153" t="s">
        <v>690</v>
      </c>
      <c r="AP100" s="255">
        <f t="shared" si="12"/>
        <v>0</v>
      </c>
      <c r="AQ100" s="255">
        <f t="shared" si="5"/>
        <v>0</v>
      </c>
      <c r="AR100" s="255">
        <f t="shared" si="6"/>
        <v>0</v>
      </c>
      <c r="AS100" s="255">
        <f t="shared" si="7"/>
        <v>0</v>
      </c>
      <c r="AT100" s="255">
        <f t="shared" si="8"/>
        <v>0</v>
      </c>
      <c r="AU100" s="255">
        <f t="shared" si="9"/>
        <v>0</v>
      </c>
      <c r="AV100" s="255">
        <f t="shared" si="10"/>
        <v>0</v>
      </c>
      <c r="AW100" s="255">
        <f t="shared" si="11"/>
        <v>0</v>
      </c>
    </row>
    <row r="101" spans="1:49" hidden="1">
      <c r="A101" s="153"/>
      <c r="B101" s="153"/>
      <c r="C101" s="153"/>
      <c r="D101" s="153"/>
      <c r="E101" s="153"/>
      <c r="F101" s="153"/>
      <c r="G101" s="153"/>
      <c r="H101" s="153"/>
      <c r="I101" s="153"/>
      <c r="J101" s="153"/>
      <c r="K101" s="153"/>
      <c r="M101" s="254"/>
      <c r="N101" s="153"/>
      <c r="O101" s="153"/>
      <c r="P101" s="153"/>
      <c r="Q101" s="255"/>
      <c r="R101" s="255"/>
      <c r="S101" s="255"/>
      <c r="T101" s="255"/>
      <c r="U101" s="255"/>
      <c r="V101" s="255"/>
      <c r="W101" s="255"/>
      <c r="Z101" s="153" t="s">
        <v>12</v>
      </c>
      <c r="AA101" s="153">
        <v>2001</v>
      </c>
      <c r="AB101" s="153" t="s">
        <v>691</v>
      </c>
      <c r="AC101" s="153">
        <v>222</v>
      </c>
      <c r="AD101" s="153">
        <v>865</v>
      </c>
      <c r="AE101" s="153">
        <v>7</v>
      </c>
      <c r="AF101" s="153">
        <v>5</v>
      </c>
      <c r="AG101" s="153">
        <v>41</v>
      </c>
      <c r="AH101" s="153">
        <v>26</v>
      </c>
      <c r="AI101" s="153"/>
      <c r="AJ101" s="153">
        <v>1167</v>
      </c>
      <c r="AL101" s="254">
        <f>VLOOKUP(AA101,pgdp!$A$13:$C$90,3,FALSE)</f>
        <v>0.71033050332114134</v>
      </c>
      <c r="AM101" s="153" t="s">
        <v>12</v>
      </c>
      <c r="AN101" s="153">
        <v>2001</v>
      </c>
      <c r="AO101" s="153" t="s">
        <v>691</v>
      </c>
      <c r="AP101" s="255">
        <f t="shared" si="12"/>
        <v>0.31253057409479362</v>
      </c>
      <c r="AQ101" s="255">
        <f t="shared" si="5"/>
        <v>1.2177430026666507</v>
      </c>
      <c r="AR101" s="255">
        <f t="shared" si="6"/>
        <v>9.8545676516376361E-3</v>
      </c>
      <c r="AS101" s="255">
        <f t="shared" si="7"/>
        <v>7.0389768940268826E-3</v>
      </c>
      <c r="AT101" s="255">
        <f t="shared" si="8"/>
        <v>5.771961053102044E-2</v>
      </c>
      <c r="AU101" s="255">
        <f t="shared" si="9"/>
        <v>3.6602679848939793E-2</v>
      </c>
      <c r="AV101" s="255">
        <f t="shared" si="10"/>
        <v>0</v>
      </c>
      <c r="AW101" s="255">
        <f t="shared" si="11"/>
        <v>1.6428972070658745</v>
      </c>
    </row>
    <row r="102" spans="1:49" s="248" customFormat="1" hidden="1">
      <c r="A102" s="153"/>
      <c r="B102" s="153"/>
      <c r="C102" s="153"/>
      <c r="D102" s="153"/>
      <c r="E102" s="153"/>
      <c r="F102" s="153"/>
      <c r="G102" s="153"/>
      <c r="H102" s="153"/>
      <c r="I102" s="153"/>
      <c r="J102" s="153"/>
      <c r="K102" s="153"/>
      <c r="M102" s="254"/>
      <c r="N102" s="153"/>
      <c r="O102" s="153"/>
      <c r="P102" s="153"/>
      <c r="Q102" s="255"/>
      <c r="R102" s="255"/>
      <c r="S102" s="255"/>
      <c r="T102" s="255"/>
      <c r="U102" s="255"/>
      <c r="V102" s="255"/>
      <c r="W102" s="255"/>
      <c r="Z102" s="153" t="s">
        <v>12</v>
      </c>
      <c r="AA102" s="153">
        <v>2002</v>
      </c>
      <c r="AB102" s="153" t="s">
        <v>689</v>
      </c>
      <c r="AC102" s="153">
        <v>32237</v>
      </c>
      <c r="AD102" s="153">
        <v>30966</v>
      </c>
      <c r="AE102" s="153">
        <v>11567</v>
      </c>
      <c r="AF102" s="153">
        <v>7037</v>
      </c>
      <c r="AG102" s="153">
        <v>2458</v>
      </c>
      <c r="AH102" s="153">
        <v>1378</v>
      </c>
      <c r="AI102" s="153">
        <v>167</v>
      </c>
      <c r="AJ102" s="153">
        <v>85810</v>
      </c>
      <c r="AL102" s="256">
        <f>VLOOKUP(AA102,pgdp!$A$13:$C$90,3,FALSE)</f>
        <v>0.72177029812501559</v>
      </c>
      <c r="AM102" s="153" t="s">
        <v>12</v>
      </c>
      <c r="AN102" s="153">
        <v>2002</v>
      </c>
      <c r="AO102" s="153" t="s">
        <v>689</v>
      </c>
      <c r="AP102" s="255">
        <f t="shared" si="12"/>
        <v>44.663794123620654</v>
      </c>
      <c r="AQ102" s="255">
        <f t="shared" si="5"/>
        <v>42.902846072278351</v>
      </c>
      <c r="AR102" s="255">
        <f t="shared" si="6"/>
        <v>16.025874201318985</v>
      </c>
      <c r="AS102" s="255">
        <f t="shared" si="7"/>
        <v>9.7496392110903187</v>
      </c>
      <c r="AT102" s="255">
        <f t="shared" si="8"/>
        <v>3.405515586309507</v>
      </c>
      <c r="AU102" s="255">
        <f t="shared" si="9"/>
        <v>1.9091946614867779</v>
      </c>
      <c r="AV102" s="255">
        <f t="shared" si="10"/>
        <v>0.23137555041240343</v>
      </c>
      <c r="AW102" s="255">
        <f t="shared" si="11"/>
        <v>118.88823940651699</v>
      </c>
    </row>
    <row r="103" spans="1:49" hidden="1">
      <c r="A103" s="153"/>
      <c r="B103" s="153"/>
      <c r="C103" s="153"/>
      <c r="D103" s="153"/>
      <c r="E103" s="153"/>
      <c r="F103" s="153"/>
      <c r="G103" s="153"/>
      <c r="H103" s="153"/>
      <c r="I103" s="153"/>
      <c r="J103" s="153"/>
      <c r="K103" s="153"/>
      <c r="M103" s="256"/>
      <c r="N103" s="153"/>
      <c r="O103" s="153"/>
      <c r="P103" s="153"/>
      <c r="Q103" s="255"/>
      <c r="R103" s="255"/>
      <c r="S103" s="255"/>
      <c r="T103" s="255"/>
      <c r="U103" s="255"/>
      <c r="V103" s="255"/>
      <c r="W103" s="255"/>
      <c r="Z103" s="153" t="s">
        <v>12</v>
      </c>
      <c r="AA103" s="153">
        <v>2002</v>
      </c>
      <c r="AB103" s="153" t="s">
        <v>692</v>
      </c>
      <c r="AC103" s="153"/>
      <c r="AD103" s="153">
        <v>107</v>
      </c>
      <c r="AE103" s="153">
        <v>57</v>
      </c>
      <c r="AF103" s="153">
        <v>-7</v>
      </c>
      <c r="AG103" s="153">
        <v>56</v>
      </c>
      <c r="AH103" s="153"/>
      <c r="AI103" s="153"/>
      <c r="AJ103" s="153">
        <v>213</v>
      </c>
      <c r="AL103" s="256">
        <f>VLOOKUP(AA103,pgdp!$A$13:$C$90,3,FALSE)</f>
        <v>0.72177029812501559</v>
      </c>
      <c r="AM103" s="153" t="s">
        <v>12</v>
      </c>
      <c r="AN103" s="153">
        <v>2002</v>
      </c>
      <c r="AO103" s="153" t="s">
        <v>692</v>
      </c>
      <c r="AP103" s="255">
        <f t="shared" si="12"/>
        <v>0</v>
      </c>
      <c r="AQ103" s="255">
        <f t="shared" si="5"/>
        <v>0.14824661014447407</v>
      </c>
      <c r="AR103" s="255">
        <f t="shared" si="6"/>
        <v>7.8972493254532913E-2</v>
      </c>
      <c r="AS103" s="255">
        <f t="shared" si="7"/>
        <v>-9.6983763645917612E-3</v>
      </c>
      <c r="AT103" s="255">
        <f t="shared" si="8"/>
        <v>7.7587010916734089E-2</v>
      </c>
      <c r="AU103" s="255">
        <f t="shared" si="9"/>
        <v>0</v>
      </c>
      <c r="AV103" s="255">
        <f t="shared" si="10"/>
        <v>0</v>
      </c>
      <c r="AW103" s="255">
        <f t="shared" si="11"/>
        <v>0.29510773795114931</v>
      </c>
    </row>
    <row r="104" spans="1:49" s="248" customFormat="1" hidden="1">
      <c r="A104" s="153"/>
      <c r="B104" s="153"/>
      <c r="C104" s="153"/>
      <c r="D104" s="153"/>
      <c r="E104" s="153"/>
      <c r="F104" s="153"/>
      <c r="G104" s="153"/>
      <c r="H104" s="153"/>
      <c r="I104" s="153"/>
      <c r="J104" s="153"/>
      <c r="K104" s="153"/>
      <c r="M104" s="256"/>
      <c r="N104" s="153"/>
      <c r="O104" s="153"/>
      <c r="P104" s="153"/>
      <c r="Q104" s="255"/>
      <c r="R104" s="255"/>
      <c r="S104" s="255"/>
      <c r="T104" s="255"/>
      <c r="U104" s="255"/>
      <c r="V104" s="255"/>
      <c r="W104" s="255"/>
      <c r="Z104" s="153" t="s">
        <v>12</v>
      </c>
      <c r="AA104" s="153">
        <v>2003</v>
      </c>
      <c r="AB104" s="153" t="s">
        <v>689</v>
      </c>
      <c r="AC104" s="153">
        <v>35534</v>
      </c>
      <c r="AD104" s="153">
        <v>32988</v>
      </c>
      <c r="AE104" s="153">
        <v>14578</v>
      </c>
      <c r="AF104" s="153">
        <v>7559</v>
      </c>
      <c r="AG104" s="153">
        <v>2136</v>
      </c>
      <c r="AH104" s="153">
        <v>1362</v>
      </c>
      <c r="AI104" s="153">
        <v>249</v>
      </c>
      <c r="AJ104" s="153">
        <v>94406</v>
      </c>
      <c r="AK104" s="251"/>
      <c r="AL104" s="254">
        <f>VLOOKUP(AA104,pgdp!$A$13:$C$90,3,FALSE)</f>
        <v>0.73558157581522121</v>
      </c>
      <c r="AM104" s="153" t="s">
        <v>12</v>
      </c>
      <c r="AN104" s="153">
        <v>2003</v>
      </c>
      <c r="AO104" s="153" t="s">
        <v>689</v>
      </c>
      <c r="AP104" s="255">
        <f t="shared" si="12"/>
        <v>48.30735457263026</v>
      </c>
      <c r="AQ104" s="255">
        <f t="shared" si="5"/>
        <v>44.846147707601929</v>
      </c>
      <c r="AR104" s="255">
        <f t="shared" si="6"/>
        <v>19.818332159616254</v>
      </c>
      <c r="AS104" s="255">
        <f t="shared" si="7"/>
        <v>10.276222581598248</v>
      </c>
      <c r="AT104" s="255">
        <f t="shared" si="8"/>
        <v>2.9038247697174042</v>
      </c>
      <c r="AU104" s="255">
        <f t="shared" si="9"/>
        <v>1.8515961312523899</v>
      </c>
      <c r="AV104" s="255">
        <f t="shared" si="10"/>
        <v>0.33850766276200078</v>
      </c>
      <c r="AW104" s="255">
        <f t="shared" si="11"/>
        <v>128.34198558517849</v>
      </c>
    </row>
    <row r="105" spans="1:49" hidden="1">
      <c r="A105" s="153"/>
      <c r="B105" s="153"/>
      <c r="C105" s="153"/>
      <c r="D105" s="153"/>
      <c r="E105" s="153"/>
      <c r="F105" s="153"/>
      <c r="G105" s="153"/>
      <c r="H105" s="153"/>
      <c r="I105" s="153"/>
      <c r="J105" s="153"/>
      <c r="K105" s="153"/>
      <c r="M105" s="254"/>
      <c r="N105" s="153"/>
      <c r="O105" s="153"/>
      <c r="P105" s="153"/>
      <c r="Q105" s="255"/>
      <c r="R105" s="255"/>
      <c r="S105" s="255"/>
      <c r="T105" s="255"/>
      <c r="U105" s="255"/>
      <c r="V105" s="255"/>
      <c r="W105" s="255"/>
      <c r="Z105" s="153" t="s">
        <v>12</v>
      </c>
      <c r="AA105" s="153">
        <v>2003</v>
      </c>
      <c r="AB105" s="153" t="s">
        <v>693</v>
      </c>
      <c r="AC105" s="153">
        <v>8574</v>
      </c>
      <c r="AD105" s="153">
        <v>17418</v>
      </c>
      <c r="AE105" s="153">
        <v>750</v>
      </c>
      <c r="AF105" s="153">
        <v>12</v>
      </c>
      <c r="AG105" s="153"/>
      <c r="AH105" s="153"/>
      <c r="AI105" s="153"/>
      <c r="AJ105" s="153">
        <v>26754</v>
      </c>
      <c r="AL105" s="256">
        <f>VLOOKUP(AA105,pgdp!$A$13:$C$90,3,FALSE)</f>
        <v>0.73558157581522121</v>
      </c>
      <c r="AM105" s="153" t="s">
        <v>12</v>
      </c>
      <c r="AN105" s="153">
        <v>2003</v>
      </c>
      <c r="AO105" s="153" t="s">
        <v>693</v>
      </c>
      <c r="AP105" s="255">
        <f t="shared" si="12"/>
        <v>11.656083134624074</v>
      </c>
      <c r="AQ105" s="255">
        <f t="shared" si="5"/>
        <v>23.679222771038273</v>
      </c>
      <c r="AR105" s="255">
        <f t="shared" si="6"/>
        <v>1.0196013938614481</v>
      </c>
      <c r="AS105" s="255">
        <f t="shared" si="7"/>
        <v>1.6313622301783171E-2</v>
      </c>
      <c r="AT105" s="255">
        <f t="shared" si="8"/>
        <v>0</v>
      </c>
      <c r="AU105" s="255">
        <f t="shared" si="9"/>
        <v>0</v>
      </c>
      <c r="AV105" s="255">
        <f t="shared" si="10"/>
        <v>0</v>
      </c>
      <c r="AW105" s="255">
        <f t="shared" si="11"/>
        <v>36.371220921825575</v>
      </c>
    </row>
    <row r="106" spans="1:49" hidden="1">
      <c r="A106" s="153"/>
      <c r="B106" s="153"/>
      <c r="C106" s="153"/>
      <c r="D106" s="153"/>
      <c r="E106" s="153"/>
      <c r="F106" s="153"/>
      <c r="G106" s="153"/>
      <c r="H106" s="153"/>
      <c r="I106" s="153"/>
      <c r="J106" s="153"/>
      <c r="K106" s="153"/>
      <c r="M106" s="256"/>
      <c r="N106" s="153"/>
      <c r="O106" s="153"/>
      <c r="P106" s="153"/>
      <c r="Q106" s="255"/>
      <c r="R106" s="255"/>
      <c r="S106" s="255"/>
      <c r="T106" s="255"/>
      <c r="U106" s="255"/>
      <c r="V106" s="255"/>
      <c r="W106" s="255"/>
      <c r="Z106" s="153" t="s">
        <v>12</v>
      </c>
      <c r="AA106" s="153">
        <v>2004</v>
      </c>
      <c r="AB106" s="153" t="s">
        <v>689</v>
      </c>
      <c r="AC106" s="153">
        <v>35814</v>
      </c>
      <c r="AD106" s="153">
        <v>32849</v>
      </c>
      <c r="AE106" s="153">
        <v>13770</v>
      </c>
      <c r="AF106" s="153">
        <v>10217</v>
      </c>
      <c r="AG106" s="153">
        <v>1731</v>
      </c>
      <c r="AH106" s="153">
        <v>1330</v>
      </c>
      <c r="AI106" s="153">
        <v>219</v>
      </c>
      <c r="AJ106" s="153">
        <v>95930</v>
      </c>
      <c r="AK106" s="248"/>
      <c r="AL106" s="256">
        <f>VLOOKUP(AA106,pgdp!$A$13:$C$90,3,FALSE)</f>
        <v>0.75378638244667995</v>
      </c>
      <c r="AM106" s="153" t="s">
        <v>12</v>
      </c>
      <c r="AN106" s="153">
        <v>2004</v>
      </c>
      <c r="AO106" s="153" t="s">
        <v>689</v>
      </c>
      <c r="AP106" s="255">
        <f t="shared" si="12"/>
        <v>47.512134517146642</v>
      </c>
      <c r="AQ106" s="255">
        <f t="shared" si="5"/>
        <v>43.578659372137992</v>
      </c>
      <c r="AR106" s="255">
        <f t="shared" si="6"/>
        <v>18.267774956751808</v>
      </c>
      <c r="AS106" s="255">
        <f t="shared" si="7"/>
        <v>13.554237961738069</v>
      </c>
      <c r="AT106" s="255">
        <f t="shared" si="8"/>
        <v>2.2964065686374275</v>
      </c>
      <c r="AU106" s="255">
        <f t="shared" si="9"/>
        <v>1.7644256131067468</v>
      </c>
      <c r="AV106" s="255">
        <f t="shared" si="10"/>
        <v>0.29053324005291548</v>
      </c>
      <c r="AW106" s="255">
        <f t="shared" si="11"/>
        <v>127.26417222957159</v>
      </c>
    </row>
    <row r="107" spans="1:49" s="248" customFormat="1" hidden="1">
      <c r="A107" s="153"/>
      <c r="B107" s="153"/>
      <c r="C107" s="153"/>
      <c r="D107" s="153"/>
      <c r="E107" s="153"/>
      <c r="F107" s="153"/>
      <c r="G107" s="153"/>
      <c r="H107" s="153"/>
      <c r="I107" s="153"/>
      <c r="J107" s="153"/>
      <c r="K107" s="153"/>
      <c r="M107" s="254"/>
      <c r="N107" s="153"/>
      <c r="O107" s="153"/>
      <c r="P107" s="153"/>
      <c r="Q107" s="255"/>
      <c r="R107" s="255"/>
      <c r="S107" s="255"/>
      <c r="T107" s="255"/>
      <c r="U107" s="255"/>
      <c r="V107" s="255"/>
      <c r="W107" s="255"/>
      <c r="Z107" s="153" t="s">
        <v>12</v>
      </c>
      <c r="AA107" s="153">
        <v>2004</v>
      </c>
      <c r="AB107" s="153" t="s">
        <v>694</v>
      </c>
      <c r="AC107" s="153">
        <v>13775</v>
      </c>
      <c r="AD107" s="153">
        <v>38630</v>
      </c>
      <c r="AE107" s="153">
        <v>2160</v>
      </c>
      <c r="AF107" s="153"/>
      <c r="AG107" s="153">
        <v>162</v>
      </c>
      <c r="AH107" s="153">
        <v>11</v>
      </c>
      <c r="AI107" s="153"/>
      <c r="AJ107" s="153">
        <v>54738</v>
      </c>
      <c r="AK107" s="251"/>
      <c r="AL107" s="254">
        <f>VLOOKUP(AA107,pgdp!$A$13:$C$90,3,FALSE)</f>
        <v>0.75378638244667995</v>
      </c>
      <c r="AM107" s="153" t="s">
        <v>12</v>
      </c>
      <c r="AN107" s="153">
        <v>2004</v>
      </c>
      <c r="AO107" s="153" t="s">
        <v>694</v>
      </c>
      <c r="AP107" s="255">
        <f t="shared" si="12"/>
        <v>18.274408135748452</v>
      </c>
      <c r="AQ107" s="255">
        <f t="shared" si="5"/>
        <v>51.247940928055357</v>
      </c>
      <c r="AR107" s="255">
        <f t="shared" si="6"/>
        <v>2.8655333265493033</v>
      </c>
      <c r="AS107" s="255">
        <f t="shared" si="7"/>
        <v>0</v>
      </c>
      <c r="AT107" s="255">
        <f t="shared" si="8"/>
        <v>0.21491499949119774</v>
      </c>
      <c r="AU107" s="255">
        <f t="shared" si="9"/>
        <v>1.4592993792612191E-2</v>
      </c>
      <c r="AV107" s="255">
        <f t="shared" si="10"/>
        <v>0</v>
      </c>
      <c r="AW107" s="255">
        <f t="shared" si="11"/>
        <v>72.617390383636931</v>
      </c>
    </row>
    <row r="108" spans="1:49" hidden="1">
      <c r="A108" s="153"/>
      <c r="B108" s="153"/>
      <c r="C108" s="153"/>
      <c r="D108" s="153"/>
      <c r="E108" s="153"/>
      <c r="F108" s="153"/>
      <c r="G108" s="153"/>
      <c r="H108" s="153"/>
      <c r="I108" s="153"/>
      <c r="J108" s="153"/>
      <c r="K108" s="153"/>
      <c r="M108" s="256"/>
      <c r="N108" s="153"/>
      <c r="O108" s="153"/>
      <c r="P108" s="153"/>
      <c r="Q108" s="255"/>
      <c r="R108" s="255"/>
      <c r="S108" s="255"/>
      <c r="T108" s="255"/>
      <c r="U108" s="255"/>
      <c r="V108" s="255"/>
      <c r="W108" s="255"/>
      <c r="Z108" s="153" t="s">
        <v>12</v>
      </c>
      <c r="AA108" s="153">
        <v>2004</v>
      </c>
      <c r="AB108" s="153" t="s">
        <v>695</v>
      </c>
      <c r="AC108" s="153"/>
      <c r="AD108" s="153">
        <v>47</v>
      </c>
      <c r="AE108" s="153"/>
      <c r="AF108" s="153"/>
      <c r="AG108" s="153"/>
      <c r="AH108" s="153"/>
      <c r="AI108" s="153"/>
      <c r="AJ108" s="153">
        <v>47</v>
      </c>
      <c r="AL108" s="256">
        <f>VLOOKUP(AA108,pgdp!$A$13:$C$90,3,FALSE)</f>
        <v>0.75378638244667995</v>
      </c>
      <c r="AM108" s="153" t="s">
        <v>12</v>
      </c>
      <c r="AN108" s="153">
        <v>2004</v>
      </c>
      <c r="AO108" s="153" t="s">
        <v>695</v>
      </c>
      <c r="AP108" s="255">
        <f t="shared" si="12"/>
        <v>0</v>
      </c>
      <c r="AQ108" s="255">
        <f t="shared" si="5"/>
        <v>6.2351882568433908E-2</v>
      </c>
      <c r="AR108" s="255">
        <f t="shared" si="6"/>
        <v>0</v>
      </c>
      <c r="AS108" s="255">
        <f t="shared" si="7"/>
        <v>0</v>
      </c>
      <c r="AT108" s="255">
        <f t="shared" si="8"/>
        <v>0</v>
      </c>
      <c r="AU108" s="255">
        <f t="shared" si="9"/>
        <v>0</v>
      </c>
      <c r="AV108" s="255">
        <f t="shared" si="10"/>
        <v>0</v>
      </c>
      <c r="AW108" s="255">
        <f t="shared" si="11"/>
        <v>6.2351882568433908E-2</v>
      </c>
    </row>
    <row r="109" spans="1:49" hidden="1">
      <c r="A109" s="153"/>
      <c r="B109" s="153"/>
      <c r="C109" s="153"/>
      <c r="D109" s="153"/>
      <c r="E109" s="153"/>
      <c r="F109" s="153"/>
      <c r="G109" s="153"/>
      <c r="H109" s="153"/>
      <c r="I109" s="153"/>
      <c r="J109" s="153"/>
      <c r="K109" s="153"/>
      <c r="M109" s="254"/>
      <c r="N109" s="153"/>
      <c r="O109" s="153"/>
      <c r="P109" s="153"/>
      <c r="Q109" s="255"/>
      <c r="R109" s="255"/>
      <c r="S109" s="255"/>
      <c r="T109" s="255"/>
      <c r="U109" s="255"/>
      <c r="V109" s="255"/>
      <c r="W109" s="255"/>
      <c r="Z109" s="153" t="s">
        <v>12</v>
      </c>
      <c r="AA109" s="153">
        <v>2005</v>
      </c>
      <c r="AB109" s="153" t="s">
        <v>689</v>
      </c>
      <c r="AC109" s="153">
        <v>36808</v>
      </c>
      <c r="AD109" s="153">
        <v>34652</v>
      </c>
      <c r="AE109" s="153">
        <v>15337</v>
      </c>
      <c r="AF109" s="153">
        <v>10417</v>
      </c>
      <c r="AG109" s="153">
        <v>2698</v>
      </c>
      <c r="AH109" s="153">
        <v>1528</v>
      </c>
      <c r="AI109" s="153">
        <v>0</v>
      </c>
      <c r="AJ109" s="153">
        <v>101442</v>
      </c>
      <c r="AK109" s="248"/>
      <c r="AL109" s="256">
        <f>VLOOKUP(AA109,pgdp!$A$13:$C$90,3,FALSE)</f>
        <v>0.77750760344715164</v>
      </c>
      <c r="AM109" s="153" t="s">
        <v>12</v>
      </c>
      <c r="AN109" s="153">
        <v>2005</v>
      </c>
      <c r="AO109" s="153" t="s">
        <v>689</v>
      </c>
      <c r="AP109" s="255">
        <f t="shared" si="12"/>
        <v>47.341016135158469</v>
      </c>
      <c r="AQ109" s="255">
        <f t="shared" si="5"/>
        <v>44.568052899247753</v>
      </c>
      <c r="AR109" s="255">
        <f t="shared" si="6"/>
        <v>19.725852110001238</v>
      </c>
      <c r="AS109" s="255">
        <f t="shared" si="7"/>
        <v>13.397939716364535</v>
      </c>
      <c r="AT109" s="255">
        <f t="shared" si="8"/>
        <v>3.4700625280552475</v>
      </c>
      <c r="AU109" s="255">
        <f t="shared" si="9"/>
        <v>1.9652540929831055</v>
      </c>
      <c r="AV109" s="255">
        <f t="shared" si="10"/>
        <v>0</v>
      </c>
      <c r="AW109" s="255">
        <f t="shared" si="11"/>
        <v>130.47074980392159</v>
      </c>
    </row>
    <row r="110" spans="1:49" s="248" customFormat="1" hidden="1">
      <c r="A110" s="153"/>
      <c r="B110" s="153"/>
      <c r="C110" s="153"/>
      <c r="D110" s="153"/>
      <c r="E110" s="153"/>
      <c r="F110" s="153"/>
      <c r="G110" s="153"/>
      <c r="H110" s="153"/>
      <c r="I110" s="153"/>
      <c r="J110" s="153"/>
      <c r="K110" s="153"/>
      <c r="M110" s="256"/>
      <c r="N110" s="153"/>
      <c r="O110" s="153"/>
      <c r="P110" s="153"/>
      <c r="Q110" s="255"/>
      <c r="R110" s="255"/>
      <c r="S110" s="255"/>
      <c r="T110" s="255"/>
      <c r="U110" s="255"/>
      <c r="V110" s="255"/>
      <c r="W110" s="255"/>
      <c r="Z110" s="153" t="s">
        <v>12</v>
      </c>
      <c r="AA110" s="153">
        <v>2005</v>
      </c>
      <c r="AB110" s="153" t="s">
        <v>696</v>
      </c>
      <c r="AC110" s="153">
        <v>13940</v>
      </c>
      <c r="AD110" s="153">
        <v>24319</v>
      </c>
      <c r="AE110" s="153">
        <v>10101</v>
      </c>
      <c r="AF110" s="153">
        <v>39</v>
      </c>
      <c r="AG110" s="153">
        <v>847</v>
      </c>
      <c r="AH110" s="153"/>
      <c r="AI110" s="153"/>
      <c r="AJ110" s="153">
        <v>49246</v>
      </c>
      <c r="AK110" s="251"/>
      <c r="AL110" s="256">
        <f>VLOOKUP(AA110,pgdp!$A$13:$C$90,3,FALSE)</f>
        <v>0.77750760344715164</v>
      </c>
      <c r="AM110" s="153" t="s">
        <v>12</v>
      </c>
      <c r="AN110" s="153">
        <v>2005</v>
      </c>
      <c r="AO110" s="153" t="s">
        <v>696</v>
      </c>
      <c r="AP110" s="255">
        <f t="shared" si="12"/>
        <v>17.929085115303984</v>
      </c>
      <c r="AQ110" s="255">
        <f t="shared" si="5"/>
        <v>31.278150711555067</v>
      </c>
      <c r="AR110" s="255">
        <f t="shared" si="6"/>
        <v>12.991512822789495</v>
      </c>
      <c r="AS110" s="255">
        <f t="shared" si="7"/>
        <v>5.0160281169071411E-2</v>
      </c>
      <c r="AT110" s="255">
        <f t="shared" si="8"/>
        <v>1.0893784141077816</v>
      </c>
      <c r="AU110" s="255">
        <f t="shared" si="9"/>
        <v>0</v>
      </c>
      <c r="AV110" s="255">
        <f t="shared" si="10"/>
        <v>0</v>
      </c>
      <c r="AW110" s="255">
        <f t="shared" si="11"/>
        <v>63.338287344925398</v>
      </c>
    </row>
    <row r="111" spans="1:49" hidden="1">
      <c r="A111" s="153"/>
      <c r="B111" s="153"/>
      <c r="C111" s="153"/>
      <c r="D111" s="153"/>
      <c r="E111" s="153"/>
      <c r="F111" s="153"/>
      <c r="G111" s="153"/>
      <c r="H111" s="153"/>
      <c r="I111" s="153"/>
      <c r="J111" s="153"/>
      <c r="K111" s="153"/>
      <c r="M111" s="256"/>
      <c r="N111" s="153"/>
      <c r="O111" s="153"/>
      <c r="P111" s="153"/>
      <c r="Q111" s="255"/>
      <c r="R111" s="255"/>
      <c r="S111" s="255"/>
      <c r="T111" s="255"/>
      <c r="U111" s="255"/>
      <c r="V111" s="255"/>
      <c r="W111" s="255"/>
      <c r="Z111" s="153" t="s">
        <v>12</v>
      </c>
      <c r="AA111" s="153">
        <v>2005</v>
      </c>
      <c r="AB111" s="153" t="s">
        <v>697</v>
      </c>
      <c r="AC111" s="153">
        <v>0</v>
      </c>
      <c r="AD111" s="153">
        <v>15</v>
      </c>
      <c r="AE111" s="153"/>
      <c r="AF111" s="153"/>
      <c r="AG111" s="153">
        <v>9</v>
      </c>
      <c r="AH111" s="153">
        <v>1</v>
      </c>
      <c r="AI111" s="153"/>
      <c r="AJ111" s="153">
        <v>24</v>
      </c>
      <c r="AK111" s="248"/>
      <c r="AL111" s="254">
        <f>VLOOKUP(AA111,pgdp!$A$13:$C$90,3,FALSE)</f>
        <v>0.77750760344715164</v>
      </c>
      <c r="AM111" s="153" t="s">
        <v>12</v>
      </c>
      <c r="AN111" s="153">
        <v>2005</v>
      </c>
      <c r="AO111" s="153" t="s">
        <v>697</v>
      </c>
      <c r="AP111" s="255">
        <f t="shared" si="12"/>
        <v>0</v>
      </c>
      <c r="AQ111" s="255">
        <f t="shared" si="5"/>
        <v>1.9292415834258232E-2</v>
      </c>
      <c r="AR111" s="255">
        <f t="shared" si="6"/>
        <v>0</v>
      </c>
      <c r="AS111" s="255">
        <f t="shared" si="7"/>
        <v>0</v>
      </c>
      <c r="AT111" s="255">
        <f t="shared" si="8"/>
        <v>1.1575449500554941E-2</v>
      </c>
      <c r="AU111" s="255">
        <f t="shared" si="9"/>
        <v>1.2861610556172156E-3</v>
      </c>
      <c r="AV111" s="255">
        <f t="shared" si="10"/>
        <v>0</v>
      </c>
      <c r="AW111" s="255">
        <f t="shared" si="11"/>
        <v>3.0867865334813175E-2</v>
      </c>
    </row>
    <row r="112" spans="1:49" hidden="1">
      <c r="A112" s="153"/>
      <c r="B112" s="153"/>
      <c r="C112" s="153"/>
      <c r="D112" s="153"/>
      <c r="E112" s="153"/>
      <c r="F112" s="153"/>
      <c r="G112" s="153"/>
      <c r="H112" s="153"/>
      <c r="I112" s="153"/>
      <c r="J112" s="153"/>
      <c r="K112" s="153"/>
      <c r="M112" s="254"/>
      <c r="N112" s="153"/>
      <c r="O112" s="153"/>
      <c r="P112" s="153"/>
      <c r="Q112" s="255"/>
      <c r="R112" s="255"/>
      <c r="S112" s="255"/>
      <c r="T112" s="255"/>
      <c r="U112" s="255"/>
      <c r="V112" s="255"/>
      <c r="W112" s="255"/>
      <c r="Z112" s="153" t="s">
        <v>12</v>
      </c>
      <c r="AA112" s="153">
        <v>2006</v>
      </c>
      <c r="AB112" s="153" t="s">
        <v>689</v>
      </c>
      <c r="AC112" s="153">
        <v>42397</v>
      </c>
      <c r="AD112" s="153">
        <v>30665</v>
      </c>
      <c r="AE112" s="153">
        <v>14526</v>
      </c>
      <c r="AF112" s="153">
        <v>11625</v>
      </c>
      <c r="AG112" s="153">
        <v>3404</v>
      </c>
      <c r="AH112" s="153">
        <v>1240</v>
      </c>
      <c r="AI112" s="153">
        <v>460</v>
      </c>
      <c r="AJ112" s="153">
        <v>104315</v>
      </c>
      <c r="AL112" s="256">
        <f>VLOOKUP(AA112,pgdp!$A$13:$C$90,3,FALSE)</f>
        <v>0.80275228380407149</v>
      </c>
      <c r="AM112" s="153" t="s">
        <v>12</v>
      </c>
      <c r="AN112" s="153">
        <v>2006</v>
      </c>
      <c r="AO112" s="153" t="s">
        <v>689</v>
      </c>
      <c r="AP112" s="255">
        <f t="shared" si="12"/>
        <v>52.814549214472095</v>
      </c>
      <c r="AQ112" s="255">
        <f t="shared" ref="AQ112:AQ175" si="13">AD112/$AL112/1000</f>
        <v>38.199829036530573</v>
      </c>
      <c r="AR112" s="255">
        <f t="shared" ref="AR112:AR175" si="14">AE112/$AL112/1000</f>
        <v>18.095245934604371</v>
      </c>
      <c r="AS112" s="255">
        <f t="shared" ref="AS112:AS175" si="15">AF112/$AL112/1000</f>
        <v>14.4814287477472</v>
      </c>
      <c r="AT112" s="255">
        <f t="shared" ref="AT112:AT175" si="16">AG112/$AL112/1000</f>
        <v>4.2404114802005557</v>
      </c>
      <c r="AU112" s="255">
        <f t="shared" ref="AU112:AU175" si="17">AH112/$AL112/1000</f>
        <v>1.5446857330930348</v>
      </c>
      <c r="AV112" s="255">
        <f t="shared" ref="AV112:AV175" si="18">AI112/$AL112/1000</f>
        <v>0.5730285784054806</v>
      </c>
      <c r="AW112" s="255">
        <f t="shared" ref="AW112:AW175" si="19">AJ112/$AL112/1000</f>
        <v>129.94668729645156</v>
      </c>
    </row>
    <row r="113" spans="1:49" hidden="1">
      <c r="A113" s="153"/>
      <c r="B113" s="153"/>
      <c r="C113" s="153"/>
      <c r="D113" s="153"/>
      <c r="E113" s="153"/>
      <c r="F113" s="153"/>
      <c r="G113" s="153"/>
      <c r="H113" s="153"/>
      <c r="I113" s="153"/>
      <c r="J113" s="153"/>
      <c r="K113" s="153"/>
      <c r="M113" s="256"/>
      <c r="N113" s="153"/>
      <c r="O113" s="153"/>
      <c r="P113" s="153"/>
      <c r="Q113" s="255"/>
      <c r="R113" s="255"/>
      <c r="S113" s="255"/>
      <c r="T113" s="255"/>
      <c r="U113" s="255"/>
      <c r="V113" s="255"/>
      <c r="W113" s="255"/>
      <c r="Z113" s="153" t="s">
        <v>12</v>
      </c>
      <c r="AA113" s="153">
        <v>2006</v>
      </c>
      <c r="AB113" s="153" t="s">
        <v>698</v>
      </c>
      <c r="AC113" s="153">
        <v>11926</v>
      </c>
      <c r="AD113" s="153">
        <v>44518</v>
      </c>
      <c r="AE113" s="153">
        <v>13560</v>
      </c>
      <c r="AF113" s="153">
        <v>68</v>
      </c>
      <c r="AG113" s="153">
        <v>187</v>
      </c>
      <c r="AH113" s="153"/>
      <c r="AI113" s="153"/>
      <c r="AJ113" s="153">
        <v>70259</v>
      </c>
      <c r="AL113" s="256">
        <f>VLOOKUP(AA113,pgdp!$A$13:$C$90,3,FALSE)</f>
        <v>0.80275228380407149</v>
      </c>
      <c r="AM113" s="153" t="s">
        <v>12</v>
      </c>
      <c r="AN113" s="153">
        <v>2006</v>
      </c>
      <c r="AO113" s="153" t="s">
        <v>698</v>
      </c>
      <c r="AP113" s="255">
        <f t="shared" ref="AP113:AP176" si="20">AC113/$AL113/1000</f>
        <v>14.856388752312524</v>
      </c>
      <c r="AQ113" s="255">
        <f t="shared" si="13"/>
        <v>55.456709246641708</v>
      </c>
      <c r="AR113" s="255">
        <f t="shared" si="14"/>
        <v>16.891885919952863</v>
      </c>
      <c r="AS113" s="255">
        <f t="shared" si="15"/>
        <v>8.4708572459940609E-2</v>
      </c>
      <c r="AT113" s="255">
        <f t="shared" si="16"/>
        <v>0.23294857426483667</v>
      </c>
      <c r="AU113" s="255">
        <f t="shared" si="17"/>
        <v>0</v>
      </c>
      <c r="AV113" s="255">
        <f t="shared" si="18"/>
        <v>0</v>
      </c>
      <c r="AW113" s="255">
        <f t="shared" si="19"/>
        <v>87.522641065631873</v>
      </c>
    </row>
    <row r="114" spans="1:49" s="248" customFormat="1" hidden="1">
      <c r="A114" s="153"/>
      <c r="B114" s="153"/>
      <c r="C114" s="153"/>
      <c r="D114" s="153"/>
      <c r="E114" s="153"/>
      <c r="F114" s="153"/>
      <c r="G114" s="153"/>
      <c r="H114" s="153"/>
      <c r="I114" s="153"/>
      <c r="J114" s="153"/>
      <c r="K114" s="153"/>
      <c r="M114" s="256"/>
      <c r="N114" s="153"/>
      <c r="O114" s="153"/>
      <c r="P114" s="153"/>
      <c r="Q114" s="255"/>
      <c r="R114" s="255"/>
      <c r="S114" s="255"/>
      <c r="T114" s="255"/>
      <c r="U114" s="255"/>
      <c r="V114" s="255"/>
      <c r="W114" s="255"/>
      <c r="Z114" s="153" t="s">
        <v>12</v>
      </c>
      <c r="AA114" s="153">
        <v>2006</v>
      </c>
      <c r="AB114" s="153" t="s">
        <v>699</v>
      </c>
      <c r="AC114" s="153">
        <v>230</v>
      </c>
      <c r="AD114" s="153">
        <v>273</v>
      </c>
      <c r="AE114" s="153">
        <v>49</v>
      </c>
      <c r="AF114" s="153"/>
      <c r="AG114" s="153">
        <v>584</v>
      </c>
      <c r="AH114" s="153"/>
      <c r="AI114" s="153"/>
      <c r="AJ114" s="153">
        <v>1136</v>
      </c>
      <c r="AK114" s="251"/>
      <c r="AL114" s="254">
        <f>VLOOKUP(AA114,pgdp!$A$13:$C$90,3,FALSE)</f>
        <v>0.80275228380407149</v>
      </c>
      <c r="AM114" s="153" t="s">
        <v>12</v>
      </c>
      <c r="AN114" s="153">
        <v>2006</v>
      </c>
      <c r="AO114" s="153" t="s">
        <v>699</v>
      </c>
      <c r="AP114" s="255">
        <f t="shared" si="20"/>
        <v>0.2865142892027403</v>
      </c>
      <c r="AQ114" s="255">
        <f t="shared" si="13"/>
        <v>0.34008000414064393</v>
      </c>
      <c r="AR114" s="255">
        <f t="shared" si="14"/>
        <v>6.1040000743192498E-2</v>
      </c>
      <c r="AS114" s="255">
        <f t="shared" si="15"/>
        <v>0</v>
      </c>
      <c r="AT114" s="255">
        <f t="shared" si="16"/>
        <v>0.72749715171478413</v>
      </c>
      <c r="AU114" s="255">
        <f t="shared" si="17"/>
        <v>0</v>
      </c>
      <c r="AV114" s="255">
        <f t="shared" si="18"/>
        <v>0</v>
      </c>
      <c r="AW114" s="255">
        <f t="shared" si="19"/>
        <v>1.4151314458013609</v>
      </c>
    </row>
    <row r="115" spans="1:49" hidden="1">
      <c r="A115" s="153"/>
      <c r="B115" s="153"/>
      <c r="C115" s="153"/>
      <c r="D115" s="153"/>
      <c r="E115" s="153"/>
      <c r="F115" s="153"/>
      <c r="G115" s="153"/>
      <c r="H115" s="153"/>
      <c r="I115" s="153"/>
      <c r="J115" s="153"/>
      <c r="K115" s="153"/>
      <c r="M115" s="254"/>
      <c r="N115" s="153"/>
      <c r="O115" s="153"/>
      <c r="P115" s="153"/>
      <c r="Q115" s="255"/>
      <c r="R115" s="255"/>
      <c r="S115" s="255"/>
      <c r="T115" s="255"/>
      <c r="U115" s="255"/>
      <c r="V115" s="255"/>
      <c r="W115" s="255"/>
      <c r="Z115" s="153" t="s">
        <v>12</v>
      </c>
      <c r="AA115" s="153">
        <v>2006</v>
      </c>
      <c r="AB115" s="153" t="s">
        <v>700</v>
      </c>
      <c r="AC115" s="153"/>
      <c r="AD115" s="153"/>
      <c r="AE115" s="153"/>
      <c r="AF115" s="153"/>
      <c r="AG115" s="153"/>
      <c r="AH115" s="153"/>
      <c r="AI115" s="153"/>
      <c r="AJ115" s="153">
        <v>0</v>
      </c>
      <c r="AK115" s="248"/>
      <c r="AL115" s="256">
        <f>VLOOKUP(AA115,pgdp!$A$13:$C$90,3,FALSE)</f>
        <v>0.80275228380407149</v>
      </c>
      <c r="AM115" s="153" t="s">
        <v>12</v>
      </c>
      <c r="AN115" s="153">
        <v>2006</v>
      </c>
      <c r="AO115" s="153" t="s">
        <v>700</v>
      </c>
      <c r="AP115" s="255">
        <f t="shared" si="20"/>
        <v>0</v>
      </c>
      <c r="AQ115" s="255">
        <f t="shared" si="13"/>
        <v>0</v>
      </c>
      <c r="AR115" s="255">
        <f t="shared" si="14"/>
        <v>0</v>
      </c>
      <c r="AS115" s="255">
        <f t="shared" si="15"/>
        <v>0</v>
      </c>
      <c r="AT115" s="255">
        <f t="shared" si="16"/>
        <v>0</v>
      </c>
      <c r="AU115" s="255">
        <f t="shared" si="17"/>
        <v>0</v>
      </c>
      <c r="AV115" s="255">
        <f t="shared" si="18"/>
        <v>0</v>
      </c>
      <c r="AW115" s="255">
        <f t="shared" si="19"/>
        <v>0</v>
      </c>
    </row>
    <row r="116" spans="1:49" hidden="1">
      <c r="A116" s="153"/>
      <c r="B116" s="153"/>
      <c r="C116" s="153"/>
      <c r="D116" s="153"/>
      <c r="E116" s="153"/>
      <c r="F116" s="153"/>
      <c r="G116" s="153"/>
      <c r="H116" s="153"/>
      <c r="I116" s="153"/>
      <c r="J116" s="153"/>
      <c r="K116" s="153"/>
      <c r="M116" s="256"/>
      <c r="N116" s="153"/>
      <c r="O116" s="153"/>
      <c r="P116" s="153"/>
      <c r="Q116" s="255"/>
      <c r="R116" s="255"/>
      <c r="S116" s="255"/>
      <c r="T116" s="255"/>
      <c r="U116" s="255"/>
      <c r="V116" s="255"/>
      <c r="W116" s="255"/>
      <c r="Z116" s="153" t="s">
        <v>12</v>
      </c>
      <c r="AA116" s="153">
        <v>2007</v>
      </c>
      <c r="AB116" s="153" t="s">
        <v>689</v>
      </c>
      <c r="AC116" s="153">
        <v>42403</v>
      </c>
      <c r="AD116" s="153">
        <v>28985</v>
      </c>
      <c r="AE116" s="153">
        <v>20185</v>
      </c>
      <c r="AF116" s="153">
        <v>11203</v>
      </c>
      <c r="AG116" s="153">
        <v>6465</v>
      </c>
      <c r="AH116" s="153">
        <v>1250</v>
      </c>
      <c r="AI116" s="153">
        <v>628</v>
      </c>
      <c r="AJ116" s="153">
        <v>111119</v>
      </c>
      <c r="AL116" s="254">
        <f>VLOOKUP(AA116,pgdp!$A$13:$C$90,3,FALSE)</f>
        <v>0.82459421647952613</v>
      </c>
      <c r="AM116" s="153" t="s">
        <v>12</v>
      </c>
      <c r="AN116" s="153">
        <v>2007</v>
      </c>
      <c r="AO116" s="153" t="s">
        <v>689</v>
      </c>
      <c r="AP116" s="255">
        <f t="shared" si="20"/>
        <v>51.422868548645496</v>
      </c>
      <c r="AQ116" s="255">
        <f t="shared" si="13"/>
        <v>35.150622476770266</v>
      </c>
      <c r="AR116" s="255">
        <f t="shared" si="14"/>
        <v>24.478706734297319</v>
      </c>
      <c r="AS116" s="255">
        <f t="shared" si="15"/>
        <v>13.586076370786866</v>
      </c>
      <c r="AT116" s="255">
        <f t="shared" si="16"/>
        <v>7.8402199176235907</v>
      </c>
      <c r="AU116" s="255">
        <f t="shared" si="17"/>
        <v>1.5158971225103617</v>
      </c>
      <c r="AV116" s="255">
        <f t="shared" si="18"/>
        <v>0.76158671434920577</v>
      </c>
      <c r="AW116" s="255">
        <f t="shared" si="19"/>
        <v>134.75597788498311</v>
      </c>
    </row>
    <row r="117" spans="1:49" s="248" customFormat="1" hidden="1">
      <c r="A117" s="153"/>
      <c r="B117" s="153"/>
      <c r="C117" s="153"/>
      <c r="D117" s="153"/>
      <c r="E117" s="153"/>
      <c r="F117" s="153"/>
      <c r="G117" s="153"/>
      <c r="H117" s="153"/>
      <c r="I117" s="153"/>
      <c r="J117" s="153"/>
      <c r="K117" s="153"/>
      <c r="M117" s="256"/>
      <c r="N117" s="153"/>
      <c r="O117" s="153"/>
      <c r="P117" s="153"/>
      <c r="Q117" s="255"/>
      <c r="R117" s="255"/>
      <c r="S117" s="255"/>
      <c r="T117" s="255"/>
      <c r="U117" s="255"/>
      <c r="V117" s="255"/>
      <c r="W117" s="255"/>
      <c r="Z117" s="153" t="s">
        <v>12</v>
      </c>
      <c r="AA117" s="153">
        <v>2007</v>
      </c>
      <c r="AB117" s="153" t="s">
        <v>701</v>
      </c>
      <c r="AC117" s="153">
        <v>14276</v>
      </c>
      <c r="AD117" s="153">
        <v>64400</v>
      </c>
      <c r="AE117" s="153">
        <v>28422</v>
      </c>
      <c r="AF117" s="153">
        <v>100</v>
      </c>
      <c r="AG117" s="153">
        <v>1256</v>
      </c>
      <c r="AH117" s="153"/>
      <c r="AI117" s="153"/>
      <c r="AJ117" s="153">
        <v>108455</v>
      </c>
      <c r="AK117" s="251"/>
      <c r="AL117" s="256">
        <f>VLOOKUP(AA117,pgdp!$A$13:$C$90,3,FALSE)</f>
        <v>0.82459421647952613</v>
      </c>
      <c r="AM117" s="153" t="s">
        <v>12</v>
      </c>
      <c r="AN117" s="153">
        <v>2007</v>
      </c>
      <c r="AO117" s="153" t="s">
        <v>701</v>
      </c>
      <c r="AP117" s="255">
        <f t="shared" si="20"/>
        <v>17.312757856766339</v>
      </c>
      <c r="AQ117" s="255">
        <f t="shared" si="13"/>
        <v>78.099019751733834</v>
      </c>
      <c r="AR117" s="255">
        <f t="shared" si="14"/>
        <v>34.467862412791604</v>
      </c>
      <c r="AS117" s="255">
        <f t="shared" si="15"/>
        <v>0.12127176980082893</v>
      </c>
      <c r="AT117" s="255">
        <f t="shared" si="16"/>
        <v>1.5231734286984115</v>
      </c>
      <c r="AU117" s="255">
        <f t="shared" si="17"/>
        <v>0</v>
      </c>
      <c r="AV117" s="255">
        <f t="shared" si="18"/>
        <v>0</v>
      </c>
      <c r="AW117" s="255">
        <f t="shared" si="19"/>
        <v>131.52529793748903</v>
      </c>
    </row>
    <row r="118" spans="1:49" hidden="1">
      <c r="A118" s="153"/>
      <c r="B118" s="153"/>
      <c r="C118" s="153"/>
      <c r="D118" s="153"/>
      <c r="E118" s="153"/>
      <c r="F118" s="153"/>
      <c r="G118" s="153"/>
      <c r="H118" s="153"/>
      <c r="I118" s="153"/>
      <c r="J118" s="153"/>
      <c r="K118" s="153"/>
      <c r="M118" s="256"/>
      <c r="N118" s="153"/>
      <c r="O118" s="153"/>
      <c r="P118" s="153"/>
      <c r="Q118" s="255"/>
      <c r="R118" s="255"/>
      <c r="S118" s="255"/>
      <c r="T118" s="255"/>
      <c r="U118" s="255"/>
      <c r="V118" s="255"/>
      <c r="W118" s="255"/>
      <c r="Z118" s="153" t="s">
        <v>12</v>
      </c>
      <c r="AA118" s="153">
        <v>2007</v>
      </c>
      <c r="AB118" s="153" t="s">
        <v>702</v>
      </c>
      <c r="AC118" s="153"/>
      <c r="AD118" s="153"/>
      <c r="AE118" s="153"/>
      <c r="AF118" s="153"/>
      <c r="AG118" s="153"/>
      <c r="AH118" s="153"/>
      <c r="AI118" s="153"/>
      <c r="AJ118" s="153">
        <v>0</v>
      </c>
      <c r="AK118" s="248"/>
      <c r="AL118" s="256">
        <f>VLOOKUP(AA118,pgdp!$A$13:$C$90,3,FALSE)</f>
        <v>0.82459421647952613</v>
      </c>
      <c r="AM118" s="153" t="s">
        <v>12</v>
      </c>
      <c r="AN118" s="153">
        <v>2007</v>
      </c>
      <c r="AO118" s="153" t="s">
        <v>702</v>
      </c>
      <c r="AP118" s="255">
        <f t="shared" si="20"/>
        <v>0</v>
      </c>
      <c r="AQ118" s="255">
        <f t="shared" si="13"/>
        <v>0</v>
      </c>
      <c r="AR118" s="255">
        <f t="shared" si="14"/>
        <v>0</v>
      </c>
      <c r="AS118" s="255">
        <f t="shared" si="15"/>
        <v>0</v>
      </c>
      <c r="AT118" s="255">
        <f t="shared" si="16"/>
        <v>0</v>
      </c>
      <c r="AU118" s="255">
        <f t="shared" si="17"/>
        <v>0</v>
      </c>
      <c r="AV118" s="255">
        <f t="shared" si="18"/>
        <v>0</v>
      </c>
      <c r="AW118" s="255">
        <f t="shared" si="19"/>
        <v>0</v>
      </c>
    </row>
    <row r="119" spans="1:49" s="248" customFormat="1" hidden="1">
      <c r="A119" s="153"/>
      <c r="B119" s="153"/>
      <c r="C119" s="153"/>
      <c r="D119" s="153"/>
      <c r="E119" s="153"/>
      <c r="F119" s="153"/>
      <c r="G119" s="153"/>
      <c r="H119" s="153"/>
      <c r="I119" s="153"/>
      <c r="J119" s="153"/>
      <c r="K119" s="153"/>
      <c r="M119" s="254"/>
      <c r="N119" s="153"/>
      <c r="O119" s="153"/>
      <c r="P119" s="153"/>
      <c r="Q119" s="255"/>
      <c r="R119" s="255"/>
      <c r="S119" s="255"/>
      <c r="T119" s="255"/>
      <c r="U119" s="255"/>
      <c r="V119" s="255"/>
      <c r="W119" s="255"/>
      <c r="Z119" s="153" t="s">
        <v>12</v>
      </c>
      <c r="AA119" s="153">
        <v>2008</v>
      </c>
      <c r="AB119" s="153" t="s">
        <v>689</v>
      </c>
      <c r="AC119" s="153">
        <v>46740</v>
      </c>
      <c r="AD119" s="153">
        <v>37028</v>
      </c>
      <c r="AE119" s="153">
        <v>36557</v>
      </c>
      <c r="AF119" s="153">
        <v>12297</v>
      </c>
      <c r="AG119" s="153">
        <v>8344</v>
      </c>
      <c r="AH119" s="153">
        <v>1058</v>
      </c>
      <c r="AI119" s="153">
        <v>5</v>
      </c>
      <c r="AJ119" s="153">
        <v>142029</v>
      </c>
      <c r="AK119" s="251"/>
      <c r="AL119" s="256">
        <f>VLOOKUP(AA119,pgdp!$A$13:$C$90,3,FALSE)</f>
        <v>0.84165483055935886</v>
      </c>
      <c r="AM119" s="153" t="s">
        <v>12</v>
      </c>
      <c r="AN119" s="153">
        <v>2008</v>
      </c>
      <c r="AO119" s="153" t="s">
        <v>689</v>
      </c>
      <c r="AP119" s="255">
        <f t="shared" si="20"/>
        <v>55.53345421773065</v>
      </c>
      <c r="AQ119" s="255">
        <f t="shared" si="13"/>
        <v>43.994282044803818</v>
      </c>
      <c r="AR119" s="255">
        <f t="shared" si="14"/>
        <v>43.43467021475351</v>
      </c>
      <c r="AS119" s="255">
        <f t="shared" si="15"/>
        <v>14.610502492841972</v>
      </c>
      <c r="AT119" s="255">
        <f t="shared" si="16"/>
        <v>9.9138027811883731</v>
      </c>
      <c r="AU119" s="255">
        <f t="shared" si="17"/>
        <v>1.2570473804526963</v>
      </c>
      <c r="AV119" s="255">
        <f t="shared" si="18"/>
        <v>5.9406776013832523E-3</v>
      </c>
      <c r="AW119" s="255">
        <f t="shared" si="19"/>
        <v>168.7496998093724</v>
      </c>
    </row>
    <row r="120" spans="1:49" hidden="1">
      <c r="A120" s="153"/>
      <c r="B120" s="153"/>
      <c r="C120" s="153"/>
      <c r="D120" s="153"/>
      <c r="E120" s="153"/>
      <c r="F120" s="153"/>
      <c r="G120" s="153"/>
      <c r="H120" s="153"/>
      <c r="I120" s="153"/>
      <c r="J120" s="153"/>
      <c r="K120" s="153"/>
      <c r="M120" s="256"/>
      <c r="N120" s="153"/>
      <c r="O120" s="153"/>
      <c r="P120" s="153"/>
      <c r="Q120" s="255"/>
      <c r="R120" s="255"/>
      <c r="S120" s="255"/>
      <c r="T120" s="255"/>
      <c r="U120" s="255"/>
      <c r="V120" s="255"/>
      <c r="W120" s="255"/>
      <c r="Z120" s="153" t="s">
        <v>12</v>
      </c>
      <c r="AA120" s="153">
        <v>2008</v>
      </c>
      <c r="AB120" s="153" t="s">
        <v>703</v>
      </c>
      <c r="AC120" s="153">
        <v>14673</v>
      </c>
      <c r="AD120" s="153">
        <v>59381</v>
      </c>
      <c r="AE120" s="153">
        <v>30628</v>
      </c>
      <c r="AF120" s="153">
        <v>150</v>
      </c>
      <c r="AG120" s="153">
        <v>1868</v>
      </c>
      <c r="AH120" s="153"/>
      <c r="AI120" s="153">
        <v>1319</v>
      </c>
      <c r="AJ120" s="153">
        <v>108021</v>
      </c>
      <c r="AK120" s="248"/>
      <c r="AL120" s="254">
        <f>VLOOKUP(AA120,pgdp!$A$13:$C$90,3,FALSE)</f>
        <v>0.84165483055935886</v>
      </c>
      <c r="AM120" s="153" t="s">
        <v>12</v>
      </c>
      <c r="AN120" s="153">
        <v>2008</v>
      </c>
      <c r="AO120" s="153" t="s">
        <v>703</v>
      </c>
      <c r="AP120" s="255">
        <f t="shared" si="20"/>
        <v>17.433512489019293</v>
      </c>
      <c r="AQ120" s="255">
        <f t="shared" si="13"/>
        <v>70.552675329547782</v>
      </c>
      <c r="AR120" s="255">
        <f t="shared" si="14"/>
        <v>36.390214715033252</v>
      </c>
      <c r="AS120" s="255">
        <f t="shared" si="15"/>
        <v>0.17822032804149759</v>
      </c>
      <c r="AT120" s="255">
        <f t="shared" si="16"/>
        <v>2.2194371518767833</v>
      </c>
      <c r="AU120" s="255">
        <f t="shared" si="17"/>
        <v>0</v>
      </c>
      <c r="AV120" s="255">
        <f t="shared" si="18"/>
        <v>1.5671507512449021</v>
      </c>
      <c r="AW120" s="255">
        <f t="shared" si="19"/>
        <v>128.34358703580406</v>
      </c>
    </row>
    <row r="121" spans="1:49" hidden="1">
      <c r="A121" s="153"/>
      <c r="B121" s="153"/>
      <c r="C121" s="153"/>
      <c r="D121" s="153"/>
      <c r="E121" s="153"/>
      <c r="F121" s="153"/>
      <c r="G121" s="153"/>
      <c r="H121" s="153"/>
      <c r="I121" s="153"/>
      <c r="J121" s="153"/>
      <c r="K121" s="153"/>
      <c r="M121" s="256"/>
      <c r="N121" s="153"/>
      <c r="O121" s="153"/>
      <c r="P121" s="153"/>
      <c r="Q121" s="255"/>
      <c r="R121" s="255"/>
      <c r="S121" s="255"/>
      <c r="T121" s="255"/>
      <c r="U121" s="255"/>
      <c r="V121" s="255"/>
      <c r="W121" s="255"/>
      <c r="Z121" s="153" t="s">
        <v>12</v>
      </c>
      <c r="AA121" s="153">
        <v>2009</v>
      </c>
      <c r="AB121" s="153" t="s">
        <v>689</v>
      </c>
      <c r="AC121" s="153">
        <v>52280</v>
      </c>
      <c r="AD121" s="153">
        <v>40092</v>
      </c>
      <c r="AE121" s="153">
        <v>27385</v>
      </c>
      <c r="AF121" s="153">
        <v>12162</v>
      </c>
      <c r="AG121" s="153">
        <v>10407</v>
      </c>
      <c r="AH121" s="153">
        <v>1296</v>
      </c>
      <c r="AI121" s="153">
        <v>102</v>
      </c>
      <c r="AJ121" s="153">
        <v>143726</v>
      </c>
      <c r="AL121" s="256">
        <f>VLOOKUP(AA121,pgdp!$A$13:$C$90,3,FALSE)</f>
        <v>0.85147741466177274</v>
      </c>
      <c r="AM121" s="153" t="s">
        <v>12</v>
      </c>
      <c r="AN121" s="153">
        <v>2009</v>
      </c>
      <c r="AO121" s="153" t="s">
        <v>689</v>
      </c>
      <c r="AP121" s="255">
        <f t="shared" si="20"/>
        <v>61.399162326304186</v>
      </c>
      <c r="AQ121" s="255">
        <f t="shared" si="13"/>
        <v>47.085218362398379</v>
      </c>
      <c r="AR121" s="255">
        <f t="shared" si="14"/>
        <v>32.161745606462127</v>
      </c>
      <c r="AS121" s="255">
        <f t="shared" si="15"/>
        <v>14.283408802840693</v>
      </c>
      <c r="AT121" s="255">
        <f t="shared" si="16"/>
        <v>12.222285430945824</v>
      </c>
      <c r="AU121" s="255">
        <f t="shared" si="17"/>
        <v>1.5220603361685199</v>
      </c>
      <c r="AV121" s="255">
        <f t="shared" si="18"/>
        <v>0.11979178571696684</v>
      </c>
      <c r="AW121" s="255">
        <f t="shared" si="19"/>
        <v>168.79602150938015</v>
      </c>
    </row>
    <row r="122" spans="1:49" hidden="1">
      <c r="A122" s="153"/>
      <c r="B122" s="153"/>
      <c r="C122" s="153"/>
      <c r="D122" s="153"/>
      <c r="E122" s="153"/>
      <c r="F122" s="153"/>
      <c r="G122" s="153"/>
      <c r="H122" s="153"/>
      <c r="I122" s="153"/>
      <c r="J122" s="153"/>
      <c r="K122" s="153"/>
      <c r="M122" s="254"/>
      <c r="N122" s="153"/>
      <c r="O122" s="153"/>
      <c r="P122" s="153"/>
      <c r="Q122" s="255"/>
      <c r="R122" s="255"/>
      <c r="S122" s="255"/>
      <c r="T122" s="255"/>
      <c r="U122" s="255"/>
      <c r="V122" s="255"/>
      <c r="W122" s="255"/>
      <c r="Z122" s="153" t="s">
        <v>12</v>
      </c>
      <c r="AA122" s="153">
        <v>2009</v>
      </c>
      <c r="AB122" s="153" t="s">
        <v>704</v>
      </c>
      <c r="AC122" s="153">
        <v>0</v>
      </c>
      <c r="AD122" s="153">
        <v>1839</v>
      </c>
      <c r="AE122" s="153">
        <v>0</v>
      </c>
      <c r="AF122" s="153">
        <v>75</v>
      </c>
      <c r="AG122" s="153">
        <v>230</v>
      </c>
      <c r="AH122" s="153">
        <v>38</v>
      </c>
      <c r="AI122" s="153">
        <v>0</v>
      </c>
      <c r="AJ122" s="153">
        <v>2183</v>
      </c>
      <c r="AK122" s="248"/>
      <c r="AL122" s="256">
        <f>VLOOKUP(AA122,pgdp!$A$13:$C$90,3,FALSE)</f>
        <v>0.85147741466177274</v>
      </c>
      <c r="AM122" s="153" t="s">
        <v>12</v>
      </c>
      <c r="AN122" s="153">
        <v>2009</v>
      </c>
      <c r="AO122" s="153" t="s">
        <v>704</v>
      </c>
      <c r="AP122" s="255">
        <f t="shared" si="20"/>
        <v>0</v>
      </c>
      <c r="AQ122" s="255">
        <f t="shared" si="13"/>
        <v>2.1597754307206083</v>
      </c>
      <c r="AR122" s="255">
        <f t="shared" si="14"/>
        <v>0</v>
      </c>
      <c r="AS122" s="255">
        <f t="shared" si="15"/>
        <v>8.8082195380122685E-2</v>
      </c>
      <c r="AT122" s="255">
        <f t="shared" si="16"/>
        <v>0.27011873249904289</v>
      </c>
      <c r="AU122" s="255">
        <f t="shared" si="17"/>
        <v>4.4628312325928822E-2</v>
      </c>
      <c r="AV122" s="255">
        <f t="shared" si="18"/>
        <v>0</v>
      </c>
      <c r="AW122" s="255">
        <f t="shared" si="19"/>
        <v>2.5637791001974373</v>
      </c>
    </row>
    <row r="123" spans="1:49" s="248" customFormat="1" hidden="1">
      <c r="A123" s="153"/>
      <c r="B123" s="153"/>
      <c r="C123" s="153"/>
      <c r="D123" s="153"/>
      <c r="E123" s="153"/>
      <c r="F123" s="153"/>
      <c r="G123" s="153"/>
      <c r="H123" s="153"/>
      <c r="I123" s="153"/>
      <c r="J123" s="153"/>
      <c r="K123" s="153"/>
      <c r="M123" s="256"/>
      <c r="N123" s="153"/>
      <c r="O123" s="153"/>
      <c r="P123" s="153"/>
      <c r="Q123" s="255"/>
      <c r="R123" s="255"/>
      <c r="S123" s="255"/>
      <c r="T123" s="255"/>
      <c r="U123" s="255"/>
      <c r="V123" s="255"/>
      <c r="W123" s="255"/>
      <c r="Z123" s="153" t="s">
        <v>12</v>
      </c>
      <c r="AA123" s="153">
        <v>2009</v>
      </c>
      <c r="AB123" s="153" t="s">
        <v>705</v>
      </c>
      <c r="AC123" s="153">
        <v>989</v>
      </c>
      <c r="AD123" s="153">
        <v>39689</v>
      </c>
      <c r="AE123" s="153">
        <v>3933</v>
      </c>
      <c r="AF123" s="153">
        <v>0</v>
      </c>
      <c r="AG123" s="153">
        <v>-143</v>
      </c>
      <c r="AH123" s="153">
        <v>0</v>
      </c>
      <c r="AI123" s="153">
        <v>0</v>
      </c>
      <c r="AJ123" s="153">
        <v>44468</v>
      </c>
      <c r="AK123" s="251"/>
      <c r="AL123" s="254">
        <f>VLOOKUP(AA123,pgdp!$A$13:$C$90,3,FALSE)</f>
        <v>0.85147741466177274</v>
      </c>
      <c r="AM123" s="153" t="s">
        <v>12</v>
      </c>
      <c r="AN123" s="153">
        <v>2009</v>
      </c>
      <c r="AO123" s="153" t="s">
        <v>705</v>
      </c>
      <c r="AP123" s="255">
        <f t="shared" si="20"/>
        <v>1.1615105497458844</v>
      </c>
      <c r="AQ123" s="255">
        <f t="shared" si="13"/>
        <v>46.611923365889183</v>
      </c>
      <c r="AR123" s="255">
        <f t="shared" si="14"/>
        <v>4.6190303257336334</v>
      </c>
      <c r="AS123" s="255">
        <f t="shared" si="15"/>
        <v>0</v>
      </c>
      <c r="AT123" s="255">
        <f t="shared" si="16"/>
        <v>-0.16794338585810059</v>
      </c>
      <c r="AU123" s="255">
        <f t="shared" si="17"/>
        <v>0</v>
      </c>
      <c r="AV123" s="255">
        <f t="shared" si="18"/>
        <v>0</v>
      </c>
      <c r="AW123" s="255">
        <f t="shared" si="19"/>
        <v>52.224520855510598</v>
      </c>
    </row>
    <row r="124" spans="1:49" hidden="1">
      <c r="A124" s="153"/>
      <c r="B124" s="153"/>
      <c r="C124" s="153"/>
      <c r="D124" s="153"/>
      <c r="E124" s="153"/>
      <c r="F124" s="153"/>
      <c r="G124" s="153"/>
      <c r="H124" s="153"/>
      <c r="I124" s="153"/>
      <c r="J124" s="153"/>
      <c r="K124" s="153"/>
      <c r="M124" s="254"/>
      <c r="N124" s="153"/>
      <c r="O124" s="153"/>
      <c r="P124" s="153"/>
      <c r="Q124" s="255"/>
      <c r="R124" s="255"/>
      <c r="S124" s="255"/>
      <c r="T124" s="255"/>
      <c r="U124" s="255"/>
      <c r="V124" s="255"/>
      <c r="W124" s="255"/>
      <c r="Z124" s="153" t="s">
        <v>12</v>
      </c>
      <c r="AA124" s="153">
        <v>2009</v>
      </c>
      <c r="AB124" s="153" t="s">
        <v>706</v>
      </c>
      <c r="AC124" s="153">
        <v>13945</v>
      </c>
      <c r="AD124" s="153">
        <v>18655</v>
      </c>
      <c r="AE124" s="153">
        <v>11967</v>
      </c>
      <c r="AF124" s="153">
        <v>-135</v>
      </c>
      <c r="AG124" s="153">
        <v>1326</v>
      </c>
      <c r="AH124" s="153">
        <v>0</v>
      </c>
      <c r="AI124" s="153">
        <v>443</v>
      </c>
      <c r="AJ124" s="153">
        <v>46200</v>
      </c>
      <c r="AL124" s="256">
        <f>VLOOKUP(AA124,pgdp!$A$13:$C$90,3,FALSE)</f>
        <v>0.85147741466177274</v>
      </c>
      <c r="AM124" s="153" t="s">
        <v>12</v>
      </c>
      <c r="AN124" s="153">
        <v>2009</v>
      </c>
      <c r="AO124" s="153" t="s">
        <v>706</v>
      </c>
      <c r="AP124" s="255">
        <f t="shared" si="20"/>
        <v>16.377416194344143</v>
      </c>
      <c r="AQ124" s="255">
        <f t="shared" si="13"/>
        <v>21.908978064215848</v>
      </c>
      <c r="AR124" s="255">
        <f t="shared" si="14"/>
        <v>14.054395094852374</v>
      </c>
      <c r="AS124" s="255">
        <f t="shared" si="15"/>
        <v>-0.15854795168422081</v>
      </c>
      <c r="AT124" s="255">
        <f t="shared" si="16"/>
        <v>1.5572932143205689</v>
      </c>
      <c r="AU124" s="255">
        <f t="shared" si="17"/>
        <v>0</v>
      </c>
      <c r="AV124" s="255">
        <f t="shared" si="18"/>
        <v>0.52027216737859128</v>
      </c>
      <c r="AW124" s="255">
        <f t="shared" si="19"/>
        <v>54.258632354155566</v>
      </c>
    </row>
    <row r="125" spans="1:49" hidden="1">
      <c r="A125" s="153"/>
      <c r="B125" s="153"/>
      <c r="C125" s="153"/>
      <c r="D125" s="153"/>
      <c r="E125" s="153"/>
      <c r="F125" s="153"/>
      <c r="G125" s="153"/>
      <c r="H125" s="153"/>
      <c r="I125" s="153"/>
      <c r="J125" s="153"/>
      <c r="K125" s="153"/>
      <c r="M125" s="256"/>
      <c r="N125" s="153"/>
      <c r="O125" s="153"/>
      <c r="P125" s="153"/>
      <c r="Q125" s="255"/>
      <c r="R125" s="255"/>
      <c r="S125" s="255"/>
      <c r="T125" s="255"/>
      <c r="U125" s="255"/>
      <c r="V125" s="255"/>
      <c r="W125" s="255"/>
      <c r="Z125" s="153" t="s">
        <v>12</v>
      </c>
      <c r="AA125" s="153">
        <v>2010</v>
      </c>
      <c r="AB125" s="153" t="s">
        <v>689</v>
      </c>
      <c r="AC125" s="153">
        <v>57917</v>
      </c>
      <c r="AD125" s="153">
        <v>40562</v>
      </c>
      <c r="AE125" s="153">
        <v>19818</v>
      </c>
      <c r="AF125" s="153">
        <v>11424</v>
      </c>
      <c r="AG125" s="153">
        <v>8360</v>
      </c>
      <c r="AH125" s="153">
        <v>684</v>
      </c>
      <c r="AI125" s="153">
        <v>38</v>
      </c>
      <c r="AJ125" s="153">
        <v>138803</v>
      </c>
      <c r="AK125" s="248"/>
      <c r="AL125" s="254">
        <f>VLOOKUP(AA125,pgdp!$A$13:$C$90,3,FALSE)</f>
        <v>0.85894343086456204</v>
      </c>
      <c r="AM125" s="153" t="s">
        <v>12</v>
      </c>
      <c r="AN125" s="153">
        <v>2010</v>
      </c>
      <c r="AO125" s="153" t="s">
        <v>689</v>
      </c>
      <c r="AP125" s="255">
        <f t="shared" si="20"/>
        <v>67.428189003906979</v>
      </c>
      <c r="AQ125" s="255">
        <f t="shared" si="13"/>
        <v>47.223133145302327</v>
      </c>
      <c r="AR125" s="255">
        <f t="shared" si="14"/>
        <v>23.072532238883724</v>
      </c>
      <c r="AS125" s="255">
        <f t="shared" si="15"/>
        <v>13.300060969674419</v>
      </c>
      <c r="AT125" s="255">
        <f t="shared" si="16"/>
        <v>9.7328877544186057</v>
      </c>
      <c r="AU125" s="255">
        <f t="shared" si="17"/>
        <v>0.79632717990697677</v>
      </c>
      <c r="AV125" s="255">
        <f t="shared" si="18"/>
        <v>4.4240398883720937E-2</v>
      </c>
      <c r="AW125" s="255">
        <f t="shared" si="19"/>
        <v>161.59737069097676</v>
      </c>
    </row>
    <row r="126" spans="1:49" s="248" customFormat="1" hidden="1">
      <c r="A126" s="153"/>
      <c r="B126" s="153"/>
      <c r="C126" s="153"/>
      <c r="D126" s="153"/>
      <c r="E126" s="153"/>
      <c r="F126" s="153"/>
      <c r="G126" s="153"/>
      <c r="H126" s="153"/>
      <c r="I126" s="153"/>
      <c r="J126" s="153"/>
      <c r="K126" s="153"/>
      <c r="M126" s="256"/>
      <c r="N126" s="153"/>
      <c r="O126" s="153"/>
      <c r="P126" s="153"/>
      <c r="Q126" s="255"/>
      <c r="R126" s="255"/>
      <c r="S126" s="255"/>
      <c r="T126" s="255"/>
      <c r="U126" s="255"/>
      <c r="V126" s="255"/>
      <c r="W126" s="255"/>
      <c r="Z126" s="153" t="s">
        <v>12</v>
      </c>
      <c r="AA126" s="153">
        <v>2010</v>
      </c>
      <c r="AB126" s="153" t="s">
        <v>707</v>
      </c>
      <c r="AC126" s="153">
        <v>12546</v>
      </c>
      <c r="AD126" s="153">
        <v>70799</v>
      </c>
      <c r="AE126" s="153">
        <v>20245</v>
      </c>
      <c r="AF126" s="153">
        <v>139</v>
      </c>
      <c r="AG126" s="153">
        <v>1167</v>
      </c>
      <c r="AH126" s="153">
        <v>0</v>
      </c>
      <c r="AI126" s="153">
        <v>12</v>
      </c>
      <c r="AJ126" s="153">
        <v>104907</v>
      </c>
      <c r="AK126" s="251"/>
      <c r="AL126" s="256">
        <f>VLOOKUP(AA126,pgdp!$A$13:$C$90,3,FALSE)</f>
        <v>0.85894343086456204</v>
      </c>
      <c r="AM126" s="153" t="s">
        <v>12</v>
      </c>
      <c r="AN126" s="153">
        <v>2010</v>
      </c>
      <c r="AO126" s="153" t="s">
        <v>707</v>
      </c>
      <c r="AP126" s="255">
        <f t="shared" si="20"/>
        <v>14.606316957767444</v>
      </c>
      <c r="AQ126" s="255">
        <f t="shared" si="13"/>
        <v>82.425684225488382</v>
      </c>
      <c r="AR126" s="255">
        <f t="shared" si="14"/>
        <v>23.569654615813956</v>
      </c>
      <c r="AS126" s="255">
        <f t="shared" si="15"/>
        <v>0.16182672223255815</v>
      </c>
      <c r="AT126" s="255">
        <f t="shared" si="16"/>
        <v>1.3586459341395349</v>
      </c>
      <c r="AU126" s="255">
        <f t="shared" si="17"/>
        <v>0</v>
      </c>
      <c r="AV126" s="255">
        <f t="shared" si="18"/>
        <v>1.3970652279069769E-2</v>
      </c>
      <c r="AW126" s="255">
        <f t="shared" si="19"/>
        <v>122.13493488669768</v>
      </c>
    </row>
    <row r="127" spans="1:49" hidden="1">
      <c r="A127" s="153"/>
      <c r="B127" s="153"/>
      <c r="C127" s="153"/>
      <c r="D127" s="153"/>
      <c r="E127" s="153"/>
      <c r="F127" s="153"/>
      <c r="G127" s="153"/>
      <c r="H127" s="153"/>
      <c r="I127" s="153"/>
      <c r="J127" s="153"/>
      <c r="K127" s="153"/>
      <c r="M127" s="256"/>
      <c r="N127" s="153"/>
      <c r="O127" s="153"/>
      <c r="P127" s="153"/>
      <c r="Q127" s="255"/>
      <c r="R127" s="255"/>
      <c r="S127" s="255"/>
      <c r="T127" s="255"/>
      <c r="U127" s="255"/>
      <c r="V127" s="255"/>
      <c r="W127" s="255"/>
      <c r="Z127" s="153" t="s">
        <v>12</v>
      </c>
      <c r="AA127" s="153">
        <v>2010</v>
      </c>
      <c r="AB127" s="153" t="s">
        <v>708</v>
      </c>
      <c r="AC127" s="153">
        <v>0</v>
      </c>
      <c r="AD127" s="153">
        <v>218</v>
      </c>
      <c r="AE127" s="153">
        <v>0</v>
      </c>
      <c r="AF127" s="153">
        <v>0</v>
      </c>
      <c r="AG127" s="153">
        <v>0</v>
      </c>
      <c r="AH127" s="153">
        <v>0</v>
      </c>
      <c r="AI127" s="153">
        <v>0</v>
      </c>
      <c r="AJ127" s="153">
        <v>218</v>
      </c>
      <c r="AL127" s="254">
        <f>VLOOKUP(AA127,pgdp!$A$13:$C$90,3,FALSE)</f>
        <v>0.85894343086456204</v>
      </c>
      <c r="AM127" s="153" t="s">
        <v>12</v>
      </c>
      <c r="AN127" s="153">
        <v>2010</v>
      </c>
      <c r="AO127" s="153" t="s">
        <v>708</v>
      </c>
      <c r="AP127" s="255">
        <f t="shared" si="20"/>
        <v>0</v>
      </c>
      <c r="AQ127" s="255">
        <f t="shared" si="13"/>
        <v>0.25380018306976748</v>
      </c>
      <c r="AR127" s="255">
        <f t="shared" si="14"/>
        <v>0</v>
      </c>
      <c r="AS127" s="255">
        <f t="shared" si="15"/>
        <v>0</v>
      </c>
      <c r="AT127" s="255">
        <f t="shared" si="16"/>
        <v>0</v>
      </c>
      <c r="AU127" s="255">
        <f t="shared" si="17"/>
        <v>0</v>
      </c>
      <c r="AV127" s="255">
        <f t="shared" si="18"/>
        <v>0</v>
      </c>
      <c r="AW127" s="255">
        <f t="shared" si="19"/>
        <v>0.25380018306976748</v>
      </c>
    </row>
    <row r="128" spans="1:49" s="248" customFormat="1" hidden="1">
      <c r="A128" s="153"/>
      <c r="B128" s="153"/>
      <c r="C128" s="153"/>
      <c r="D128" s="153"/>
      <c r="E128" s="153"/>
      <c r="F128" s="153"/>
      <c r="G128" s="153"/>
      <c r="H128" s="153"/>
      <c r="I128" s="153"/>
      <c r="J128" s="153"/>
      <c r="K128" s="153"/>
      <c r="M128" s="254"/>
      <c r="N128" s="153"/>
      <c r="O128" s="153"/>
      <c r="P128" s="153"/>
      <c r="Q128" s="255"/>
      <c r="R128" s="255"/>
      <c r="S128" s="255"/>
      <c r="T128" s="255"/>
      <c r="U128" s="255"/>
      <c r="V128" s="255"/>
      <c r="W128" s="255"/>
      <c r="Z128" s="153" t="s">
        <v>12</v>
      </c>
      <c r="AA128" s="153">
        <v>2011</v>
      </c>
      <c r="AB128" s="153" t="s">
        <v>689</v>
      </c>
      <c r="AC128" s="153">
        <v>58366</v>
      </c>
      <c r="AD128" s="153">
        <v>42121</v>
      </c>
      <c r="AE128" s="153">
        <v>19638</v>
      </c>
      <c r="AF128" s="153">
        <v>9653</v>
      </c>
      <c r="AG128" s="153">
        <v>5738</v>
      </c>
      <c r="AH128" s="153">
        <v>609</v>
      </c>
      <c r="AI128" s="153">
        <v>0</v>
      </c>
      <c r="AJ128" s="153">
        <v>136126</v>
      </c>
      <c r="AL128" s="256">
        <f>VLOOKUP(AA128,pgdp!$A$13:$C$90,3,FALSE)</f>
        <v>0.87638757317399019</v>
      </c>
      <c r="AM128" s="153" t="s">
        <v>12</v>
      </c>
      <c r="AN128" s="153">
        <v>2011</v>
      </c>
      <c r="AO128" s="153" t="s">
        <v>689</v>
      </c>
      <c r="AP128" s="255">
        <f t="shared" si="20"/>
        <v>66.598388414634144</v>
      </c>
      <c r="AQ128" s="255">
        <f t="shared" si="13"/>
        <v>48.06206898558758</v>
      </c>
      <c r="AR128" s="255">
        <f t="shared" si="14"/>
        <v>22.407894179600884</v>
      </c>
      <c r="AS128" s="255">
        <f t="shared" si="15"/>
        <v>11.014533176274945</v>
      </c>
      <c r="AT128" s="255">
        <f t="shared" si="16"/>
        <v>6.5473315410199557</v>
      </c>
      <c r="AU128" s="255">
        <f t="shared" si="17"/>
        <v>0.69489803215077595</v>
      </c>
      <c r="AV128" s="255">
        <f t="shared" si="18"/>
        <v>0</v>
      </c>
      <c r="AW128" s="255">
        <f t="shared" si="19"/>
        <v>155.32625537694014</v>
      </c>
    </row>
    <row r="129" spans="1:49" hidden="1">
      <c r="A129" s="153"/>
      <c r="B129" s="153"/>
      <c r="C129" s="153"/>
      <c r="D129" s="153"/>
      <c r="E129" s="153"/>
      <c r="F129" s="153"/>
      <c r="G129" s="153"/>
      <c r="H129" s="153"/>
      <c r="I129" s="153"/>
      <c r="J129" s="153"/>
      <c r="K129" s="153"/>
      <c r="M129" s="256"/>
      <c r="N129" s="153"/>
      <c r="O129" s="153"/>
      <c r="P129" s="153"/>
      <c r="Q129" s="255"/>
      <c r="R129" s="255"/>
      <c r="S129" s="255"/>
      <c r="T129" s="255"/>
      <c r="U129" s="255"/>
      <c r="V129" s="255"/>
      <c r="W129" s="255"/>
      <c r="Z129" s="153" t="s">
        <v>12</v>
      </c>
      <c r="AA129" s="153">
        <v>2011</v>
      </c>
      <c r="AB129" s="153" t="s">
        <v>709</v>
      </c>
      <c r="AC129" s="153">
        <v>11672</v>
      </c>
      <c r="AD129" s="153">
        <v>72085</v>
      </c>
      <c r="AE129" s="153">
        <v>16760</v>
      </c>
      <c r="AF129" s="153">
        <v>300</v>
      </c>
      <c r="AG129" s="153">
        <v>981</v>
      </c>
      <c r="AH129" s="153">
        <v>0</v>
      </c>
      <c r="AI129" s="153"/>
      <c r="AJ129" s="153">
        <v>101798</v>
      </c>
      <c r="AL129" s="256">
        <f>VLOOKUP(AA129,pgdp!$A$13:$C$90,3,FALSE)</f>
        <v>0.87638757317399019</v>
      </c>
      <c r="AM129" s="153" t="s">
        <v>12</v>
      </c>
      <c r="AN129" s="153">
        <v>2011</v>
      </c>
      <c r="AO129" s="153" t="s">
        <v>709</v>
      </c>
      <c r="AP129" s="255">
        <f t="shared" si="20"/>
        <v>13.318308425720621</v>
      </c>
      <c r="AQ129" s="255">
        <f t="shared" si="13"/>
        <v>82.252421424611967</v>
      </c>
      <c r="AR129" s="255">
        <f t="shared" si="14"/>
        <v>19.123958980044346</v>
      </c>
      <c r="AS129" s="255">
        <f t="shared" si="15"/>
        <v>0.3423143015521064</v>
      </c>
      <c r="AT129" s="255">
        <f t="shared" si="16"/>
        <v>1.1193677660753878</v>
      </c>
      <c r="AU129" s="255">
        <f t="shared" si="17"/>
        <v>0</v>
      </c>
      <c r="AV129" s="255">
        <f t="shared" si="18"/>
        <v>0</v>
      </c>
      <c r="AW129" s="255">
        <f t="shared" si="19"/>
        <v>116.15637089800443</v>
      </c>
    </row>
    <row r="130" spans="1:49" s="248" customFormat="1" hidden="1">
      <c r="A130" s="153"/>
      <c r="B130" s="153"/>
      <c r="C130" s="153"/>
      <c r="D130" s="153"/>
      <c r="E130" s="153"/>
      <c r="F130" s="153"/>
      <c r="G130" s="153"/>
      <c r="H130" s="153"/>
      <c r="I130" s="153"/>
      <c r="J130" s="153"/>
      <c r="K130" s="153"/>
      <c r="M130" s="256"/>
      <c r="N130" s="153"/>
      <c r="O130" s="153"/>
      <c r="P130" s="153"/>
      <c r="Q130" s="255"/>
      <c r="R130" s="255"/>
      <c r="S130" s="255"/>
      <c r="T130" s="255"/>
      <c r="U130" s="255"/>
      <c r="V130" s="255"/>
      <c r="W130" s="255"/>
      <c r="Z130" s="153" t="s">
        <v>12</v>
      </c>
      <c r="AA130" s="153">
        <v>2012</v>
      </c>
      <c r="AB130" s="153" t="s">
        <v>689</v>
      </c>
      <c r="AC130" s="153">
        <v>60811</v>
      </c>
      <c r="AD130" s="153">
        <v>42171</v>
      </c>
      <c r="AE130" s="153">
        <v>19609</v>
      </c>
      <c r="AF130" s="153">
        <v>8329</v>
      </c>
      <c r="AG130" s="153">
        <v>4107</v>
      </c>
      <c r="AH130" s="153">
        <v>670</v>
      </c>
      <c r="AI130" s="153">
        <v>101</v>
      </c>
      <c r="AJ130" s="153">
        <v>135799</v>
      </c>
      <c r="AK130" s="251"/>
      <c r="AL130" s="254">
        <f>VLOOKUP(AA130,pgdp!$A$13:$C$90,3,FALSE)</f>
        <v>0.89246166741880806</v>
      </c>
      <c r="AM130" s="153" t="s">
        <v>12</v>
      </c>
      <c r="AN130" s="153">
        <v>2012</v>
      </c>
      <c r="AO130" s="153" t="s">
        <v>689</v>
      </c>
      <c r="AP130" s="255">
        <f t="shared" si="20"/>
        <v>68.138500755868378</v>
      </c>
      <c r="AQ130" s="255">
        <f t="shared" si="13"/>
        <v>47.252449645224139</v>
      </c>
      <c r="AR130" s="255">
        <f t="shared" si="14"/>
        <v>21.971812029432552</v>
      </c>
      <c r="AS130" s="255">
        <f t="shared" si="15"/>
        <v>9.332613717840978</v>
      </c>
      <c r="AT130" s="255">
        <f t="shared" si="16"/>
        <v>4.6018783214278898</v>
      </c>
      <c r="AU130" s="255">
        <f t="shared" si="17"/>
        <v>0.75073252382680444</v>
      </c>
      <c r="AV130" s="255">
        <f t="shared" si="18"/>
        <v>0.11317012672613024</v>
      </c>
      <c r="AW130" s="255">
        <f t="shared" si="19"/>
        <v>152.1622776166511</v>
      </c>
    </row>
    <row r="131" spans="1:49" hidden="1">
      <c r="A131" s="153"/>
      <c r="B131" s="153"/>
      <c r="C131" s="153"/>
      <c r="D131" s="153"/>
      <c r="E131" s="153"/>
      <c r="F131" s="153"/>
      <c r="G131" s="153"/>
      <c r="H131" s="153"/>
      <c r="I131" s="153"/>
      <c r="J131" s="153"/>
      <c r="K131" s="153"/>
      <c r="M131" s="254"/>
      <c r="N131" s="153"/>
      <c r="O131" s="153"/>
      <c r="P131" s="153"/>
      <c r="Q131" s="255"/>
      <c r="R131" s="255"/>
      <c r="S131" s="255"/>
      <c r="T131" s="255"/>
      <c r="U131" s="255"/>
      <c r="V131" s="255"/>
      <c r="W131" s="255"/>
      <c r="Z131" s="153" t="s">
        <v>12</v>
      </c>
      <c r="AA131" s="153">
        <v>2012</v>
      </c>
      <c r="AB131" s="153" t="s">
        <v>710</v>
      </c>
      <c r="AC131" s="153">
        <v>7827</v>
      </c>
      <c r="AD131" s="153">
        <v>54436</v>
      </c>
      <c r="AE131" s="153">
        <v>5265</v>
      </c>
      <c r="AF131" s="153">
        <v>19</v>
      </c>
      <c r="AG131" s="153">
        <v>-155</v>
      </c>
      <c r="AH131" s="153">
        <v>0</v>
      </c>
      <c r="AI131" s="153">
        <v>54</v>
      </c>
      <c r="AJ131" s="153">
        <v>67446</v>
      </c>
      <c r="AK131" s="248"/>
      <c r="AL131" s="256">
        <f>VLOOKUP(AA131,pgdp!$A$13:$C$90,3,FALSE)</f>
        <v>0.89246166741880806</v>
      </c>
      <c r="AM131" s="153" t="s">
        <v>12</v>
      </c>
      <c r="AN131" s="153">
        <v>2012</v>
      </c>
      <c r="AO131" s="153" t="s">
        <v>710</v>
      </c>
      <c r="AP131" s="255">
        <f t="shared" si="20"/>
        <v>8.7701245731229829</v>
      </c>
      <c r="AQ131" s="255">
        <f t="shared" si="13"/>
        <v>60.995336816471536</v>
      </c>
      <c r="AR131" s="255">
        <f t="shared" si="14"/>
        <v>5.8994130417136201</v>
      </c>
      <c r="AS131" s="255">
        <f t="shared" si="15"/>
        <v>2.128942978016311E-2</v>
      </c>
      <c r="AT131" s="255">
        <f t="shared" si="16"/>
        <v>-0.17367692715396221</v>
      </c>
      <c r="AU131" s="255">
        <f t="shared" si="17"/>
        <v>0</v>
      </c>
      <c r="AV131" s="255">
        <f t="shared" si="18"/>
        <v>6.0506800427832005E-2</v>
      </c>
      <c r="AW131" s="255">
        <f t="shared" si="19"/>
        <v>75.572993734362171</v>
      </c>
    </row>
    <row r="132" spans="1:49" hidden="1">
      <c r="A132" s="153"/>
      <c r="B132" s="153"/>
      <c r="C132" s="153"/>
      <c r="D132" s="153"/>
      <c r="E132" s="153"/>
      <c r="F132" s="153"/>
      <c r="G132" s="153"/>
      <c r="H132" s="153"/>
      <c r="I132" s="153"/>
      <c r="J132" s="153"/>
      <c r="K132" s="153"/>
      <c r="M132" s="256"/>
      <c r="N132" s="153"/>
      <c r="O132" s="153"/>
      <c r="P132" s="153"/>
      <c r="Q132" s="255"/>
      <c r="R132" s="255"/>
      <c r="S132" s="255"/>
      <c r="T132" s="255"/>
      <c r="U132" s="255"/>
      <c r="V132" s="255"/>
      <c r="W132" s="255"/>
      <c r="Z132" s="153" t="s">
        <v>12</v>
      </c>
      <c r="AA132" s="153">
        <v>2013</v>
      </c>
      <c r="AB132" s="153" t="s">
        <v>689</v>
      </c>
      <c r="AC132" s="153">
        <v>56029</v>
      </c>
      <c r="AD132" s="153">
        <v>44700</v>
      </c>
      <c r="AE132" s="153">
        <v>15692</v>
      </c>
      <c r="AF132" s="153">
        <v>7879</v>
      </c>
      <c r="AG132" s="153">
        <v>2757</v>
      </c>
      <c r="AH132" s="153">
        <v>495</v>
      </c>
      <c r="AI132" s="153">
        <v>103</v>
      </c>
      <c r="AJ132" s="153">
        <v>127655</v>
      </c>
      <c r="AL132" s="256">
        <f>VLOOKUP(AA132,pgdp!$A$13:$C$90,3,FALSE)</f>
        <v>0.9075385882666781</v>
      </c>
      <c r="AM132" s="153" t="s">
        <v>12</v>
      </c>
      <c r="AN132" s="153">
        <v>2013</v>
      </c>
      <c r="AO132" s="153" t="s">
        <v>689</v>
      </c>
      <c r="AP132" s="255">
        <f t="shared" si="20"/>
        <v>61.737319739770676</v>
      </c>
      <c r="AQ132" s="255">
        <f t="shared" si="13"/>
        <v>49.254103988430082</v>
      </c>
      <c r="AR132" s="255">
        <f t="shared" si="14"/>
        <v>17.290724827437248</v>
      </c>
      <c r="AS132" s="255">
        <f t="shared" si="15"/>
        <v>8.6817245039114237</v>
      </c>
      <c r="AT132" s="255">
        <f t="shared" si="16"/>
        <v>3.0378873533803521</v>
      </c>
      <c r="AU132" s="255">
        <f t="shared" si="17"/>
        <v>0.54543135289201095</v>
      </c>
      <c r="AV132" s="255">
        <f t="shared" si="18"/>
        <v>0.11349379666237805</v>
      </c>
      <c r="AW132" s="255">
        <f t="shared" si="19"/>
        <v>140.66068556248416</v>
      </c>
    </row>
    <row r="133" spans="1:49" s="248" customFormat="1" hidden="1">
      <c r="A133" s="153"/>
      <c r="B133" s="153"/>
      <c r="C133" s="153"/>
      <c r="D133" s="153"/>
      <c r="E133" s="153"/>
      <c r="F133" s="153"/>
      <c r="G133" s="153"/>
      <c r="H133" s="153"/>
      <c r="I133" s="153"/>
      <c r="J133" s="153"/>
      <c r="K133" s="153"/>
      <c r="M133" s="254"/>
      <c r="N133" s="153"/>
      <c r="O133" s="153"/>
      <c r="P133" s="153"/>
      <c r="Q133" s="255"/>
      <c r="R133" s="255"/>
      <c r="S133" s="255"/>
      <c r="T133" s="255"/>
      <c r="U133" s="255"/>
      <c r="V133" s="255"/>
      <c r="W133" s="255"/>
      <c r="Z133" s="153" t="s">
        <v>12</v>
      </c>
      <c r="AA133" s="153">
        <v>2013</v>
      </c>
      <c r="AB133" s="153" t="s">
        <v>711</v>
      </c>
      <c r="AC133" s="153">
        <v>8925</v>
      </c>
      <c r="AD133" s="153">
        <v>34464</v>
      </c>
      <c r="AE133" s="153">
        <v>3154</v>
      </c>
      <c r="AF133" s="153">
        <v>29</v>
      </c>
      <c r="AG133" s="153">
        <v>-121</v>
      </c>
      <c r="AH133" s="153">
        <v>0</v>
      </c>
      <c r="AI133" s="153">
        <v>0</v>
      </c>
      <c r="AJ133" s="153">
        <v>46451</v>
      </c>
      <c r="AL133" s="254">
        <f>VLOOKUP(AA133,pgdp!$A$13:$C$90,3,FALSE)</f>
        <v>0.9075385882666781</v>
      </c>
      <c r="AM133" s="153" t="s">
        <v>12</v>
      </c>
      <c r="AN133" s="153">
        <v>2013</v>
      </c>
      <c r="AO133" s="153" t="s">
        <v>711</v>
      </c>
      <c r="AP133" s="255">
        <f t="shared" si="20"/>
        <v>9.8342925748711085</v>
      </c>
      <c r="AQ133" s="255">
        <f t="shared" si="13"/>
        <v>37.975244739535896</v>
      </c>
      <c r="AR133" s="255">
        <f t="shared" si="14"/>
        <v>3.4753343172149553</v>
      </c>
      <c r="AS133" s="255">
        <f t="shared" si="15"/>
        <v>3.1954564108824891E-2</v>
      </c>
      <c r="AT133" s="255">
        <f t="shared" si="16"/>
        <v>-0.13332766404026936</v>
      </c>
      <c r="AU133" s="255">
        <f t="shared" si="17"/>
        <v>0</v>
      </c>
      <c r="AV133" s="255">
        <f t="shared" si="18"/>
        <v>0</v>
      </c>
      <c r="AW133" s="255">
        <f t="shared" si="19"/>
        <v>51.183498531690518</v>
      </c>
    </row>
    <row r="134" spans="1:49" hidden="1">
      <c r="A134" s="153"/>
      <c r="B134" s="153"/>
      <c r="C134" s="153"/>
      <c r="D134" s="153"/>
      <c r="E134" s="153"/>
      <c r="F134" s="153"/>
      <c r="G134" s="153"/>
      <c r="H134" s="153"/>
      <c r="I134" s="153"/>
      <c r="J134" s="153"/>
      <c r="K134" s="153"/>
      <c r="M134" s="256"/>
      <c r="N134" s="153"/>
      <c r="O134" s="153"/>
      <c r="P134" s="153"/>
      <c r="Q134" s="255"/>
      <c r="R134" s="255"/>
      <c r="S134" s="255"/>
      <c r="T134" s="255"/>
      <c r="U134" s="255"/>
      <c r="V134" s="255"/>
      <c r="W134" s="255"/>
      <c r="Z134" s="153" t="s">
        <v>12</v>
      </c>
      <c r="AA134" s="153">
        <v>2013</v>
      </c>
      <c r="AB134" s="153" t="s">
        <v>712</v>
      </c>
      <c r="AC134" s="153">
        <v>0</v>
      </c>
      <c r="AD134" s="153">
        <v>9</v>
      </c>
      <c r="AE134" s="153">
        <v>1</v>
      </c>
      <c r="AF134" s="153">
        <v>0</v>
      </c>
      <c r="AG134" s="153">
        <v>24</v>
      </c>
      <c r="AH134" s="153">
        <v>0</v>
      </c>
      <c r="AI134" s="153">
        <v>0</v>
      </c>
      <c r="AJ134" s="153">
        <v>34</v>
      </c>
      <c r="AL134" s="256">
        <f>VLOOKUP(AA134,pgdp!$A$13:$C$90,3,FALSE)</f>
        <v>0.9075385882666781</v>
      </c>
      <c r="AM134" s="153" t="s">
        <v>12</v>
      </c>
      <c r="AN134" s="153">
        <v>2013</v>
      </c>
      <c r="AO134" s="153" t="s">
        <v>712</v>
      </c>
      <c r="AP134" s="255">
        <f t="shared" si="20"/>
        <v>0</v>
      </c>
      <c r="AQ134" s="255">
        <f t="shared" si="13"/>
        <v>9.916933688945655E-3</v>
      </c>
      <c r="AR134" s="255">
        <f t="shared" si="14"/>
        <v>1.1018815209939616E-3</v>
      </c>
      <c r="AS134" s="255">
        <f t="shared" si="15"/>
        <v>0</v>
      </c>
      <c r="AT134" s="255">
        <f t="shared" si="16"/>
        <v>2.644515650385508E-2</v>
      </c>
      <c r="AU134" s="255">
        <f t="shared" si="17"/>
        <v>0</v>
      </c>
      <c r="AV134" s="255">
        <f t="shared" si="18"/>
        <v>0</v>
      </c>
      <c r="AW134" s="255">
        <f t="shared" si="19"/>
        <v>3.7463971713794696E-2</v>
      </c>
    </row>
    <row r="135" spans="1:49" hidden="1">
      <c r="A135" s="153"/>
      <c r="B135" s="153"/>
      <c r="C135" s="153"/>
      <c r="D135" s="153"/>
      <c r="E135" s="153"/>
      <c r="F135" s="153"/>
      <c r="G135" s="153"/>
      <c r="H135" s="153"/>
      <c r="I135" s="153"/>
      <c r="J135" s="153"/>
      <c r="K135" s="153"/>
      <c r="M135" s="254"/>
      <c r="N135" s="153"/>
      <c r="O135" s="153"/>
      <c r="P135" s="153"/>
      <c r="Q135" s="255"/>
      <c r="R135" s="255"/>
      <c r="S135" s="255"/>
      <c r="T135" s="255"/>
      <c r="U135" s="255"/>
      <c r="V135" s="255"/>
      <c r="W135" s="255"/>
      <c r="Z135" s="153" t="s">
        <v>12</v>
      </c>
      <c r="AA135" s="153">
        <v>2014</v>
      </c>
      <c r="AB135" s="153" t="s">
        <v>689</v>
      </c>
      <c r="AC135" s="153">
        <v>56336</v>
      </c>
      <c r="AD135" s="153">
        <v>41012</v>
      </c>
      <c r="AE135" s="153">
        <v>15134</v>
      </c>
      <c r="AF135" s="153">
        <v>7052</v>
      </c>
      <c r="AG135" s="153">
        <v>1679</v>
      </c>
      <c r="AH135" s="153">
        <v>540</v>
      </c>
      <c r="AI135" s="153">
        <v>220</v>
      </c>
      <c r="AJ135" s="153">
        <v>121975</v>
      </c>
      <c r="AK135" s="248"/>
      <c r="AL135" s="256">
        <f>VLOOKUP(AA135,pgdp!$A$13:$C$90,3,FALSE)</f>
        <v>0.9240281714268912</v>
      </c>
      <c r="AM135" s="153" t="s">
        <v>12</v>
      </c>
      <c r="AN135" s="153">
        <v>2014</v>
      </c>
      <c r="AO135" s="153" t="s">
        <v>689</v>
      </c>
      <c r="AP135" s="255">
        <f t="shared" si="20"/>
        <v>60.967838148273692</v>
      </c>
      <c r="AQ135" s="255">
        <f t="shared" si="13"/>
        <v>44.383928183346363</v>
      </c>
      <c r="AR135" s="255">
        <f t="shared" si="14"/>
        <v>16.378288528400564</v>
      </c>
      <c r="AS135" s="255">
        <f t="shared" si="15"/>
        <v>7.6318019494040419</v>
      </c>
      <c r="AT135" s="255">
        <f t="shared" si="16"/>
        <v>1.8170441680444391</v>
      </c>
      <c r="AU135" s="255">
        <f t="shared" si="17"/>
        <v>0.58439776697081425</v>
      </c>
      <c r="AV135" s="255">
        <f t="shared" si="18"/>
        <v>0.23808797913625768</v>
      </c>
      <c r="AW135" s="255">
        <f t="shared" si="19"/>
        <v>132.00355115975015</v>
      </c>
    </row>
    <row r="136" spans="1:49" s="248" customFormat="1" hidden="1">
      <c r="A136" s="153"/>
      <c r="B136" s="153"/>
      <c r="C136" s="153"/>
      <c r="D136" s="153"/>
      <c r="E136" s="153"/>
      <c r="F136" s="153"/>
      <c r="G136" s="153"/>
      <c r="H136" s="153"/>
      <c r="I136" s="153"/>
      <c r="J136" s="153"/>
      <c r="K136" s="153"/>
      <c r="M136" s="256"/>
      <c r="N136" s="153"/>
      <c r="O136" s="153"/>
      <c r="P136" s="153"/>
      <c r="Q136" s="255"/>
      <c r="R136" s="255"/>
      <c r="S136" s="255"/>
      <c r="T136" s="255"/>
      <c r="U136" s="255"/>
      <c r="V136" s="255"/>
      <c r="W136" s="255"/>
      <c r="Z136" s="153" t="s">
        <v>12</v>
      </c>
      <c r="AA136" s="153">
        <v>2014</v>
      </c>
      <c r="AB136" s="153" t="s">
        <v>713</v>
      </c>
      <c r="AC136" s="153">
        <v>5632</v>
      </c>
      <c r="AD136" s="153">
        <v>35895</v>
      </c>
      <c r="AE136" s="153">
        <v>3027</v>
      </c>
      <c r="AF136" s="153">
        <v>31</v>
      </c>
      <c r="AG136" s="153">
        <v>0</v>
      </c>
      <c r="AH136" s="153">
        <v>0</v>
      </c>
      <c r="AI136" s="153"/>
      <c r="AJ136" s="153">
        <v>44584</v>
      </c>
      <c r="AK136" s="251"/>
      <c r="AL136" s="254">
        <f>VLOOKUP(AA136,pgdp!$A$13:$C$90,3,FALSE)</f>
        <v>0.9240281714268912</v>
      </c>
      <c r="AM136" s="153" t="s">
        <v>12</v>
      </c>
      <c r="AN136" s="153">
        <v>2014</v>
      </c>
      <c r="AO136" s="153" t="s">
        <v>713</v>
      </c>
      <c r="AP136" s="255">
        <f t="shared" si="20"/>
        <v>6.0950522658881967</v>
      </c>
      <c r="AQ136" s="255">
        <f t="shared" si="13"/>
        <v>38.846218232254401</v>
      </c>
      <c r="AR136" s="255">
        <f t="shared" si="14"/>
        <v>3.275874149297509</v>
      </c>
      <c r="AS136" s="255">
        <f t="shared" si="15"/>
        <v>3.3548760696472668E-2</v>
      </c>
      <c r="AT136" s="255">
        <f t="shared" si="16"/>
        <v>0</v>
      </c>
      <c r="AU136" s="255">
        <f t="shared" si="17"/>
        <v>0</v>
      </c>
      <c r="AV136" s="255">
        <f t="shared" si="18"/>
        <v>0</v>
      </c>
      <c r="AW136" s="255">
        <f t="shared" si="19"/>
        <v>48.249611190049606</v>
      </c>
    </row>
    <row r="137" spans="1:49" hidden="1">
      <c r="A137" s="153"/>
      <c r="B137" s="153"/>
      <c r="C137" s="153"/>
      <c r="D137" s="153"/>
      <c r="E137" s="153"/>
      <c r="F137" s="153"/>
      <c r="G137" s="153"/>
      <c r="H137" s="153"/>
      <c r="I137" s="153"/>
      <c r="J137" s="153"/>
      <c r="K137" s="153"/>
      <c r="M137" s="256"/>
      <c r="N137" s="153"/>
      <c r="O137" s="153"/>
      <c r="P137" s="153"/>
      <c r="Q137" s="255"/>
      <c r="R137" s="255"/>
      <c r="S137" s="255"/>
      <c r="T137" s="255"/>
      <c r="U137" s="255"/>
      <c r="V137" s="255"/>
      <c r="W137" s="255"/>
      <c r="Z137" s="153" t="s">
        <v>12</v>
      </c>
      <c r="AA137" s="153">
        <v>2014</v>
      </c>
      <c r="AB137" s="153" t="s">
        <v>714</v>
      </c>
      <c r="AC137" s="153"/>
      <c r="AD137" s="153"/>
      <c r="AE137" s="153"/>
      <c r="AF137" s="153"/>
      <c r="AG137" s="153"/>
      <c r="AH137" s="153"/>
      <c r="AI137" s="153"/>
      <c r="AJ137" s="153">
        <v>0</v>
      </c>
      <c r="AL137" s="256">
        <f>VLOOKUP(AA137,pgdp!$A$13:$C$90,3,FALSE)</f>
        <v>0.9240281714268912</v>
      </c>
      <c r="AM137" s="153" t="s">
        <v>12</v>
      </c>
      <c r="AN137" s="153">
        <v>2014</v>
      </c>
      <c r="AO137" s="153" t="s">
        <v>714</v>
      </c>
      <c r="AP137" s="255">
        <f t="shared" si="20"/>
        <v>0</v>
      </c>
      <c r="AQ137" s="255">
        <f t="shared" si="13"/>
        <v>0</v>
      </c>
      <c r="AR137" s="255">
        <f t="shared" si="14"/>
        <v>0</v>
      </c>
      <c r="AS137" s="255">
        <f t="shared" si="15"/>
        <v>0</v>
      </c>
      <c r="AT137" s="255">
        <f t="shared" si="16"/>
        <v>0</v>
      </c>
      <c r="AU137" s="255">
        <f t="shared" si="17"/>
        <v>0</v>
      </c>
      <c r="AV137" s="255">
        <f t="shared" si="18"/>
        <v>0</v>
      </c>
      <c r="AW137" s="255">
        <f t="shared" si="19"/>
        <v>0</v>
      </c>
    </row>
    <row r="138" spans="1:49" hidden="1">
      <c r="A138" s="153"/>
      <c r="B138" s="153"/>
      <c r="C138" s="153"/>
      <c r="D138" s="153"/>
      <c r="E138" s="153"/>
      <c r="F138" s="153"/>
      <c r="G138" s="153"/>
      <c r="H138" s="153"/>
      <c r="I138" s="153"/>
      <c r="J138" s="153"/>
      <c r="K138" s="153"/>
      <c r="M138" s="254"/>
      <c r="N138" s="153"/>
      <c r="O138" s="153"/>
      <c r="P138" s="153"/>
      <c r="Q138" s="255"/>
      <c r="R138" s="255"/>
      <c r="S138" s="255"/>
      <c r="T138" s="255"/>
      <c r="U138" s="255"/>
      <c r="V138" s="255"/>
      <c r="W138" s="255"/>
      <c r="Z138" s="153" t="s">
        <v>12</v>
      </c>
      <c r="AA138" s="153">
        <v>2015</v>
      </c>
      <c r="AB138" s="153" t="s">
        <v>689</v>
      </c>
      <c r="AC138" s="153">
        <v>56169</v>
      </c>
      <c r="AD138" s="153">
        <v>41198</v>
      </c>
      <c r="AE138" s="153">
        <v>14331</v>
      </c>
      <c r="AF138" s="153">
        <v>6703</v>
      </c>
      <c r="AG138" s="153">
        <v>971</v>
      </c>
      <c r="AH138" s="153">
        <v>430</v>
      </c>
      <c r="AI138" s="153">
        <v>239</v>
      </c>
      <c r="AJ138" s="153">
        <v>120040</v>
      </c>
      <c r="AK138" s="248"/>
      <c r="AL138" s="254">
        <f>VLOOKUP(AA138,pgdp!$A$13:$C$90,3,FALSE)</f>
        <v>0.9351696664966358</v>
      </c>
      <c r="AM138" s="153" t="s">
        <v>12</v>
      </c>
      <c r="AN138" s="153">
        <v>2015</v>
      </c>
      <c r="AO138" s="153" t="s">
        <v>689</v>
      </c>
      <c r="AP138" s="255">
        <f t="shared" si="20"/>
        <v>60.062897688311693</v>
      </c>
      <c r="AQ138" s="255">
        <f t="shared" si="13"/>
        <v>44.054037974025974</v>
      </c>
      <c r="AR138" s="255">
        <f t="shared" si="14"/>
        <v>15.324491922077923</v>
      </c>
      <c r="AS138" s="255">
        <f t="shared" si="15"/>
        <v>7.1676832987012986</v>
      </c>
      <c r="AT138" s="255">
        <f t="shared" si="16"/>
        <v>1.0383142597402597</v>
      </c>
      <c r="AU138" s="255">
        <f t="shared" si="17"/>
        <v>0.45980961038961038</v>
      </c>
      <c r="AV138" s="255">
        <f t="shared" si="18"/>
        <v>0.25556859740259741</v>
      </c>
      <c r="AW138" s="255">
        <f t="shared" si="19"/>
        <v>128.36173402597404</v>
      </c>
    </row>
    <row r="139" spans="1:49" s="248" customFormat="1" hidden="1">
      <c r="A139" s="153"/>
      <c r="B139" s="153"/>
      <c r="C139" s="153"/>
      <c r="D139" s="153"/>
      <c r="E139" s="153"/>
      <c r="F139" s="153"/>
      <c r="G139" s="153"/>
      <c r="H139" s="153"/>
      <c r="I139" s="153"/>
      <c r="J139" s="153"/>
      <c r="K139" s="153"/>
      <c r="M139" s="256"/>
      <c r="N139" s="153"/>
      <c r="O139" s="153"/>
      <c r="P139" s="153"/>
      <c r="Q139" s="255"/>
      <c r="R139" s="255"/>
      <c r="S139" s="255"/>
      <c r="T139" s="255"/>
      <c r="U139" s="255"/>
      <c r="V139" s="255"/>
      <c r="W139" s="255"/>
      <c r="Z139" s="153" t="s">
        <v>12</v>
      </c>
      <c r="AA139" s="153">
        <v>2015</v>
      </c>
      <c r="AB139" s="153" t="s">
        <v>715</v>
      </c>
      <c r="AC139" s="153">
        <v>3302</v>
      </c>
      <c r="AD139" s="153">
        <v>23328</v>
      </c>
      <c r="AE139" s="153">
        <v>1579</v>
      </c>
      <c r="AF139" s="153">
        <v>36</v>
      </c>
      <c r="AG139" s="153">
        <v>37</v>
      </c>
      <c r="AH139" s="153">
        <v>0</v>
      </c>
      <c r="AI139" s="153">
        <v>0</v>
      </c>
      <c r="AJ139" s="153">
        <v>28282</v>
      </c>
      <c r="AK139" s="251"/>
      <c r="AL139" s="256">
        <f>VLOOKUP(AA139,pgdp!$A$13:$C$90,3,FALSE)</f>
        <v>0.9351696664966358</v>
      </c>
      <c r="AM139" s="153" t="s">
        <v>12</v>
      </c>
      <c r="AN139" s="153">
        <v>2015</v>
      </c>
      <c r="AO139" s="153" t="s">
        <v>715</v>
      </c>
      <c r="AP139" s="255">
        <f t="shared" si="20"/>
        <v>3.5309100779220781</v>
      </c>
      <c r="AQ139" s="255">
        <f t="shared" si="13"/>
        <v>24.945206025974027</v>
      </c>
      <c r="AR139" s="255">
        <f t="shared" si="14"/>
        <v>1.6884636623376623</v>
      </c>
      <c r="AS139" s="255">
        <f t="shared" si="15"/>
        <v>3.8495688311688314E-2</v>
      </c>
      <c r="AT139" s="255">
        <f t="shared" si="16"/>
        <v>3.9565012987012982E-2</v>
      </c>
      <c r="AU139" s="255">
        <f t="shared" si="17"/>
        <v>0</v>
      </c>
      <c r="AV139" s="255">
        <f t="shared" si="18"/>
        <v>0</v>
      </c>
      <c r="AW139" s="255">
        <f t="shared" si="19"/>
        <v>30.242640467532468</v>
      </c>
    </row>
    <row r="140" spans="1:49" hidden="1">
      <c r="A140" s="153"/>
      <c r="B140" s="153"/>
      <c r="C140" s="153"/>
      <c r="D140" s="153"/>
      <c r="E140" s="153"/>
      <c r="F140" s="153"/>
      <c r="G140" s="153"/>
      <c r="H140" s="153"/>
      <c r="I140" s="153"/>
      <c r="J140" s="153"/>
      <c r="K140" s="153"/>
      <c r="M140" s="256"/>
      <c r="N140" s="153"/>
      <c r="O140" s="153"/>
      <c r="P140" s="153"/>
      <c r="Q140" s="255"/>
      <c r="R140" s="255"/>
      <c r="S140" s="255"/>
      <c r="T140" s="255"/>
      <c r="U140" s="255"/>
      <c r="V140" s="255"/>
      <c r="W140" s="255"/>
      <c r="Z140" s="153" t="s">
        <v>12</v>
      </c>
      <c r="AA140" s="153">
        <v>2015</v>
      </c>
      <c r="AB140" s="153" t="s">
        <v>716</v>
      </c>
      <c r="AC140" s="153"/>
      <c r="AD140" s="153"/>
      <c r="AE140" s="153"/>
      <c r="AF140" s="153"/>
      <c r="AG140" s="153"/>
      <c r="AH140" s="153"/>
      <c r="AI140" s="153"/>
      <c r="AJ140" s="153">
        <v>0</v>
      </c>
      <c r="AK140" s="248"/>
      <c r="AL140" s="254">
        <f>VLOOKUP(AA140,pgdp!$A$13:$C$90,3,FALSE)</f>
        <v>0.9351696664966358</v>
      </c>
      <c r="AM140" s="153" t="s">
        <v>12</v>
      </c>
      <c r="AN140" s="153">
        <v>2015</v>
      </c>
      <c r="AO140" s="153" t="s">
        <v>716</v>
      </c>
      <c r="AP140" s="255">
        <f t="shared" si="20"/>
        <v>0</v>
      </c>
      <c r="AQ140" s="255">
        <f t="shared" si="13"/>
        <v>0</v>
      </c>
      <c r="AR140" s="255">
        <f t="shared" si="14"/>
        <v>0</v>
      </c>
      <c r="AS140" s="255">
        <f t="shared" si="15"/>
        <v>0</v>
      </c>
      <c r="AT140" s="255">
        <f t="shared" si="16"/>
        <v>0</v>
      </c>
      <c r="AU140" s="255">
        <f t="shared" si="17"/>
        <v>0</v>
      </c>
      <c r="AV140" s="255">
        <f t="shared" si="18"/>
        <v>0</v>
      </c>
      <c r="AW140" s="255">
        <f t="shared" si="19"/>
        <v>0</v>
      </c>
    </row>
    <row r="141" spans="1:49" s="248" customFormat="1" hidden="1">
      <c r="A141" s="153"/>
      <c r="B141" s="153"/>
      <c r="C141" s="153"/>
      <c r="D141" s="153"/>
      <c r="E141" s="153"/>
      <c r="F141" s="153"/>
      <c r="G141" s="153"/>
      <c r="H141" s="153"/>
      <c r="I141" s="153"/>
      <c r="J141" s="153"/>
      <c r="K141" s="153"/>
      <c r="M141" s="254"/>
      <c r="N141" s="153"/>
      <c r="O141" s="153"/>
      <c r="P141" s="153"/>
      <c r="Q141" s="255"/>
      <c r="R141" s="255"/>
      <c r="S141" s="255"/>
      <c r="T141" s="255"/>
      <c r="U141" s="255"/>
      <c r="V141" s="255"/>
      <c r="W141" s="255"/>
      <c r="Z141" s="153" t="s">
        <v>12</v>
      </c>
      <c r="AA141" s="153">
        <v>2016</v>
      </c>
      <c r="AB141" s="153" t="s">
        <v>689</v>
      </c>
      <c r="AC141" s="153">
        <v>55971</v>
      </c>
      <c r="AD141" s="153">
        <v>41789</v>
      </c>
      <c r="AE141" s="153">
        <v>16938</v>
      </c>
      <c r="AF141" s="153">
        <v>7653</v>
      </c>
      <c r="AG141" s="153">
        <v>1105</v>
      </c>
      <c r="AH141" s="153">
        <v>443</v>
      </c>
      <c r="AI141" s="153">
        <v>195</v>
      </c>
      <c r="AJ141" s="153">
        <v>124096</v>
      </c>
      <c r="AK141" s="251"/>
      <c r="AL141" s="256">
        <f>VLOOKUP(AA141,pgdp!$A$13:$C$90,3,FALSE)</f>
        <v>0.94602138468179731</v>
      </c>
      <c r="AM141" s="153" t="s">
        <v>12</v>
      </c>
      <c r="AN141" s="153">
        <v>2016</v>
      </c>
      <c r="AO141" s="153" t="s">
        <v>689</v>
      </c>
      <c r="AP141" s="255">
        <f t="shared" si="20"/>
        <v>59.164624506692668</v>
      </c>
      <c r="AQ141" s="255">
        <f t="shared" si="13"/>
        <v>44.173420048063818</v>
      </c>
      <c r="AR141" s="255">
        <f t="shared" si="14"/>
        <v>17.90445784235337</v>
      </c>
      <c r="AS141" s="255">
        <f t="shared" si="15"/>
        <v>8.089669138477408</v>
      </c>
      <c r="AT141" s="255">
        <f t="shared" si="16"/>
        <v>1.1680497057386039</v>
      </c>
      <c r="AU141" s="255">
        <f t="shared" si="17"/>
        <v>0.46827694085267108</v>
      </c>
      <c r="AV141" s="255">
        <f t="shared" si="18"/>
        <v>0.20612641865975365</v>
      </c>
      <c r="AW141" s="255">
        <f t="shared" si="19"/>
        <v>131.17673871795273</v>
      </c>
    </row>
    <row r="142" spans="1:49" hidden="1">
      <c r="A142" s="153"/>
      <c r="B142" s="153"/>
      <c r="C142" s="153"/>
      <c r="D142" s="153"/>
      <c r="E142" s="153"/>
      <c r="F142" s="153"/>
      <c r="G142" s="153"/>
      <c r="H142" s="153"/>
      <c r="I142" s="153"/>
      <c r="J142" s="153"/>
      <c r="K142" s="153"/>
      <c r="M142" s="256"/>
      <c r="N142" s="153"/>
      <c r="O142" s="153"/>
      <c r="P142" s="153"/>
      <c r="Q142" s="255"/>
      <c r="R142" s="255"/>
      <c r="S142" s="255"/>
      <c r="T142" s="255"/>
      <c r="U142" s="255"/>
      <c r="V142" s="255"/>
      <c r="W142" s="255"/>
      <c r="Z142" s="153" t="s">
        <v>12</v>
      </c>
      <c r="AA142" s="153">
        <v>2016</v>
      </c>
      <c r="AB142" s="153" t="s">
        <v>717</v>
      </c>
      <c r="AC142" s="153">
        <v>1964</v>
      </c>
      <c r="AD142" s="153">
        <v>19454</v>
      </c>
      <c r="AE142" s="153">
        <v>2520</v>
      </c>
      <c r="AF142" s="153">
        <v>2</v>
      </c>
      <c r="AG142" s="153">
        <v>0</v>
      </c>
      <c r="AH142" s="153">
        <v>0</v>
      </c>
      <c r="AI142" s="153">
        <v>0</v>
      </c>
      <c r="AJ142" s="153">
        <v>23940</v>
      </c>
      <c r="AK142" s="248"/>
      <c r="AL142" s="256">
        <f>VLOOKUP(AA142,pgdp!$A$13:$C$90,3,FALSE)</f>
        <v>0.94602138468179731</v>
      </c>
      <c r="AM142" s="153" t="s">
        <v>12</v>
      </c>
      <c r="AN142" s="153">
        <v>2016</v>
      </c>
      <c r="AO142" s="153" t="s">
        <v>717</v>
      </c>
      <c r="AP142" s="255">
        <f t="shared" si="20"/>
        <v>2.0760630063987495</v>
      </c>
      <c r="AQ142" s="255">
        <f t="shared" si="13"/>
        <v>20.564017172342808</v>
      </c>
      <c r="AR142" s="255">
        <f t="shared" si="14"/>
        <v>2.6637875642183548</v>
      </c>
      <c r="AS142" s="255">
        <f t="shared" si="15"/>
        <v>2.1141171144590117E-3</v>
      </c>
      <c r="AT142" s="255">
        <f t="shared" si="16"/>
        <v>0</v>
      </c>
      <c r="AU142" s="255">
        <f t="shared" si="17"/>
        <v>0</v>
      </c>
      <c r="AV142" s="255">
        <f t="shared" si="18"/>
        <v>0</v>
      </c>
      <c r="AW142" s="255">
        <f t="shared" si="19"/>
        <v>25.305981860074372</v>
      </c>
    </row>
    <row r="143" spans="1:49" s="248" customFormat="1" hidden="1">
      <c r="A143" s="153"/>
      <c r="B143" s="153"/>
      <c r="C143" s="153"/>
      <c r="D143" s="153"/>
      <c r="E143" s="153"/>
      <c r="F143" s="153"/>
      <c r="G143" s="153"/>
      <c r="H143" s="153"/>
      <c r="I143" s="153"/>
      <c r="J143" s="153"/>
      <c r="K143" s="153"/>
      <c r="M143" s="256"/>
      <c r="N143" s="153"/>
      <c r="O143" s="153"/>
      <c r="P143" s="153"/>
      <c r="Q143" s="255"/>
      <c r="R143" s="255"/>
      <c r="S143" s="255"/>
      <c r="T143" s="255"/>
      <c r="U143" s="255"/>
      <c r="V143" s="255"/>
      <c r="W143" s="255"/>
      <c r="Z143" s="153" t="s">
        <v>12</v>
      </c>
      <c r="AA143" s="153">
        <v>2017</v>
      </c>
      <c r="AB143" s="153" t="s">
        <v>689</v>
      </c>
      <c r="AC143" s="153">
        <v>55311</v>
      </c>
      <c r="AD143" s="153">
        <v>42163</v>
      </c>
      <c r="AE143" s="153">
        <v>16508</v>
      </c>
      <c r="AF143" s="153">
        <v>8359</v>
      </c>
      <c r="AG143" s="153">
        <v>953</v>
      </c>
      <c r="AH143" s="153">
        <v>483</v>
      </c>
      <c r="AI143" s="153">
        <v>245</v>
      </c>
      <c r="AJ143" s="153">
        <v>124022</v>
      </c>
      <c r="AK143" s="251"/>
      <c r="AL143" s="254">
        <f>VLOOKUP(AA143,pgdp!$A$13:$C$90,3,FALSE)</f>
        <v>0.96224036736890672</v>
      </c>
      <c r="AM143" s="153" t="s">
        <v>12</v>
      </c>
      <c r="AN143" s="153">
        <v>2017</v>
      </c>
      <c r="AO143" s="153" t="s">
        <v>689</v>
      </c>
      <c r="AP143" s="255">
        <f t="shared" si="20"/>
        <v>57.481479550935006</v>
      </c>
      <c r="AQ143" s="255">
        <f t="shared" si="13"/>
        <v>43.817533986116189</v>
      </c>
      <c r="AR143" s="255">
        <f t="shared" si="14"/>
        <v>17.155796576211518</v>
      </c>
      <c r="AS143" s="255">
        <f t="shared" si="15"/>
        <v>8.6870186322117782</v>
      </c>
      <c r="AT143" s="255">
        <f t="shared" si="16"/>
        <v>0.99039702793370332</v>
      </c>
      <c r="AU143" s="255">
        <f t="shared" si="17"/>
        <v>0.50195358288770053</v>
      </c>
      <c r="AV143" s="255">
        <f t="shared" si="18"/>
        <v>0.25461413624738433</v>
      </c>
      <c r="AW143" s="255">
        <f t="shared" si="19"/>
        <v>128.88879349254327</v>
      </c>
    </row>
    <row r="144" spans="1:49" hidden="1">
      <c r="A144" s="153"/>
      <c r="B144" s="153"/>
      <c r="C144" s="153"/>
      <c r="D144" s="153"/>
      <c r="E144" s="153"/>
      <c r="F144" s="153"/>
      <c r="G144" s="153"/>
      <c r="H144" s="153"/>
      <c r="I144" s="153"/>
      <c r="J144" s="153"/>
      <c r="K144" s="153"/>
      <c r="M144" s="254"/>
      <c r="N144" s="153"/>
      <c r="O144" s="153"/>
      <c r="P144" s="153"/>
      <c r="Q144" s="255"/>
      <c r="R144" s="255"/>
      <c r="S144" s="255"/>
      <c r="T144" s="255"/>
      <c r="U144" s="255"/>
      <c r="V144" s="255"/>
      <c r="W144" s="255"/>
      <c r="Z144" s="153" t="s">
        <v>12</v>
      </c>
      <c r="AA144" s="153">
        <v>2017</v>
      </c>
      <c r="AB144" s="153" t="s">
        <v>718</v>
      </c>
      <c r="AC144" s="153">
        <v>2349</v>
      </c>
      <c r="AD144" s="153">
        <v>26171</v>
      </c>
      <c r="AE144" s="153">
        <v>5248</v>
      </c>
      <c r="AF144" s="153">
        <v>358</v>
      </c>
      <c r="AG144" s="153">
        <v>80</v>
      </c>
      <c r="AH144" s="153">
        <v>0</v>
      </c>
      <c r="AI144" s="153">
        <v>0</v>
      </c>
      <c r="AJ144" s="153">
        <v>34207</v>
      </c>
      <c r="AL144" s="256">
        <f>VLOOKUP(AA144,pgdp!$A$13:$C$90,3,FALSE)</f>
        <v>0.96224036736890672</v>
      </c>
      <c r="AM144" s="153" t="s">
        <v>12</v>
      </c>
      <c r="AN144" s="153">
        <v>2017</v>
      </c>
      <c r="AO144" s="153" t="s">
        <v>718</v>
      </c>
      <c r="AP144" s="255">
        <f t="shared" si="20"/>
        <v>2.4411779838575747</v>
      </c>
      <c r="AQ144" s="255">
        <f t="shared" si="13"/>
        <v>27.197985958082842</v>
      </c>
      <c r="AR144" s="255">
        <f t="shared" si="14"/>
        <v>5.4539387225562166</v>
      </c>
      <c r="AS144" s="255">
        <f t="shared" si="15"/>
        <v>0.37204841133291267</v>
      </c>
      <c r="AT144" s="255">
        <f t="shared" si="16"/>
        <v>8.3139309795064273E-2</v>
      </c>
      <c r="AU144" s="255">
        <f t="shared" si="17"/>
        <v>0</v>
      </c>
      <c r="AV144" s="255">
        <f t="shared" si="18"/>
        <v>0</v>
      </c>
      <c r="AW144" s="255">
        <f t="shared" si="19"/>
        <v>35.549329626997043</v>
      </c>
    </row>
    <row r="145" spans="1:49" hidden="1">
      <c r="A145" s="153"/>
      <c r="B145" s="153"/>
      <c r="C145" s="153"/>
      <c r="D145" s="153"/>
      <c r="E145" s="153"/>
      <c r="F145" s="153"/>
      <c r="G145" s="153"/>
      <c r="H145" s="153"/>
      <c r="I145" s="153"/>
      <c r="J145" s="153"/>
      <c r="K145" s="153"/>
      <c r="M145" s="256"/>
      <c r="N145" s="153"/>
      <c r="O145" s="153"/>
      <c r="P145" s="153"/>
      <c r="Q145" s="255"/>
      <c r="R145" s="255"/>
      <c r="S145" s="255"/>
      <c r="T145" s="255"/>
      <c r="U145" s="255"/>
      <c r="V145" s="255"/>
      <c r="W145" s="255"/>
      <c r="Z145" s="153" t="s">
        <v>12</v>
      </c>
      <c r="AA145" s="153">
        <v>2018</v>
      </c>
      <c r="AB145" s="153" t="s">
        <v>689</v>
      </c>
      <c r="AC145" s="153">
        <v>55582</v>
      </c>
      <c r="AD145" s="153">
        <v>41584</v>
      </c>
      <c r="AE145" s="153">
        <v>16271</v>
      </c>
      <c r="AF145" s="153">
        <v>8273</v>
      </c>
      <c r="AG145" s="153">
        <v>949</v>
      </c>
      <c r="AH145" s="153">
        <v>480</v>
      </c>
      <c r="AI145" s="153">
        <v>195</v>
      </c>
      <c r="AJ145" s="153">
        <v>123334</v>
      </c>
      <c r="AK145" s="248"/>
      <c r="AL145" s="254">
        <f>VLOOKUP(AA145,pgdp!$A$13:$C$90,3,FALSE)</f>
        <v>0.9807153483309915</v>
      </c>
      <c r="AM145" s="153" t="s">
        <v>12</v>
      </c>
      <c r="AN145" s="153">
        <v>2018</v>
      </c>
      <c r="AO145" s="153" t="s">
        <v>689</v>
      </c>
      <c r="AP145" s="255">
        <f t="shared" si="20"/>
        <v>56.6749568002489</v>
      </c>
      <c r="AQ145" s="255">
        <f t="shared" si="13"/>
        <v>42.401702054290062</v>
      </c>
      <c r="AR145" s="255">
        <f t="shared" si="14"/>
        <v>16.590950705207618</v>
      </c>
      <c r="AS145" s="255">
        <f t="shared" si="15"/>
        <v>8.4356791336846317</v>
      </c>
      <c r="AT145" s="255">
        <f t="shared" si="16"/>
        <v>0.96766100542327038</v>
      </c>
      <c r="AU145" s="255">
        <f t="shared" si="17"/>
        <v>0.48943865395486802</v>
      </c>
      <c r="AV145" s="255">
        <f t="shared" si="18"/>
        <v>0.19883445316916512</v>
      </c>
      <c r="AW145" s="255">
        <f t="shared" si="19"/>
        <v>125.75922280597852</v>
      </c>
    </row>
    <row r="146" spans="1:49" s="248" customFormat="1" hidden="1">
      <c r="A146" s="153"/>
      <c r="B146" s="153"/>
      <c r="C146" s="153"/>
      <c r="D146" s="153"/>
      <c r="E146" s="153"/>
      <c r="F146" s="153"/>
      <c r="G146" s="153"/>
      <c r="H146" s="153"/>
      <c r="I146" s="153"/>
      <c r="J146" s="153"/>
      <c r="K146" s="153"/>
      <c r="M146" s="254"/>
      <c r="N146" s="153"/>
      <c r="O146" s="153"/>
      <c r="P146" s="153"/>
      <c r="Q146" s="255"/>
      <c r="R146" s="255"/>
      <c r="S146" s="255"/>
      <c r="T146" s="255"/>
      <c r="U146" s="255"/>
      <c r="V146" s="255"/>
      <c r="W146" s="255"/>
      <c r="Z146" s="153" t="s">
        <v>12</v>
      </c>
      <c r="AA146" s="153">
        <v>2018</v>
      </c>
      <c r="AB146" s="153" t="s">
        <v>719</v>
      </c>
      <c r="AC146" s="153">
        <v>2385</v>
      </c>
      <c r="AD146" s="153">
        <v>26266</v>
      </c>
      <c r="AE146" s="153">
        <v>4994</v>
      </c>
      <c r="AF146" s="153">
        <v>342</v>
      </c>
      <c r="AG146" s="153">
        <v>80</v>
      </c>
      <c r="AH146" s="153">
        <v>0</v>
      </c>
      <c r="AI146" s="153">
        <v>49</v>
      </c>
      <c r="AJ146" s="153">
        <v>34115</v>
      </c>
      <c r="AK146" s="251"/>
      <c r="AL146" s="256">
        <f>VLOOKUP(AA146,pgdp!$A$13:$C$90,3,FALSE)</f>
        <v>0.9807153483309915</v>
      </c>
      <c r="AM146" s="153" t="s">
        <v>12</v>
      </c>
      <c r="AN146" s="153">
        <v>2018</v>
      </c>
      <c r="AO146" s="153" t="s">
        <v>719</v>
      </c>
      <c r="AP146" s="255">
        <f t="shared" si="20"/>
        <v>2.4318983118382502</v>
      </c>
      <c r="AQ146" s="255">
        <f t="shared" si="13"/>
        <v>26.782491009955343</v>
      </c>
      <c r="AR146" s="255">
        <f t="shared" si="14"/>
        <v>5.0922013288554391</v>
      </c>
      <c r="AS146" s="255">
        <f t="shared" si="15"/>
        <v>0.34872504094284346</v>
      </c>
      <c r="AT146" s="255">
        <f t="shared" si="16"/>
        <v>8.1573108992477994E-2</v>
      </c>
      <c r="AU146" s="255">
        <f t="shared" si="17"/>
        <v>0</v>
      </c>
      <c r="AV146" s="255">
        <f t="shared" si="18"/>
        <v>4.9963529257892783E-2</v>
      </c>
      <c r="AW146" s="255">
        <f t="shared" si="19"/>
        <v>34.785832665979839</v>
      </c>
    </row>
    <row r="147" spans="1:49" hidden="1">
      <c r="A147" s="153"/>
      <c r="B147" s="153"/>
      <c r="C147" s="153"/>
      <c r="D147" s="153"/>
      <c r="E147" s="153"/>
      <c r="F147" s="153"/>
      <c r="G147" s="153"/>
      <c r="H147" s="153"/>
      <c r="I147" s="153"/>
      <c r="J147" s="153"/>
      <c r="K147" s="153"/>
      <c r="M147" s="256"/>
      <c r="N147" s="153"/>
      <c r="O147" s="153"/>
      <c r="P147" s="153"/>
      <c r="Q147" s="255"/>
      <c r="R147" s="255"/>
      <c r="S147" s="255"/>
      <c r="T147" s="255"/>
      <c r="U147" s="255"/>
      <c r="V147" s="255"/>
      <c r="W147" s="255"/>
      <c r="Z147" s="153" t="s">
        <v>12</v>
      </c>
      <c r="AA147" s="153">
        <v>2018</v>
      </c>
      <c r="AB147" s="153" t="s">
        <v>720</v>
      </c>
      <c r="AC147" s="153">
        <v>0</v>
      </c>
      <c r="AD147" s="153">
        <v>0</v>
      </c>
      <c r="AE147" s="153">
        <v>884</v>
      </c>
      <c r="AF147" s="153">
        <v>21</v>
      </c>
      <c r="AG147" s="153">
        <v>0</v>
      </c>
      <c r="AH147" s="153">
        <v>0</v>
      </c>
      <c r="AI147" s="153">
        <v>0</v>
      </c>
      <c r="AJ147" s="153">
        <v>905</v>
      </c>
      <c r="AL147" s="254">
        <f>VLOOKUP(AA147,pgdp!$A$13:$C$90,3,FALSE)</f>
        <v>0.9807153483309915</v>
      </c>
      <c r="AM147" s="153" t="s">
        <v>12</v>
      </c>
      <c r="AN147" s="153">
        <v>2018</v>
      </c>
      <c r="AO147" s="153" t="s">
        <v>720</v>
      </c>
      <c r="AP147" s="255">
        <f t="shared" si="20"/>
        <v>0</v>
      </c>
      <c r="AQ147" s="255">
        <f t="shared" si="13"/>
        <v>0</v>
      </c>
      <c r="AR147" s="255">
        <f t="shared" si="14"/>
        <v>0.90138285436688192</v>
      </c>
      <c r="AS147" s="255">
        <f t="shared" si="15"/>
        <v>2.1412941110525475E-2</v>
      </c>
      <c r="AT147" s="255">
        <f t="shared" si="16"/>
        <v>0</v>
      </c>
      <c r="AU147" s="255">
        <f t="shared" si="17"/>
        <v>0</v>
      </c>
      <c r="AV147" s="255">
        <f t="shared" si="18"/>
        <v>0</v>
      </c>
      <c r="AW147" s="255">
        <f t="shared" si="19"/>
        <v>0.92279579547740742</v>
      </c>
    </row>
    <row r="148" spans="1:49" s="248" customFormat="1" hidden="1">
      <c r="A148" s="153"/>
      <c r="B148" s="153"/>
      <c r="C148" s="153"/>
      <c r="D148" s="153"/>
      <c r="E148" s="153"/>
      <c r="F148" s="153"/>
      <c r="G148" s="153"/>
      <c r="H148" s="153"/>
      <c r="I148" s="153"/>
      <c r="J148" s="153"/>
      <c r="K148" s="153"/>
      <c r="M148" s="254"/>
      <c r="N148" s="153"/>
      <c r="O148" s="153"/>
      <c r="P148" s="153"/>
      <c r="Q148" s="255"/>
      <c r="R148" s="255"/>
      <c r="S148" s="255"/>
      <c r="T148" s="255"/>
      <c r="U148" s="255"/>
      <c r="V148" s="255"/>
      <c r="W148" s="255"/>
      <c r="Z148" s="153" t="s">
        <v>12</v>
      </c>
      <c r="AA148" s="153">
        <v>2019</v>
      </c>
      <c r="AB148" s="153" t="s">
        <v>689</v>
      </c>
      <c r="AC148" s="153">
        <v>60585</v>
      </c>
      <c r="AD148" s="153">
        <v>52529</v>
      </c>
      <c r="AE148" s="153">
        <v>22856</v>
      </c>
      <c r="AF148" s="153">
        <v>10159</v>
      </c>
      <c r="AG148" s="153">
        <v>1320</v>
      </c>
      <c r="AH148" s="153">
        <v>707</v>
      </c>
      <c r="AI148" s="153">
        <v>159</v>
      </c>
      <c r="AJ148" s="153">
        <v>148314</v>
      </c>
      <c r="AL148" s="256">
        <f>VLOOKUP(AA148,pgdp!$A$13:$C$90,3,FALSE)</f>
        <v>1</v>
      </c>
      <c r="AM148" s="153" t="s">
        <v>12</v>
      </c>
      <c r="AN148" s="153">
        <v>2019</v>
      </c>
      <c r="AO148" s="153" t="s">
        <v>689</v>
      </c>
      <c r="AP148" s="255">
        <f t="shared" si="20"/>
        <v>60.585000000000001</v>
      </c>
      <c r="AQ148" s="255">
        <f t="shared" si="13"/>
        <v>52.529000000000003</v>
      </c>
      <c r="AR148" s="255">
        <f t="shared" si="14"/>
        <v>22.856000000000002</v>
      </c>
      <c r="AS148" s="255">
        <f t="shared" si="15"/>
        <v>10.159000000000001</v>
      </c>
      <c r="AT148" s="255">
        <f t="shared" si="16"/>
        <v>1.32</v>
      </c>
      <c r="AU148" s="255">
        <f t="shared" si="17"/>
        <v>0.70699999999999996</v>
      </c>
      <c r="AV148" s="255">
        <f t="shared" si="18"/>
        <v>0.159</v>
      </c>
      <c r="AW148" s="255">
        <f t="shared" si="19"/>
        <v>148.31399999999999</v>
      </c>
    </row>
    <row r="149" spans="1:49" hidden="1">
      <c r="A149" s="153"/>
      <c r="B149" s="153"/>
      <c r="C149" s="153"/>
      <c r="D149" s="153"/>
      <c r="E149" s="153"/>
      <c r="F149" s="153"/>
      <c r="G149" s="153"/>
      <c r="H149" s="153"/>
      <c r="I149" s="153"/>
      <c r="J149" s="153"/>
      <c r="K149" s="153"/>
      <c r="M149" s="256"/>
      <c r="N149" s="153"/>
      <c r="O149" s="153"/>
      <c r="P149" s="153"/>
      <c r="Q149" s="255"/>
      <c r="R149" s="255"/>
      <c r="S149" s="255"/>
      <c r="T149" s="255"/>
      <c r="U149" s="255"/>
      <c r="V149" s="255"/>
      <c r="W149" s="255"/>
      <c r="Z149" s="153" t="s">
        <v>12</v>
      </c>
      <c r="AA149" s="153">
        <v>2019</v>
      </c>
      <c r="AB149" s="153" t="s">
        <v>721</v>
      </c>
      <c r="AC149" s="153">
        <v>3161</v>
      </c>
      <c r="AD149" s="153">
        <v>24963</v>
      </c>
      <c r="AE149" s="153">
        <v>4964</v>
      </c>
      <c r="AF149" s="153">
        <v>325</v>
      </c>
      <c r="AG149" s="153">
        <v>261</v>
      </c>
      <c r="AH149" s="153">
        <v>0</v>
      </c>
      <c r="AI149" s="153">
        <v>7</v>
      </c>
      <c r="AJ149" s="153">
        <v>33681</v>
      </c>
      <c r="AL149" s="256">
        <f>VLOOKUP(AA149,pgdp!$A$13:$C$90,3,FALSE)</f>
        <v>1</v>
      </c>
      <c r="AM149" s="153" t="s">
        <v>12</v>
      </c>
      <c r="AN149" s="153">
        <v>2019</v>
      </c>
      <c r="AO149" s="153" t="s">
        <v>721</v>
      </c>
      <c r="AP149" s="255">
        <f t="shared" si="20"/>
        <v>3.161</v>
      </c>
      <c r="AQ149" s="255">
        <f t="shared" si="13"/>
        <v>24.963000000000001</v>
      </c>
      <c r="AR149" s="255">
        <f t="shared" si="14"/>
        <v>4.9640000000000004</v>
      </c>
      <c r="AS149" s="255">
        <f t="shared" si="15"/>
        <v>0.32500000000000001</v>
      </c>
      <c r="AT149" s="255">
        <f t="shared" si="16"/>
        <v>0.26100000000000001</v>
      </c>
      <c r="AU149" s="255">
        <f t="shared" si="17"/>
        <v>0</v>
      </c>
      <c r="AV149" s="255">
        <f t="shared" si="18"/>
        <v>7.0000000000000001E-3</v>
      </c>
      <c r="AW149" s="255">
        <f t="shared" si="19"/>
        <v>33.680999999999997</v>
      </c>
    </row>
    <row r="150" spans="1:49" s="248" customFormat="1" hidden="1">
      <c r="A150" s="153"/>
      <c r="B150" s="153"/>
      <c r="C150" s="153"/>
      <c r="D150" s="153"/>
      <c r="E150" s="153"/>
      <c r="F150" s="153"/>
      <c r="G150" s="153"/>
      <c r="H150" s="153"/>
      <c r="I150" s="153"/>
      <c r="J150" s="153"/>
      <c r="K150" s="153"/>
      <c r="M150" s="256"/>
      <c r="N150" s="153"/>
      <c r="O150" s="153"/>
      <c r="P150" s="153"/>
      <c r="Q150" s="255"/>
      <c r="R150" s="255"/>
      <c r="S150" s="255"/>
      <c r="T150" s="255"/>
      <c r="U150" s="255"/>
      <c r="V150" s="255"/>
      <c r="W150" s="255"/>
      <c r="Z150" s="153" t="s">
        <v>13</v>
      </c>
      <c r="AA150" s="153">
        <v>2001</v>
      </c>
      <c r="AB150" s="153" t="s">
        <v>689</v>
      </c>
      <c r="AC150" s="153">
        <v>26721</v>
      </c>
      <c r="AD150" s="153">
        <v>27702</v>
      </c>
      <c r="AE150" s="153">
        <v>26285</v>
      </c>
      <c r="AF150" s="153">
        <v>9451</v>
      </c>
      <c r="AG150" s="153">
        <v>1415</v>
      </c>
      <c r="AH150" s="153">
        <v>1292</v>
      </c>
      <c r="AI150" s="153">
        <v>485</v>
      </c>
      <c r="AJ150" s="153">
        <v>93351</v>
      </c>
      <c r="AK150" s="251"/>
      <c r="AL150" s="254">
        <f>VLOOKUP(AA150,pgdp!$A$13:$C$90,3,FALSE)</f>
        <v>0.71033050332114134</v>
      </c>
      <c r="AM150" s="153" t="s">
        <v>13</v>
      </c>
      <c r="AN150" s="153">
        <v>2001</v>
      </c>
      <c r="AO150" s="153" t="s">
        <v>689</v>
      </c>
      <c r="AP150" s="255">
        <f t="shared" si="20"/>
        <v>37.617700317058464</v>
      </c>
      <c r="AQ150" s="255">
        <f t="shared" si="13"/>
        <v>38.998747583666542</v>
      </c>
      <c r="AR150" s="255">
        <f t="shared" si="14"/>
        <v>37.003901531899324</v>
      </c>
      <c r="AS150" s="255">
        <f t="shared" si="15"/>
        <v>13.305074125089613</v>
      </c>
      <c r="AT150" s="255">
        <f t="shared" si="16"/>
        <v>1.992030461009608</v>
      </c>
      <c r="AU150" s="255">
        <f t="shared" si="17"/>
        <v>1.8188716294165466</v>
      </c>
      <c r="AV150" s="255">
        <f t="shared" si="18"/>
        <v>0.68278075872060762</v>
      </c>
      <c r="AW150" s="255">
        <f t="shared" si="19"/>
        <v>131.41910640686072</v>
      </c>
    </row>
    <row r="151" spans="1:49" hidden="1">
      <c r="A151" s="153"/>
      <c r="B151" s="153"/>
      <c r="C151" s="153"/>
      <c r="D151" s="153"/>
      <c r="E151" s="153"/>
      <c r="F151" s="153"/>
      <c r="G151" s="153"/>
      <c r="H151" s="153"/>
      <c r="I151" s="153"/>
      <c r="J151" s="153"/>
      <c r="K151" s="153"/>
      <c r="M151" s="254"/>
      <c r="N151" s="153"/>
      <c r="O151" s="153"/>
      <c r="P151" s="153"/>
      <c r="Q151" s="255"/>
      <c r="R151" s="255"/>
      <c r="S151" s="255"/>
      <c r="T151" s="255"/>
      <c r="U151" s="255"/>
      <c r="V151" s="255"/>
      <c r="W151" s="255"/>
      <c r="Z151" s="153" t="s">
        <v>13</v>
      </c>
      <c r="AA151" s="153">
        <v>2001</v>
      </c>
      <c r="AB151" s="153" t="s">
        <v>690</v>
      </c>
      <c r="AC151" s="153"/>
      <c r="AD151" s="153"/>
      <c r="AE151" s="153"/>
      <c r="AF151" s="153"/>
      <c r="AG151" s="153"/>
      <c r="AH151" s="153"/>
      <c r="AI151" s="153"/>
      <c r="AJ151" s="153">
        <v>0</v>
      </c>
      <c r="AL151" s="256">
        <f>VLOOKUP(AA151,pgdp!$A$13:$C$90,3,FALSE)</f>
        <v>0.71033050332114134</v>
      </c>
      <c r="AM151" s="153" t="s">
        <v>13</v>
      </c>
      <c r="AN151" s="153">
        <v>2001</v>
      </c>
      <c r="AO151" s="153" t="s">
        <v>690</v>
      </c>
      <c r="AP151" s="255">
        <f t="shared" si="20"/>
        <v>0</v>
      </c>
      <c r="AQ151" s="255">
        <f t="shared" si="13"/>
        <v>0</v>
      </c>
      <c r="AR151" s="255">
        <f t="shared" si="14"/>
        <v>0</v>
      </c>
      <c r="AS151" s="255">
        <f t="shared" si="15"/>
        <v>0</v>
      </c>
      <c r="AT151" s="255">
        <f t="shared" si="16"/>
        <v>0</v>
      </c>
      <c r="AU151" s="255">
        <f t="shared" si="17"/>
        <v>0</v>
      </c>
      <c r="AV151" s="255">
        <f t="shared" si="18"/>
        <v>0</v>
      </c>
      <c r="AW151" s="255">
        <f t="shared" si="19"/>
        <v>0</v>
      </c>
    </row>
    <row r="152" spans="1:49" hidden="1">
      <c r="A152" s="153"/>
      <c r="B152" s="153"/>
      <c r="C152" s="153"/>
      <c r="D152" s="153"/>
      <c r="E152" s="153"/>
      <c r="F152" s="153"/>
      <c r="G152" s="153"/>
      <c r="H152" s="153"/>
      <c r="I152" s="153"/>
      <c r="J152" s="153"/>
      <c r="K152" s="153"/>
      <c r="M152" s="256"/>
      <c r="N152" s="153"/>
      <c r="O152" s="153"/>
      <c r="P152" s="153"/>
      <c r="Q152" s="255"/>
      <c r="R152" s="255"/>
      <c r="S152" s="255"/>
      <c r="T152" s="255"/>
      <c r="U152" s="255"/>
      <c r="V152" s="255"/>
      <c r="W152" s="255"/>
      <c r="Z152" s="153" t="s">
        <v>13</v>
      </c>
      <c r="AA152" s="153">
        <v>2001</v>
      </c>
      <c r="AB152" s="153" t="s">
        <v>691</v>
      </c>
      <c r="AC152" s="153">
        <v>153</v>
      </c>
      <c r="AD152" s="153">
        <v>1320</v>
      </c>
      <c r="AE152" s="153">
        <v>15</v>
      </c>
      <c r="AF152" s="153">
        <v>128</v>
      </c>
      <c r="AG152" s="153">
        <v>3</v>
      </c>
      <c r="AH152" s="153">
        <v>20</v>
      </c>
      <c r="AI152" s="153"/>
      <c r="AJ152" s="153">
        <v>1639</v>
      </c>
      <c r="AK152" s="248"/>
      <c r="AL152" s="256">
        <f>VLOOKUP(AA152,pgdp!$A$13:$C$90,3,FALSE)</f>
        <v>0.71033050332114134</v>
      </c>
      <c r="AM152" s="153" t="s">
        <v>13</v>
      </c>
      <c r="AN152" s="153">
        <v>2001</v>
      </c>
      <c r="AO152" s="153" t="s">
        <v>691</v>
      </c>
      <c r="AP152" s="255">
        <f t="shared" si="20"/>
        <v>0.21539269295722263</v>
      </c>
      <c r="AQ152" s="255">
        <f t="shared" si="13"/>
        <v>1.858289900023097</v>
      </c>
      <c r="AR152" s="255">
        <f t="shared" si="14"/>
        <v>2.1116930682080651E-2</v>
      </c>
      <c r="AS152" s="255">
        <f t="shared" si="15"/>
        <v>0.18019780848708819</v>
      </c>
      <c r="AT152" s="255">
        <f t="shared" si="16"/>
        <v>4.2233861364161292E-3</v>
      </c>
      <c r="AU152" s="255">
        <f t="shared" si="17"/>
        <v>2.8155907576107531E-2</v>
      </c>
      <c r="AV152" s="255">
        <f t="shared" si="18"/>
        <v>0</v>
      </c>
      <c r="AW152" s="255">
        <f t="shared" si="19"/>
        <v>2.3073766258620121</v>
      </c>
    </row>
    <row r="153" spans="1:49" s="248" customFormat="1" hidden="1">
      <c r="A153" s="153"/>
      <c r="B153" s="153"/>
      <c r="C153" s="153"/>
      <c r="D153" s="153"/>
      <c r="E153" s="153"/>
      <c r="F153" s="153"/>
      <c r="G153" s="153"/>
      <c r="H153" s="153"/>
      <c r="I153" s="153"/>
      <c r="J153" s="153"/>
      <c r="K153" s="153"/>
      <c r="M153" s="254"/>
      <c r="N153" s="153"/>
      <c r="O153" s="153"/>
      <c r="P153" s="153"/>
      <c r="Q153" s="255"/>
      <c r="R153" s="255"/>
      <c r="S153" s="255"/>
      <c r="T153" s="255"/>
      <c r="U153" s="255"/>
      <c r="V153" s="255"/>
      <c r="W153" s="255"/>
      <c r="Z153" s="153" t="s">
        <v>13</v>
      </c>
      <c r="AA153" s="153">
        <v>2002</v>
      </c>
      <c r="AB153" s="153" t="s">
        <v>689</v>
      </c>
      <c r="AC153" s="153">
        <v>29956</v>
      </c>
      <c r="AD153" s="153">
        <v>32584</v>
      </c>
      <c r="AE153" s="153">
        <v>24127</v>
      </c>
      <c r="AF153" s="153">
        <v>11402</v>
      </c>
      <c r="AG153" s="153">
        <v>1374</v>
      </c>
      <c r="AH153" s="153">
        <v>1228</v>
      </c>
      <c r="AI153" s="153">
        <v>722</v>
      </c>
      <c r="AJ153" s="153">
        <v>101393</v>
      </c>
      <c r="AK153" s="251"/>
      <c r="AL153" s="254">
        <f>VLOOKUP(AA153,pgdp!$A$13:$C$90,3,FALSE)</f>
        <v>0.72177029812501559</v>
      </c>
      <c r="AM153" s="153" t="s">
        <v>13</v>
      </c>
      <c r="AN153" s="153">
        <v>2002</v>
      </c>
      <c r="AO153" s="153" t="s">
        <v>689</v>
      </c>
      <c r="AP153" s="255">
        <f t="shared" si="20"/>
        <v>41.503508911101541</v>
      </c>
      <c r="AQ153" s="255">
        <f t="shared" si="13"/>
        <v>45.144556494836849</v>
      </c>
      <c r="AR153" s="255">
        <f t="shared" si="14"/>
        <v>33.427532364072199</v>
      </c>
      <c r="AS153" s="255">
        <f t="shared" si="15"/>
        <v>15.797269615582179</v>
      </c>
      <c r="AT153" s="255">
        <f t="shared" si="16"/>
        <v>1.9036527321355827</v>
      </c>
      <c r="AU153" s="255">
        <f t="shared" si="17"/>
        <v>1.7013723108169545</v>
      </c>
      <c r="AV153" s="255">
        <f t="shared" si="18"/>
        <v>1.0003182478907502</v>
      </c>
      <c r="AW153" s="255">
        <f t="shared" si="19"/>
        <v>140.47821067643605</v>
      </c>
    </row>
    <row r="154" spans="1:49" hidden="1">
      <c r="A154" s="153"/>
      <c r="B154" s="153"/>
      <c r="C154" s="153"/>
      <c r="D154" s="153"/>
      <c r="E154" s="153"/>
      <c r="F154" s="153"/>
      <c r="G154" s="153"/>
      <c r="H154" s="153"/>
      <c r="I154" s="153"/>
      <c r="J154" s="153"/>
      <c r="K154" s="153"/>
      <c r="M154" s="256"/>
      <c r="N154" s="153"/>
      <c r="O154" s="153"/>
      <c r="P154" s="153"/>
      <c r="Q154" s="255"/>
      <c r="R154" s="255"/>
      <c r="S154" s="255"/>
      <c r="T154" s="255"/>
      <c r="U154" s="255"/>
      <c r="V154" s="255"/>
      <c r="W154" s="255"/>
      <c r="Z154" s="153" t="s">
        <v>13</v>
      </c>
      <c r="AA154" s="153">
        <v>2002</v>
      </c>
      <c r="AB154" s="153" t="s">
        <v>692</v>
      </c>
      <c r="AC154" s="153"/>
      <c r="AD154" s="153">
        <v>37</v>
      </c>
      <c r="AE154" s="153">
        <v>242</v>
      </c>
      <c r="AF154" s="153">
        <v>-15</v>
      </c>
      <c r="AG154" s="153">
        <v>2</v>
      </c>
      <c r="AH154" s="153"/>
      <c r="AI154" s="153"/>
      <c r="AJ154" s="153">
        <v>266</v>
      </c>
      <c r="AL154" s="256">
        <f>VLOOKUP(AA154,pgdp!$A$13:$C$90,3,FALSE)</f>
        <v>0.72177029812501559</v>
      </c>
      <c r="AM154" s="153" t="s">
        <v>13</v>
      </c>
      <c r="AN154" s="153">
        <v>2002</v>
      </c>
      <c r="AO154" s="153" t="s">
        <v>692</v>
      </c>
      <c r="AP154" s="255">
        <f t="shared" si="20"/>
        <v>0</v>
      </c>
      <c r="AQ154" s="255">
        <f t="shared" si="13"/>
        <v>5.1262846498556447E-2</v>
      </c>
      <c r="AR154" s="255">
        <f t="shared" si="14"/>
        <v>0.33528672574731511</v>
      </c>
      <c r="AS154" s="255">
        <f t="shared" si="15"/>
        <v>-2.0782235066982346E-2</v>
      </c>
      <c r="AT154" s="255">
        <f t="shared" si="16"/>
        <v>2.7709646755976459E-3</v>
      </c>
      <c r="AU154" s="255">
        <f t="shared" si="17"/>
        <v>0</v>
      </c>
      <c r="AV154" s="255">
        <f t="shared" si="18"/>
        <v>0</v>
      </c>
      <c r="AW154" s="255">
        <f t="shared" si="19"/>
        <v>0.36853830185448694</v>
      </c>
    </row>
    <row r="155" spans="1:49" hidden="1">
      <c r="A155" s="153"/>
      <c r="B155" s="153"/>
      <c r="C155" s="153"/>
      <c r="D155" s="153"/>
      <c r="E155" s="153"/>
      <c r="F155" s="153"/>
      <c r="G155" s="153"/>
      <c r="H155" s="153"/>
      <c r="I155" s="153"/>
      <c r="J155" s="153"/>
      <c r="K155" s="153"/>
      <c r="M155" s="254"/>
      <c r="N155" s="153"/>
      <c r="O155" s="153"/>
      <c r="P155" s="153"/>
      <c r="Q155" s="255"/>
      <c r="R155" s="255"/>
      <c r="S155" s="255"/>
      <c r="T155" s="255"/>
      <c r="U155" s="255"/>
      <c r="V155" s="255"/>
      <c r="W155" s="255"/>
      <c r="Z155" s="153" t="s">
        <v>13</v>
      </c>
      <c r="AA155" s="153">
        <v>2003</v>
      </c>
      <c r="AB155" s="153" t="s">
        <v>689</v>
      </c>
      <c r="AC155" s="153">
        <v>33083</v>
      </c>
      <c r="AD155" s="153">
        <v>35228</v>
      </c>
      <c r="AE155" s="153">
        <v>27191</v>
      </c>
      <c r="AF155" s="153">
        <v>13668</v>
      </c>
      <c r="AG155" s="153">
        <v>1644</v>
      </c>
      <c r="AH155" s="153">
        <v>1194</v>
      </c>
      <c r="AI155" s="153">
        <v>893</v>
      </c>
      <c r="AJ155" s="153">
        <v>112901</v>
      </c>
      <c r="AK155" s="248"/>
      <c r="AL155" s="256">
        <f>VLOOKUP(AA155,pgdp!$A$13:$C$90,3,FALSE)</f>
        <v>0.73558157581522121</v>
      </c>
      <c r="AM155" s="153" t="s">
        <v>13</v>
      </c>
      <c r="AN155" s="153">
        <v>2003</v>
      </c>
      <c r="AO155" s="153" t="s">
        <v>689</v>
      </c>
      <c r="AP155" s="255">
        <f t="shared" si="20"/>
        <v>44.975297217491047</v>
      </c>
      <c r="AQ155" s="255">
        <f t="shared" si="13"/>
        <v>47.891357203934795</v>
      </c>
      <c r="AR155" s="255">
        <f t="shared" si="14"/>
        <v>36.965308667315512</v>
      </c>
      <c r="AS155" s="255">
        <f t="shared" si="15"/>
        <v>18.581215801731027</v>
      </c>
      <c r="AT155" s="255">
        <f t="shared" si="16"/>
        <v>2.2349662553442942</v>
      </c>
      <c r="AU155" s="255">
        <f t="shared" si="17"/>
        <v>1.6232054190274252</v>
      </c>
      <c r="AV155" s="255">
        <f t="shared" si="18"/>
        <v>1.2140053929576975</v>
      </c>
      <c r="AW155" s="255">
        <f t="shared" si="19"/>
        <v>153.4853559578018</v>
      </c>
    </row>
    <row r="156" spans="1:49" s="248" customFormat="1" hidden="1">
      <c r="A156" s="153"/>
      <c r="B156" s="153"/>
      <c r="C156" s="153"/>
      <c r="D156" s="153"/>
      <c r="E156" s="153"/>
      <c r="F156" s="153"/>
      <c r="G156" s="153"/>
      <c r="H156" s="153"/>
      <c r="I156" s="153"/>
      <c r="J156" s="153"/>
      <c r="K156" s="153"/>
      <c r="M156" s="256"/>
      <c r="N156" s="153"/>
      <c r="O156" s="153"/>
      <c r="P156" s="153"/>
      <c r="Q156" s="255"/>
      <c r="R156" s="255"/>
      <c r="S156" s="255"/>
      <c r="T156" s="255"/>
      <c r="U156" s="255"/>
      <c r="V156" s="255"/>
      <c r="W156" s="255"/>
      <c r="Z156" s="153" t="s">
        <v>13</v>
      </c>
      <c r="AA156" s="153">
        <v>2003</v>
      </c>
      <c r="AB156" s="153" t="s">
        <v>693</v>
      </c>
      <c r="AC156" s="153">
        <v>3082</v>
      </c>
      <c r="AD156" s="153">
        <v>7415</v>
      </c>
      <c r="AE156" s="153"/>
      <c r="AF156" s="153">
        <v>-1</v>
      </c>
      <c r="AG156" s="153">
        <v>48</v>
      </c>
      <c r="AH156" s="153"/>
      <c r="AI156" s="153"/>
      <c r="AJ156" s="153">
        <v>10544</v>
      </c>
      <c r="AK156" s="251"/>
      <c r="AL156" s="256">
        <f>VLOOKUP(AA156,pgdp!$A$13:$C$90,3,FALSE)</f>
        <v>0.73558157581522121</v>
      </c>
      <c r="AM156" s="153" t="s">
        <v>13</v>
      </c>
      <c r="AN156" s="153">
        <v>2003</v>
      </c>
      <c r="AO156" s="153" t="s">
        <v>693</v>
      </c>
      <c r="AP156" s="255">
        <f t="shared" si="20"/>
        <v>4.1898819945079779</v>
      </c>
      <c r="AQ156" s="255">
        <f t="shared" si="13"/>
        <v>10.08045911397685</v>
      </c>
      <c r="AR156" s="255">
        <f t="shared" si="14"/>
        <v>0</v>
      </c>
      <c r="AS156" s="255">
        <f t="shared" si="15"/>
        <v>-1.3594685251485973E-3</v>
      </c>
      <c r="AT156" s="255">
        <f t="shared" si="16"/>
        <v>6.5254489207132685E-2</v>
      </c>
      <c r="AU156" s="255">
        <f t="shared" si="17"/>
        <v>0</v>
      </c>
      <c r="AV156" s="255">
        <f t="shared" si="18"/>
        <v>0</v>
      </c>
      <c r="AW156" s="255">
        <f t="shared" si="19"/>
        <v>14.334236129166811</v>
      </c>
    </row>
    <row r="157" spans="1:49" hidden="1">
      <c r="A157" s="153"/>
      <c r="B157" s="153"/>
      <c r="C157" s="153"/>
      <c r="D157" s="153"/>
      <c r="E157" s="153"/>
      <c r="F157" s="153"/>
      <c r="G157" s="153"/>
      <c r="H157" s="153"/>
      <c r="I157" s="153"/>
      <c r="J157" s="153"/>
      <c r="K157" s="153"/>
      <c r="M157" s="256"/>
      <c r="N157" s="153"/>
      <c r="O157" s="153"/>
      <c r="P157" s="153"/>
      <c r="Q157" s="255"/>
      <c r="R157" s="255"/>
      <c r="S157" s="255"/>
      <c r="T157" s="255"/>
      <c r="U157" s="255"/>
      <c r="V157" s="255"/>
      <c r="W157" s="255"/>
      <c r="Z157" s="153" t="s">
        <v>13</v>
      </c>
      <c r="AA157" s="153">
        <v>2004</v>
      </c>
      <c r="AB157" s="153" t="s">
        <v>689</v>
      </c>
      <c r="AC157" s="153">
        <v>35003</v>
      </c>
      <c r="AD157" s="153">
        <v>33366</v>
      </c>
      <c r="AE157" s="153">
        <v>29371</v>
      </c>
      <c r="AF157" s="153">
        <v>14888</v>
      </c>
      <c r="AG157" s="153">
        <v>1345</v>
      </c>
      <c r="AH157" s="153">
        <v>979</v>
      </c>
      <c r="AI157" s="153">
        <v>1067</v>
      </c>
      <c r="AJ157" s="153">
        <v>116019</v>
      </c>
      <c r="AK157" s="248"/>
      <c r="AL157" s="254">
        <f>VLOOKUP(AA157,pgdp!$A$13:$C$90,3,FALSE)</f>
        <v>0.75378638244667995</v>
      </c>
      <c r="AM157" s="153" t="s">
        <v>13</v>
      </c>
      <c r="AN157" s="153">
        <v>2004</v>
      </c>
      <c r="AO157" s="153" t="s">
        <v>689</v>
      </c>
      <c r="AP157" s="255">
        <f t="shared" si="20"/>
        <v>46.436232883891321</v>
      </c>
      <c r="AQ157" s="255">
        <f t="shared" si="13"/>
        <v>44.264530080390756</v>
      </c>
      <c r="AR157" s="255">
        <f t="shared" si="14"/>
        <v>38.964620062073884</v>
      </c>
      <c r="AS157" s="255">
        <f t="shared" si="15"/>
        <v>19.750953780400938</v>
      </c>
      <c r="AT157" s="255">
        <f t="shared" si="16"/>
        <v>1.7843251500966726</v>
      </c>
      <c r="AU157" s="255">
        <f t="shared" si="17"/>
        <v>1.2987764475424852</v>
      </c>
      <c r="AV157" s="255">
        <f t="shared" si="18"/>
        <v>1.4155203978833826</v>
      </c>
      <c r="AW157" s="255">
        <f t="shared" si="19"/>
        <v>153.91495880227944</v>
      </c>
    </row>
    <row r="158" spans="1:49" hidden="1">
      <c r="A158" s="153"/>
      <c r="B158" s="153"/>
      <c r="C158" s="153"/>
      <c r="D158" s="153"/>
      <c r="E158" s="153"/>
      <c r="F158" s="153"/>
      <c r="G158" s="153"/>
      <c r="H158" s="153"/>
      <c r="I158" s="153"/>
      <c r="J158" s="153"/>
      <c r="K158" s="153"/>
      <c r="M158" s="254"/>
      <c r="N158" s="153"/>
      <c r="O158" s="153"/>
      <c r="P158" s="153"/>
      <c r="Q158" s="255"/>
      <c r="R158" s="255"/>
      <c r="S158" s="255"/>
      <c r="T158" s="255"/>
      <c r="U158" s="255"/>
      <c r="V158" s="255"/>
      <c r="W158" s="255"/>
      <c r="Z158" s="153" t="s">
        <v>13</v>
      </c>
      <c r="AA158" s="153">
        <v>2004</v>
      </c>
      <c r="AB158" s="153" t="s">
        <v>694</v>
      </c>
      <c r="AC158" s="153">
        <v>1839</v>
      </c>
      <c r="AD158" s="153">
        <v>5103</v>
      </c>
      <c r="AE158" s="153">
        <v>617</v>
      </c>
      <c r="AF158" s="153">
        <v>34</v>
      </c>
      <c r="AG158" s="153">
        <v>46</v>
      </c>
      <c r="AH158" s="153">
        <v>6</v>
      </c>
      <c r="AI158" s="153">
        <v>24</v>
      </c>
      <c r="AJ158" s="153">
        <v>7669</v>
      </c>
      <c r="AL158" s="256">
        <f>VLOOKUP(AA158,pgdp!$A$13:$C$90,3,FALSE)</f>
        <v>0.75378638244667995</v>
      </c>
      <c r="AM158" s="153" t="s">
        <v>13</v>
      </c>
      <c r="AN158" s="153">
        <v>2004</v>
      </c>
      <c r="AO158" s="153" t="s">
        <v>694</v>
      </c>
      <c r="AP158" s="255">
        <f t="shared" si="20"/>
        <v>2.4396832349648925</v>
      </c>
      <c r="AQ158" s="255">
        <f t="shared" si="13"/>
        <v>6.7698224839727281</v>
      </c>
      <c r="AR158" s="255">
        <f t="shared" si="14"/>
        <v>0.81853428818561114</v>
      </c>
      <c r="AS158" s="255">
        <f t="shared" si="15"/>
        <v>4.5105617177164957E-2</v>
      </c>
      <c r="AT158" s="255">
        <f t="shared" si="16"/>
        <v>6.1025246769105528E-2</v>
      </c>
      <c r="AU158" s="255">
        <f t="shared" si="17"/>
        <v>7.959814795970287E-3</v>
      </c>
      <c r="AV158" s="255">
        <f t="shared" si="18"/>
        <v>3.1839259183881148E-2</v>
      </c>
      <c r="AW158" s="255">
        <f t="shared" si="19"/>
        <v>10.173969945049354</v>
      </c>
    </row>
    <row r="159" spans="1:49" hidden="1">
      <c r="A159" s="153"/>
      <c r="B159" s="153"/>
      <c r="C159" s="153"/>
      <c r="D159" s="153"/>
      <c r="E159" s="153"/>
      <c r="F159" s="153"/>
      <c r="G159" s="153"/>
      <c r="H159" s="153"/>
      <c r="I159" s="153"/>
      <c r="J159" s="153"/>
      <c r="K159" s="153"/>
      <c r="M159" s="256"/>
      <c r="N159" s="153"/>
      <c r="O159" s="153"/>
      <c r="P159" s="153"/>
      <c r="Q159" s="255"/>
      <c r="R159" s="255"/>
      <c r="S159" s="255"/>
      <c r="T159" s="255"/>
      <c r="U159" s="255"/>
      <c r="V159" s="255"/>
      <c r="W159" s="255"/>
      <c r="Z159" s="153" t="s">
        <v>13</v>
      </c>
      <c r="AA159" s="153">
        <v>2004</v>
      </c>
      <c r="AB159" s="153" t="s">
        <v>695</v>
      </c>
      <c r="AC159" s="153"/>
      <c r="AD159" s="153">
        <v>94</v>
      </c>
      <c r="AE159" s="153"/>
      <c r="AF159" s="153"/>
      <c r="AG159" s="153"/>
      <c r="AH159" s="153"/>
      <c r="AI159" s="153"/>
      <c r="AJ159" s="153">
        <v>94</v>
      </c>
      <c r="AL159" s="256">
        <f>VLOOKUP(AA159,pgdp!$A$13:$C$90,3,FALSE)</f>
        <v>0.75378638244667995</v>
      </c>
      <c r="AM159" s="153" t="s">
        <v>13</v>
      </c>
      <c r="AN159" s="153">
        <v>2004</v>
      </c>
      <c r="AO159" s="153" t="s">
        <v>695</v>
      </c>
      <c r="AP159" s="255">
        <f t="shared" si="20"/>
        <v>0</v>
      </c>
      <c r="AQ159" s="255">
        <f t="shared" si="13"/>
        <v>0.12470376513686782</v>
      </c>
      <c r="AR159" s="255">
        <f t="shared" si="14"/>
        <v>0</v>
      </c>
      <c r="AS159" s="255">
        <f t="shared" si="15"/>
        <v>0</v>
      </c>
      <c r="AT159" s="255">
        <f t="shared" si="16"/>
        <v>0</v>
      </c>
      <c r="AU159" s="255">
        <f t="shared" si="17"/>
        <v>0</v>
      </c>
      <c r="AV159" s="255">
        <f t="shared" si="18"/>
        <v>0</v>
      </c>
      <c r="AW159" s="255">
        <f t="shared" si="19"/>
        <v>0.12470376513686782</v>
      </c>
    </row>
    <row r="160" spans="1:49" s="248" customFormat="1" hidden="1">
      <c r="A160" s="153"/>
      <c r="B160" s="153"/>
      <c r="C160" s="153"/>
      <c r="D160" s="153"/>
      <c r="E160" s="153"/>
      <c r="F160" s="153"/>
      <c r="G160" s="153"/>
      <c r="H160" s="153"/>
      <c r="I160" s="153"/>
      <c r="J160" s="153"/>
      <c r="K160" s="153"/>
      <c r="M160" s="256"/>
      <c r="N160" s="153"/>
      <c r="O160" s="153"/>
      <c r="P160" s="153"/>
      <c r="Q160" s="255"/>
      <c r="R160" s="255"/>
      <c r="S160" s="255"/>
      <c r="T160" s="255"/>
      <c r="U160" s="255"/>
      <c r="V160" s="255"/>
      <c r="W160" s="255"/>
      <c r="Z160" s="153" t="s">
        <v>13</v>
      </c>
      <c r="AA160" s="153">
        <v>2005</v>
      </c>
      <c r="AB160" s="153" t="s">
        <v>689</v>
      </c>
      <c r="AC160" s="153">
        <v>36741</v>
      </c>
      <c r="AD160" s="153">
        <v>34784</v>
      </c>
      <c r="AE160" s="153">
        <v>28430</v>
      </c>
      <c r="AF160" s="153">
        <v>16696</v>
      </c>
      <c r="AG160" s="153">
        <v>1090</v>
      </c>
      <c r="AH160" s="153">
        <v>703</v>
      </c>
      <c r="AI160" s="153">
        <v>1498</v>
      </c>
      <c r="AJ160" s="153">
        <v>119943</v>
      </c>
      <c r="AK160" s="251"/>
      <c r="AL160" s="254">
        <f>VLOOKUP(AA160,pgdp!$A$13:$C$90,3,FALSE)</f>
        <v>0.77750760344715164</v>
      </c>
      <c r="AM160" s="153" t="s">
        <v>13</v>
      </c>
      <c r="AN160" s="153">
        <v>2005</v>
      </c>
      <c r="AO160" s="153" t="s">
        <v>689</v>
      </c>
      <c r="AP160" s="255">
        <f t="shared" si="20"/>
        <v>47.254843344432118</v>
      </c>
      <c r="AQ160" s="255">
        <f t="shared" si="13"/>
        <v>44.737826158589222</v>
      </c>
      <c r="AR160" s="255">
        <f t="shared" si="14"/>
        <v>36.565558811197434</v>
      </c>
      <c r="AS160" s="255">
        <f t="shared" si="15"/>
        <v>21.473744984585032</v>
      </c>
      <c r="AT160" s="255">
        <f t="shared" si="16"/>
        <v>1.401915550622765</v>
      </c>
      <c r="AU160" s="255">
        <f t="shared" si="17"/>
        <v>0.90417122209890255</v>
      </c>
      <c r="AV160" s="255">
        <f t="shared" si="18"/>
        <v>1.926669261314589</v>
      </c>
      <c r="AW160" s="255">
        <f t="shared" si="19"/>
        <v>154.26601549389568</v>
      </c>
    </row>
    <row r="161" spans="1:49" hidden="1">
      <c r="A161" s="153"/>
      <c r="B161" s="153"/>
      <c r="C161" s="153"/>
      <c r="D161" s="153"/>
      <c r="E161" s="153"/>
      <c r="F161" s="153"/>
      <c r="G161" s="153"/>
      <c r="H161" s="153"/>
      <c r="I161" s="153"/>
      <c r="J161" s="153"/>
      <c r="K161" s="153"/>
      <c r="M161" s="254"/>
      <c r="N161" s="153"/>
      <c r="O161" s="153"/>
      <c r="P161" s="153"/>
      <c r="Q161" s="255"/>
      <c r="R161" s="255"/>
      <c r="S161" s="255"/>
      <c r="T161" s="255"/>
      <c r="U161" s="255"/>
      <c r="V161" s="255"/>
      <c r="W161" s="255"/>
      <c r="Z161" s="153" t="s">
        <v>13</v>
      </c>
      <c r="AA161" s="153">
        <v>2005</v>
      </c>
      <c r="AB161" s="153" t="s">
        <v>696</v>
      </c>
      <c r="AC161" s="153">
        <v>1907</v>
      </c>
      <c r="AD161" s="153">
        <v>4113</v>
      </c>
      <c r="AE161" s="153">
        <v>3759</v>
      </c>
      <c r="AF161" s="153">
        <v>204</v>
      </c>
      <c r="AG161" s="153">
        <v>140</v>
      </c>
      <c r="AH161" s="153"/>
      <c r="AI161" s="153">
        <v>32</v>
      </c>
      <c r="AJ161" s="153">
        <v>10155</v>
      </c>
      <c r="AK161" s="248"/>
      <c r="AL161" s="256">
        <f>VLOOKUP(AA161,pgdp!$A$13:$C$90,3,FALSE)</f>
        <v>0.77750760344715164</v>
      </c>
      <c r="AM161" s="153" t="s">
        <v>13</v>
      </c>
      <c r="AN161" s="153">
        <v>2005</v>
      </c>
      <c r="AO161" s="153" t="s">
        <v>696</v>
      </c>
      <c r="AP161" s="255">
        <f t="shared" si="20"/>
        <v>2.4527091330620303</v>
      </c>
      <c r="AQ161" s="255">
        <f t="shared" si="13"/>
        <v>5.2899804217536079</v>
      </c>
      <c r="AR161" s="255">
        <f t="shared" si="14"/>
        <v>4.8346794080651136</v>
      </c>
      <c r="AS161" s="255">
        <f t="shared" si="15"/>
        <v>0.26237685534591199</v>
      </c>
      <c r="AT161" s="255">
        <f t="shared" si="16"/>
        <v>0.1800625477864102</v>
      </c>
      <c r="AU161" s="255">
        <f t="shared" si="17"/>
        <v>0</v>
      </c>
      <c r="AV161" s="255">
        <f t="shared" si="18"/>
        <v>4.1157153779750898E-2</v>
      </c>
      <c r="AW161" s="255">
        <f t="shared" si="19"/>
        <v>13.060965519792823</v>
      </c>
    </row>
    <row r="162" spans="1:49" hidden="1">
      <c r="A162" s="153"/>
      <c r="B162" s="153"/>
      <c r="C162" s="153"/>
      <c r="D162" s="153"/>
      <c r="E162" s="153"/>
      <c r="F162" s="153"/>
      <c r="G162" s="153"/>
      <c r="H162" s="153"/>
      <c r="I162" s="153"/>
      <c r="J162" s="153"/>
      <c r="K162" s="153"/>
      <c r="M162" s="256"/>
      <c r="N162" s="153"/>
      <c r="O162" s="153"/>
      <c r="P162" s="153"/>
      <c r="Q162" s="255"/>
      <c r="R162" s="255"/>
      <c r="S162" s="255"/>
      <c r="T162" s="255"/>
      <c r="U162" s="255"/>
      <c r="V162" s="255"/>
      <c r="W162" s="255"/>
      <c r="Z162" s="153" t="s">
        <v>13</v>
      </c>
      <c r="AA162" s="153">
        <v>2005</v>
      </c>
      <c r="AB162" s="153" t="s">
        <v>697</v>
      </c>
      <c r="AC162" s="153">
        <v>0</v>
      </c>
      <c r="AD162" s="153">
        <v>580</v>
      </c>
      <c r="AE162" s="153">
        <v>7</v>
      </c>
      <c r="AF162" s="153"/>
      <c r="AG162" s="153">
        <v>139</v>
      </c>
      <c r="AH162" s="153">
        <v>9</v>
      </c>
      <c r="AI162" s="153"/>
      <c r="AJ162" s="153">
        <v>735</v>
      </c>
      <c r="AL162" s="254">
        <f>VLOOKUP(AA162,pgdp!$A$13:$C$90,3,FALSE)</f>
        <v>0.77750760344715164</v>
      </c>
      <c r="AM162" s="153" t="s">
        <v>13</v>
      </c>
      <c r="AN162" s="153">
        <v>2005</v>
      </c>
      <c r="AO162" s="153" t="s">
        <v>697</v>
      </c>
      <c r="AP162" s="255">
        <f t="shared" si="20"/>
        <v>0</v>
      </c>
      <c r="AQ162" s="255">
        <f t="shared" si="13"/>
        <v>0.74597341225798508</v>
      </c>
      <c r="AR162" s="255">
        <f t="shared" si="14"/>
        <v>9.0031273893205095E-3</v>
      </c>
      <c r="AS162" s="255">
        <f t="shared" si="15"/>
        <v>0</v>
      </c>
      <c r="AT162" s="255">
        <f t="shared" si="16"/>
        <v>0.17877638673079299</v>
      </c>
      <c r="AU162" s="255">
        <f t="shared" si="17"/>
        <v>1.1575449500554941E-2</v>
      </c>
      <c r="AV162" s="255">
        <f t="shared" si="18"/>
        <v>0</v>
      </c>
      <c r="AW162" s="255">
        <f t="shared" si="19"/>
        <v>0.94532837587865348</v>
      </c>
    </row>
    <row r="163" spans="1:49" s="248" customFormat="1" hidden="1">
      <c r="A163" s="153"/>
      <c r="B163" s="153"/>
      <c r="C163" s="153"/>
      <c r="D163" s="153"/>
      <c r="E163" s="153"/>
      <c r="F163" s="153"/>
      <c r="G163" s="153"/>
      <c r="H163" s="153"/>
      <c r="I163" s="153"/>
      <c r="J163" s="153"/>
      <c r="K163" s="153"/>
      <c r="M163" s="256"/>
      <c r="N163" s="153"/>
      <c r="O163" s="153"/>
      <c r="P163" s="153"/>
      <c r="Q163" s="255"/>
      <c r="R163" s="255"/>
      <c r="S163" s="255"/>
      <c r="T163" s="255"/>
      <c r="U163" s="255"/>
      <c r="V163" s="255"/>
      <c r="W163" s="255"/>
      <c r="Z163" s="153" t="s">
        <v>13</v>
      </c>
      <c r="AA163" s="153">
        <v>2006</v>
      </c>
      <c r="AB163" s="153" t="s">
        <v>689</v>
      </c>
      <c r="AC163" s="153">
        <v>37158</v>
      </c>
      <c r="AD163" s="153">
        <v>35043</v>
      </c>
      <c r="AE163" s="153">
        <v>28635</v>
      </c>
      <c r="AF163" s="153">
        <v>18834</v>
      </c>
      <c r="AG163" s="153">
        <v>1389</v>
      </c>
      <c r="AH163" s="153">
        <v>688</v>
      </c>
      <c r="AI163" s="153">
        <v>1198</v>
      </c>
      <c r="AJ163" s="153">
        <v>122946</v>
      </c>
      <c r="AK163" s="251"/>
      <c r="AL163" s="256">
        <f>VLOOKUP(AA163,pgdp!$A$13:$C$90,3,FALSE)</f>
        <v>0.80275228380407149</v>
      </c>
      <c r="AM163" s="153" t="s">
        <v>13</v>
      </c>
      <c r="AN163" s="153">
        <v>2006</v>
      </c>
      <c r="AO163" s="153" t="s">
        <v>689</v>
      </c>
      <c r="AP163" s="255">
        <f t="shared" si="20"/>
        <v>46.288251992154017</v>
      </c>
      <c r="AQ163" s="255">
        <f t="shared" si="13"/>
        <v>43.65356624578969</v>
      </c>
      <c r="AR163" s="255">
        <f t="shared" si="14"/>
        <v>35.671029005741168</v>
      </c>
      <c r="AS163" s="255">
        <f t="shared" si="15"/>
        <v>23.461783142801785</v>
      </c>
      <c r="AT163" s="255">
        <f t="shared" si="16"/>
        <v>1.7302971639243752</v>
      </c>
      <c r="AU163" s="255">
        <f t="shared" si="17"/>
        <v>0.85705143900645797</v>
      </c>
      <c r="AV163" s="255">
        <f t="shared" si="18"/>
        <v>1.4923657324560125</v>
      </c>
      <c r="AW163" s="255">
        <f t="shared" si="19"/>
        <v>153.15559043617438</v>
      </c>
    </row>
    <row r="164" spans="1:49" hidden="1">
      <c r="A164" s="153"/>
      <c r="B164" s="153"/>
      <c r="C164" s="153"/>
      <c r="D164" s="153"/>
      <c r="E164" s="153"/>
      <c r="F164" s="153"/>
      <c r="G164" s="153"/>
      <c r="H164" s="153"/>
      <c r="I164" s="153"/>
      <c r="J164" s="153"/>
      <c r="K164" s="153"/>
      <c r="M164" s="256"/>
      <c r="N164" s="153"/>
      <c r="O164" s="153"/>
      <c r="P164" s="153"/>
      <c r="Q164" s="255"/>
      <c r="R164" s="255"/>
      <c r="S164" s="255"/>
      <c r="T164" s="255"/>
      <c r="U164" s="255"/>
      <c r="V164" s="255"/>
      <c r="W164" s="255"/>
      <c r="Z164" s="153" t="s">
        <v>13</v>
      </c>
      <c r="AA164" s="153">
        <v>2006</v>
      </c>
      <c r="AB164" s="153" t="s">
        <v>698</v>
      </c>
      <c r="AC164" s="153">
        <v>2893</v>
      </c>
      <c r="AD164" s="153">
        <v>8081</v>
      </c>
      <c r="AE164" s="153">
        <v>5581</v>
      </c>
      <c r="AF164" s="153">
        <v>125</v>
      </c>
      <c r="AG164" s="153"/>
      <c r="AH164" s="153"/>
      <c r="AI164" s="153"/>
      <c r="AJ164" s="153">
        <v>16680</v>
      </c>
      <c r="AK164" s="248"/>
      <c r="AL164" s="256">
        <f>VLOOKUP(AA164,pgdp!$A$13:$C$90,3,FALSE)</f>
        <v>0.80275228380407149</v>
      </c>
      <c r="AM164" s="153" t="s">
        <v>13</v>
      </c>
      <c r="AN164" s="153">
        <v>2006</v>
      </c>
      <c r="AO164" s="153" t="s">
        <v>698</v>
      </c>
      <c r="AP164" s="255">
        <f t="shared" si="20"/>
        <v>3.6038514724501205</v>
      </c>
      <c r="AQ164" s="255">
        <f t="shared" si="13"/>
        <v>10.066617265423236</v>
      </c>
      <c r="AR164" s="255">
        <f t="shared" si="14"/>
        <v>6.9523315132195371</v>
      </c>
      <c r="AS164" s="255">
        <f t="shared" si="15"/>
        <v>0.15571428761018496</v>
      </c>
      <c r="AT164" s="255">
        <f t="shared" si="16"/>
        <v>0</v>
      </c>
      <c r="AU164" s="255">
        <f t="shared" si="17"/>
        <v>0</v>
      </c>
      <c r="AV164" s="255">
        <f t="shared" si="18"/>
        <v>0</v>
      </c>
      <c r="AW164" s="255">
        <f t="shared" si="19"/>
        <v>20.778514538703078</v>
      </c>
    </row>
    <row r="165" spans="1:49" s="248" customFormat="1" hidden="1">
      <c r="A165" s="153"/>
      <c r="B165" s="153"/>
      <c r="C165" s="153"/>
      <c r="D165" s="153"/>
      <c r="E165" s="153"/>
      <c r="F165" s="153"/>
      <c r="G165" s="153"/>
      <c r="H165" s="153"/>
      <c r="I165" s="153"/>
      <c r="J165" s="153"/>
      <c r="K165" s="153"/>
      <c r="M165" s="254"/>
      <c r="N165" s="153"/>
      <c r="O165" s="153"/>
      <c r="P165" s="153"/>
      <c r="Q165" s="255"/>
      <c r="R165" s="255"/>
      <c r="S165" s="255"/>
      <c r="T165" s="255"/>
      <c r="U165" s="255"/>
      <c r="V165" s="255"/>
      <c r="W165" s="255"/>
      <c r="Z165" s="153" t="s">
        <v>13</v>
      </c>
      <c r="AA165" s="153">
        <v>2006</v>
      </c>
      <c r="AB165" s="153" t="s">
        <v>699</v>
      </c>
      <c r="AC165" s="153">
        <v>138</v>
      </c>
      <c r="AD165" s="153">
        <v>1006</v>
      </c>
      <c r="AE165" s="153">
        <v>2621</v>
      </c>
      <c r="AF165" s="153">
        <v>14</v>
      </c>
      <c r="AG165" s="153">
        <v>419</v>
      </c>
      <c r="AH165" s="153">
        <v>135</v>
      </c>
      <c r="AI165" s="153">
        <v>10</v>
      </c>
      <c r="AJ165" s="153">
        <v>4343</v>
      </c>
      <c r="AK165" s="251"/>
      <c r="AL165" s="256">
        <f>VLOOKUP(AA165,pgdp!$A$13:$C$90,3,FALSE)</f>
        <v>0.80275228380407149</v>
      </c>
      <c r="AM165" s="153" t="s">
        <v>13</v>
      </c>
      <c r="AN165" s="153">
        <v>2006</v>
      </c>
      <c r="AO165" s="153" t="s">
        <v>699</v>
      </c>
      <c r="AP165" s="255">
        <f t="shared" si="20"/>
        <v>0.17190857352164418</v>
      </c>
      <c r="AQ165" s="255">
        <f t="shared" si="13"/>
        <v>1.2531885866867685</v>
      </c>
      <c r="AR165" s="255">
        <f t="shared" si="14"/>
        <v>3.2650171826103578</v>
      </c>
      <c r="AS165" s="255">
        <f t="shared" si="15"/>
        <v>1.7440000212340715E-2</v>
      </c>
      <c r="AT165" s="255">
        <f t="shared" si="16"/>
        <v>0.52195429206933996</v>
      </c>
      <c r="AU165" s="255">
        <f t="shared" si="17"/>
        <v>0.16817143061899975</v>
      </c>
      <c r="AV165" s="255">
        <f t="shared" si="18"/>
        <v>1.2457143008814796E-2</v>
      </c>
      <c r="AW165" s="255">
        <f t="shared" si="19"/>
        <v>5.4101372087282664</v>
      </c>
    </row>
    <row r="166" spans="1:49" hidden="1">
      <c r="A166" s="153"/>
      <c r="B166" s="153"/>
      <c r="C166" s="153"/>
      <c r="D166" s="153"/>
      <c r="E166" s="153"/>
      <c r="F166" s="153"/>
      <c r="G166" s="153"/>
      <c r="H166" s="153"/>
      <c r="I166" s="153"/>
      <c r="J166" s="153"/>
      <c r="K166" s="153"/>
      <c r="M166" s="256"/>
      <c r="N166" s="153"/>
      <c r="O166" s="153"/>
      <c r="P166" s="153"/>
      <c r="Q166" s="255"/>
      <c r="R166" s="255"/>
      <c r="S166" s="255"/>
      <c r="T166" s="255"/>
      <c r="U166" s="255"/>
      <c r="V166" s="255"/>
      <c r="W166" s="255"/>
      <c r="Z166" s="153" t="s">
        <v>13</v>
      </c>
      <c r="AA166" s="153">
        <v>2006</v>
      </c>
      <c r="AB166" s="153" t="s">
        <v>700</v>
      </c>
      <c r="AC166" s="153"/>
      <c r="AD166" s="153"/>
      <c r="AE166" s="153"/>
      <c r="AF166" s="153"/>
      <c r="AG166" s="153"/>
      <c r="AH166" s="153"/>
      <c r="AI166" s="153"/>
      <c r="AJ166" s="153">
        <v>0</v>
      </c>
      <c r="AK166" s="248"/>
      <c r="AL166" s="254">
        <f>VLOOKUP(AA166,pgdp!$A$13:$C$90,3,FALSE)</f>
        <v>0.80275228380407149</v>
      </c>
      <c r="AM166" s="153" t="s">
        <v>13</v>
      </c>
      <c r="AN166" s="153">
        <v>2006</v>
      </c>
      <c r="AO166" s="153" t="s">
        <v>700</v>
      </c>
      <c r="AP166" s="255">
        <f t="shared" si="20"/>
        <v>0</v>
      </c>
      <c r="AQ166" s="255">
        <f t="shared" si="13"/>
        <v>0</v>
      </c>
      <c r="AR166" s="255">
        <f t="shared" si="14"/>
        <v>0</v>
      </c>
      <c r="AS166" s="255">
        <f t="shared" si="15"/>
        <v>0</v>
      </c>
      <c r="AT166" s="255">
        <f t="shared" si="16"/>
        <v>0</v>
      </c>
      <c r="AU166" s="255">
        <f t="shared" si="17"/>
        <v>0</v>
      </c>
      <c r="AV166" s="255">
        <f t="shared" si="18"/>
        <v>0</v>
      </c>
      <c r="AW166" s="255">
        <f t="shared" si="19"/>
        <v>0</v>
      </c>
    </row>
    <row r="167" spans="1:49" hidden="1">
      <c r="A167" s="153"/>
      <c r="B167" s="153"/>
      <c r="C167" s="153"/>
      <c r="D167" s="153"/>
      <c r="E167" s="153"/>
      <c r="F167" s="153"/>
      <c r="G167" s="153"/>
      <c r="H167" s="153"/>
      <c r="I167" s="153"/>
      <c r="J167" s="153"/>
      <c r="K167" s="153"/>
      <c r="M167" s="256"/>
      <c r="N167" s="153"/>
      <c r="O167" s="153"/>
      <c r="P167" s="153"/>
      <c r="Q167" s="255"/>
      <c r="R167" s="255"/>
      <c r="S167" s="255"/>
      <c r="T167" s="255"/>
      <c r="U167" s="255"/>
      <c r="V167" s="255"/>
      <c r="W167" s="255"/>
      <c r="Z167" s="153" t="s">
        <v>13</v>
      </c>
      <c r="AA167" s="153">
        <v>2007</v>
      </c>
      <c r="AB167" s="153" t="s">
        <v>689</v>
      </c>
      <c r="AC167" s="153">
        <v>37844</v>
      </c>
      <c r="AD167" s="153">
        <v>36334</v>
      </c>
      <c r="AE167" s="153">
        <v>29677</v>
      </c>
      <c r="AF167" s="153">
        <v>19034</v>
      </c>
      <c r="AG167" s="153">
        <v>1894</v>
      </c>
      <c r="AH167" s="153">
        <v>637</v>
      </c>
      <c r="AI167" s="153">
        <v>1151</v>
      </c>
      <c r="AJ167" s="153">
        <v>126572</v>
      </c>
      <c r="AL167" s="256">
        <f>VLOOKUP(AA167,pgdp!$A$13:$C$90,3,FALSE)</f>
        <v>0.82459421647952613</v>
      </c>
      <c r="AM167" s="153" t="s">
        <v>13</v>
      </c>
      <c r="AN167" s="153">
        <v>2007</v>
      </c>
      <c r="AO167" s="153" t="s">
        <v>689</v>
      </c>
      <c r="AP167" s="255">
        <f t="shared" si="20"/>
        <v>45.894088563425704</v>
      </c>
      <c r="AQ167" s="255">
        <f t="shared" si="13"/>
        <v>44.062884839433188</v>
      </c>
      <c r="AR167" s="255">
        <f t="shared" si="14"/>
        <v>35.989823123792007</v>
      </c>
      <c r="AS167" s="255">
        <f t="shared" si="15"/>
        <v>23.08286866388978</v>
      </c>
      <c r="AT167" s="255">
        <f t="shared" si="16"/>
        <v>2.2968873200277002</v>
      </c>
      <c r="AU167" s="255">
        <f t="shared" si="17"/>
        <v>0.77250117363128035</v>
      </c>
      <c r="AV167" s="255">
        <f t="shared" si="18"/>
        <v>1.3958380704075413</v>
      </c>
      <c r="AW167" s="255">
        <f t="shared" si="19"/>
        <v>153.49610447230521</v>
      </c>
    </row>
    <row r="168" spans="1:49" hidden="1">
      <c r="A168" s="153"/>
      <c r="B168" s="153"/>
      <c r="C168" s="153"/>
      <c r="D168" s="153"/>
      <c r="E168" s="153"/>
      <c r="F168" s="153"/>
      <c r="G168" s="153"/>
      <c r="H168" s="153"/>
      <c r="I168" s="153"/>
      <c r="J168" s="153"/>
      <c r="K168" s="153"/>
      <c r="M168" s="254"/>
      <c r="N168" s="153"/>
      <c r="O168" s="153"/>
      <c r="P168" s="153"/>
      <c r="Q168" s="255"/>
      <c r="R168" s="255"/>
      <c r="S168" s="255"/>
      <c r="T168" s="255"/>
      <c r="U168" s="255"/>
      <c r="V168" s="255"/>
      <c r="W168" s="255"/>
      <c r="Z168" s="153" t="s">
        <v>13</v>
      </c>
      <c r="AA168" s="153">
        <v>2007</v>
      </c>
      <c r="AB168" s="153" t="s">
        <v>701</v>
      </c>
      <c r="AC168" s="153">
        <v>2992</v>
      </c>
      <c r="AD168" s="153">
        <v>10310</v>
      </c>
      <c r="AE168" s="153">
        <v>10358</v>
      </c>
      <c r="AF168" s="153">
        <v>530</v>
      </c>
      <c r="AG168" s="153">
        <v>371</v>
      </c>
      <c r="AH168" s="153"/>
      <c r="AI168" s="153">
        <v>5</v>
      </c>
      <c r="AJ168" s="153">
        <v>24566</v>
      </c>
      <c r="AK168" s="248"/>
      <c r="AL168" s="256">
        <f>VLOOKUP(AA168,pgdp!$A$13:$C$90,3,FALSE)</f>
        <v>0.82459421647952613</v>
      </c>
      <c r="AM168" s="153" t="s">
        <v>13</v>
      </c>
      <c r="AN168" s="153">
        <v>2007</v>
      </c>
      <c r="AO168" s="153" t="s">
        <v>701</v>
      </c>
      <c r="AP168" s="255">
        <f t="shared" si="20"/>
        <v>3.628451352440802</v>
      </c>
      <c r="AQ168" s="255">
        <f t="shared" si="13"/>
        <v>12.503119466465463</v>
      </c>
      <c r="AR168" s="255">
        <f t="shared" si="14"/>
        <v>12.561329915969862</v>
      </c>
      <c r="AS168" s="255">
        <f t="shared" si="15"/>
        <v>0.64274037994439337</v>
      </c>
      <c r="AT168" s="255">
        <f t="shared" si="16"/>
        <v>0.44991826596107537</v>
      </c>
      <c r="AU168" s="255">
        <f t="shared" si="17"/>
        <v>0</v>
      </c>
      <c r="AV168" s="255">
        <f t="shared" si="18"/>
        <v>6.0635884900414466E-3</v>
      </c>
      <c r="AW168" s="255">
        <f t="shared" si="19"/>
        <v>29.791622969271636</v>
      </c>
    </row>
    <row r="169" spans="1:49" s="248" customFormat="1" hidden="1">
      <c r="A169" s="153"/>
      <c r="B169" s="153"/>
      <c r="C169" s="153"/>
      <c r="D169" s="153"/>
      <c r="E169" s="153"/>
      <c r="F169" s="153"/>
      <c r="G169" s="153"/>
      <c r="H169" s="153"/>
      <c r="I169" s="153"/>
      <c r="J169" s="153"/>
      <c r="K169" s="153"/>
      <c r="M169" s="256"/>
      <c r="N169" s="153"/>
      <c r="O169" s="153"/>
      <c r="P169" s="153"/>
      <c r="Q169" s="255"/>
      <c r="R169" s="255"/>
      <c r="S169" s="255"/>
      <c r="T169" s="255"/>
      <c r="U169" s="255"/>
      <c r="V169" s="255"/>
      <c r="W169" s="255"/>
      <c r="Z169" s="153" t="s">
        <v>13</v>
      </c>
      <c r="AA169" s="153">
        <v>2007</v>
      </c>
      <c r="AB169" s="153" t="s">
        <v>702</v>
      </c>
      <c r="AC169" s="153"/>
      <c r="AD169" s="153"/>
      <c r="AE169" s="153"/>
      <c r="AF169" s="153"/>
      <c r="AG169" s="153"/>
      <c r="AH169" s="153"/>
      <c r="AI169" s="153"/>
      <c r="AJ169" s="153">
        <v>0</v>
      </c>
      <c r="AK169" s="251"/>
      <c r="AL169" s="254">
        <f>VLOOKUP(AA169,pgdp!$A$13:$C$90,3,FALSE)</f>
        <v>0.82459421647952613</v>
      </c>
      <c r="AM169" s="153" t="s">
        <v>13</v>
      </c>
      <c r="AN169" s="153">
        <v>2007</v>
      </c>
      <c r="AO169" s="153" t="s">
        <v>702</v>
      </c>
      <c r="AP169" s="255">
        <f t="shared" si="20"/>
        <v>0</v>
      </c>
      <c r="AQ169" s="255">
        <f t="shared" si="13"/>
        <v>0</v>
      </c>
      <c r="AR169" s="255">
        <f t="shared" si="14"/>
        <v>0</v>
      </c>
      <c r="AS169" s="255">
        <f t="shared" si="15"/>
        <v>0</v>
      </c>
      <c r="AT169" s="255">
        <f t="shared" si="16"/>
        <v>0</v>
      </c>
      <c r="AU169" s="255">
        <f t="shared" si="17"/>
        <v>0</v>
      </c>
      <c r="AV169" s="255">
        <f t="shared" si="18"/>
        <v>0</v>
      </c>
      <c r="AW169" s="255">
        <f t="shared" si="19"/>
        <v>0</v>
      </c>
    </row>
    <row r="170" spans="1:49" hidden="1">
      <c r="A170" s="153"/>
      <c r="B170" s="153"/>
      <c r="C170" s="153"/>
      <c r="D170" s="153"/>
      <c r="E170" s="153"/>
      <c r="F170" s="153"/>
      <c r="G170" s="153"/>
      <c r="H170" s="153"/>
      <c r="I170" s="153"/>
      <c r="J170" s="153"/>
      <c r="K170" s="153"/>
      <c r="M170" s="254"/>
      <c r="N170" s="153"/>
      <c r="O170" s="153"/>
      <c r="P170" s="153"/>
      <c r="Q170" s="255"/>
      <c r="R170" s="255"/>
      <c r="S170" s="255"/>
      <c r="T170" s="255"/>
      <c r="U170" s="255"/>
      <c r="V170" s="255"/>
      <c r="W170" s="255"/>
      <c r="Z170" s="153" t="s">
        <v>13</v>
      </c>
      <c r="AA170" s="153">
        <v>2008</v>
      </c>
      <c r="AB170" s="153" t="s">
        <v>689</v>
      </c>
      <c r="AC170" s="153">
        <v>39702</v>
      </c>
      <c r="AD170" s="153">
        <v>39907</v>
      </c>
      <c r="AE170" s="153">
        <v>39033</v>
      </c>
      <c r="AF170" s="153">
        <v>18101</v>
      </c>
      <c r="AG170" s="153">
        <v>2900</v>
      </c>
      <c r="AH170" s="153">
        <v>665</v>
      </c>
      <c r="AI170" s="153">
        <v>1386</v>
      </c>
      <c r="AJ170" s="153">
        <v>141694</v>
      </c>
      <c r="AL170" s="256">
        <f>VLOOKUP(AA170,pgdp!$A$13:$C$90,3,FALSE)</f>
        <v>0.84165483055935886</v>
      </c>
      <c r="AM170" s="153" t="s">
        <v>13</v>
      </c>
      <c r="AN170" s="153">
        <v>2008</v>
      </c>
      <c r="AO170" s="153" t="s">
        <v>689</v>
      </c>
      <c r="AP170" s="255">
        <f t="shared" si="20"/>
        <v>47.171356426023578</v>
      </c>
      <c r="AQ170" s="255">
        <f t="shared" si="13"/>
        <v>47.414924207680293</v>
      </c>
      <c r="AR170" s="255">
        <f t="shared" si="14"/>
        <v>46.376493762958503</v>
      </c>
      <c r="AS170" s="255">
        <f t="shared" si="15"/>
        <v>21.506441052527652</v>
      </c>
      <c r="AT170" s="255">
        <f t="shared" si="16"/>
        <v>3.4455930088022866</v>
      </c>
      <c r="AU170" s="255">
        <f t="shared" si="17"/>
        <v>0.7901101209839726</v>
      </c>
      <c r="AV170" s="255">
        <f t="shared" si="18"/>
        <v>1.6467558311034376</v>
      </c>
      <c r="AW170" s="255">
        <f t="shared" si="19"/>
        <v>168.35167441007971</v>
      </c>
    </row>
    <row r="171" spans="1:49" hidden="1">
      <c r="A171" s="153"/>
      <c r="B171" s="153"/>
      <c r="C171" s="153"/>
      <c r="D171" s="153"/>
      <c r="E171" s="153"/>
      <c r="F171" s="153"/>
      <c r="G171" s="153"/>
      <c r="H171" s="153"/>
      <c r="I171" s="153"/>
      <c r="J171" s="153"/>
      <c r="K171" s="153"/>
      <c r="M171" s="256"/>
      <c r="N171" s="153"/>
      <c r="O171" s="153"/>
      <c r="P171" s="153"/>
      <c r="Q171" s="255"/>
      <c r="R171" s="255"/>
      <c r="S171" s="255"/>
      <c r="T171" s="255"/>
      <c r="U171" s="255"/>
      <c r="V171" s="255"/>
      <c r="W171" s="255"/>
      <c r="Z171" s="153" t="s">
        <v>13</v>
      </c>
      <c r="AA171" s="153">
        <v>2008</v>
      </c>
      <c r="AB171" s="153" t="s">
        <v>703</v>
      </c>
      <c r="AC171" s="153">
        <v>2962</v>
      </c>
      <c r="AD171" s="153">
        <v>10813</v>
      </c>
      <c r="AE171" s="153">
        <v>8320</v>
      </c>
      <c r="AF171" s="153">
        <v>337</v>
      </c>
      <c r="AG171" s="153">
        <v>476</v>
      </c>
      <c r="AH171" s="153">
        <v>12</v>
      </c>
      <c r="AI171" s="153">
        <v>256</v>
      </c>
      <c r="AJ171" s="153">
        <v>23176</v>
      </c>
      <c r="AK171" s="248"/>
      <c r="AL171" s="254">
        <f>VLOOKUP(AA171,pgdp!$A$13:$C$90,3,FALSE)</f>
        <v>0.84165483055935886</v>
      </c>
      <c r="AM171" s="153" t="s">
        <v>13</v>
      </c>
      <c r="AN171" s="153">
        <v>2008</v>
      </c>
      <c r="AO171" s="153" t="s">
        <v>703</v>
      </c>
      <c r="AP171" s="255">
        <f t="shared" si="20"/>
        <v>3.5192574110594386</v>
      </c>
      <c r="AQ171" s="255">
        <f t="shared" si="13"/>
        <v>12.847309380751422</v>
      </c>
      <c r="AR171" s="255">
        <f t="shared" si="14"/>
        <v>9.885287528701733</v>
      </c>
      <c r="AS171" s="255">
        <f t="shared" si="15"/>
        <v>0.40040167033323121</v>
      </c>
      <c r="AT171" s="255">
        <f t="shared" si="16"/>
        <v>0.56555250765168563</v>
      </c>
      <c r="AU171" s="255">
        <f t="shared" si="17"/>
        <v>1.4257626243319808E-2</v>
      </c>
      <c r="AV171" s="255">
        <f t="shared" si="18"/>
        <v>0.30416269319082256</v>
      </c>
      <c r="AW171" s="255">
        <f t="shared" si="19"/>
        <v>27.536228817931654</v>
      </c>
    </row>
    <row r="172" spans="1:49" s="248" customFormat="1" hidden="1">
      <c r="A172" s="153"/>
      <c r="B172" s="153"/>
      <c r="C172" s="153"/>
      <c r="D172" s="153"/>
      <c r="E172" s="153"/>
      <c r="F172" s="153"/>
      <c r="G172" s="153"/>
      <c r="H172" s="153"/>
      <c r="I172" s="153"/>
      <c r="J172" s="153"/>
      <c r="K172" s="153"/>
      <c r="M172" s="256"/>
      <c r="N172" s="153"/>
      <c r="O172" s="153"/>
      <c r="P172" s="153"/>
      <c r="Q172" s="255"/>
      <c r="R172" s="255"/>
      <c r="S172" s="255"/>
      <c r="T172" s="255"/>
      <c r="U172" s="255"/>
      <c r="V172" s="255"/>
      <c r="W172" s="255"/>
      <c r="Z172" s="153" t="s">
        <v>13</v>
      </c>
      <c r="AA172" s="153">
        <v>2009</v>
      </c>
      <c r="AB172" s="153" t="s">
        <v>689</v>
      </c>
      <c r="AC172" s="153">
        <v>41498</v>
      </c>
      <c r="AD172" s="153">
        <v>42529</v>
      </c>
      <c r="AE172" s="153">
        <v>38719</v>
      </c>
      <c r="AF172" s="153">
        <v>19707</v>
      </c>
      <c r="AG172" s="153">
        <v>4367</v>
      </c>
      <c r="AH172" s="153">
        <v>756</v>
      </c>
      <c r="AI172" s="153">
        <v>1668</v>
      </c>
      <c r="AJ172" s="153">
        <v>149245</v>
      </c>
      <c r="AK172" s="251"/>
      <c r="AL172" s="256">
        <f>VLOOKUP(AA172,pgdp!$A$13:$C$90,3,FALSE)</f>
        <v>0.85147741466177274</v>
      </c>
      <c r="AM172" s="153" t="s">
        <v>13</v>
      </c>
      <c r="AN172" s="153">
        <v>2009</v>
      </c>
      <c r="AO172" s="153" t="s">
        <v>689</v>
      </c>
      <c r="AP172" s="255">
        <f t="shared" si="20"/>
        <v>48.736465918457746</v>
      </c>
      <c r="AQ172" s="255">
        <f t="shared" si="13"/>
        <v>49.947302497616498</v>
      </c>
      <c r="AR172" s="255">
        <f t="shared" si="14"/>
        <v>45.472726972306262</v>
      </c>
      <c r="AS172" s="255">
        <f t="shared" si="15"/>
        <v>23.144477658081037</v>
      </c>
      <c r="AT172" s="255">
        <f t="shared" si="16"/>
        <v>5.1287326296666098</v>
      </c>
      <c r="AU172" s="255">
        <f t="shared" si="17"/>
        <v>0.88786852943163663</v>
      </c>
      <c r="AV172" s="255">
        <f t="shared" si="18"/>
        <v>1.9589480252539284</v>
      </c>
      <c r="AW172" s="255">
        <f t="shared" si="19"/>
        <v>175.27769666008547</v>
      </c>
    </row>
    <row r="173" spans="1:49" hidden="1">
      <c r="A173" s="153"/>
      <c r="B173" s="153"/>
      <c r="C173" s="153"/>
      <c r="D173" s="153"/>
      <c r="E173" s="153"/>
      <c r="F173" s="153"/>
      <c r="G173" s="153"/>
      <c r="H173" s="153"/>
      <c r="I173" s="153"/>
      <c r="J173" s="153"/>
      <c r="K173" s="153"/>
      <c r="M173" s="256"/>
      <c r="N173" s="153"/>
      <c r="O173" s="153"/>
      <c r="P173" s="153"/>
      <c r="Q173" s="255"/>
      <c r="R173" s="255"/>
      <c r="S173" s="255"/>
      <c r="T173" s="255"/>
      <c r="U173" s="255"/>
      <c r="V173" s="255"/>
      <c r="W173" s="255"/>
      <c r="Z173" s="153" t="s">
        <v>13</v>
      </c>
      <c r="AA173" s="153">
        <v>2009</v>
      </c>
      <c r="AB173" s="153" t="s">
        <v>704</v>
      </c>
      <c r="AC173" s="153">
        <v>0</v>
      </c>
      <c r="AD173" s="153">
        <v>866</v>
      </c>
      <c r="AE173" s="153">
        <v>0</v>
      </c>
      <c r="AF173" s="153">
        <v>75</v>
      </c>
      <c r="AG173" s="153">
        <v>280</v>
      </c>
      <c r="AH173" s="153">
        <v>0</v>
      </c>
      <c r="AI173" s="153">
        <v>0</v>
      </c>
      <c r="AJ173" s="153">
        <v>1221</v>
      </c>
      <c r="AL173" s="254">
        <f>VLOOKUP(AA173,pgdp!$A$13:$C$90,3,FALSE)</f>
        <v>0.85147741466177274</v>
      </c>
      <c r="AM173" s="153" t="s">
        <v>13</v>
      </c>
      <c r="AN173" s="153">
        <v>2009</v>
      </c>
      <c r="AO173" s="153" t="s">
        <v>704</v>
      </c>
      <c r="AP173" s="255">
        <f t="shared" si="20"/>
        <v>0</v>
      </c>
      <c r="AQ173" s="255">
        <f t="shared" si="13"/>
        <v>1.0170557493224832</v>
      </c>
      <c r="AR173" s="255">
        <f t="shared" si="14"/>
        <v>0</v>
      </c>
      <c r="AS173" s="255">
        <f t="shared" si="15"/>
        <v>8.8082195380122685E-2</v>
      </c>
      <c r="AT173" s="255">
        <f t="shared" si="16"/>
        <v>0.32884019608579129</v>
      </c>
      <c r="AU173" s="255">
        <f t="shared" si="17"/>
        <v>0</v>
      </c>
      <c r="AV173" s="255">
        <f t="shared" si="18"/>
        <v>0</v>
      </c>
      <c r="AW173" s="255">
        <f t="shared" si="19"/>
        <v>1.4339781407883971</v>
      </c>
    </row>
    <row r="174" spans="1:49" s="248" customFormat="1" hidden="1">
      <c r="A174" s="153"/>
      <c r="B174" s="153"/>
      <c r="C174" s="153"/>
      <c r="D174" s="153"/>
      <c r="E174" s="153"/>
      <c r="F174" s="153"/>
      <c r="G174" s="153"/>
      <c r="H174" s="153"/>
      <c r="I174" s="153"/>
      <c r="J174" s="153"/>
      <c r="K174" s="153"/>
      <c r="M174" s="254"/>
      <c r="N174" s="153"/>
      <c r="O174" s="153"/>
      <c r="P174" s="153"/>
      <c r="Q174" s="255"/>
      <c r="R174" s="255"/>
      <c r="S174" s="255"/>
      <c r="T174" s="255"/>
      <c r="U174" s="255"/>
      <c r="V174" s="255"/>
      <c r="W174" s="255"/>
      <c r="Z174" s="153" t="s">
        <v>13</v>
      </c>
      <c r="AA174" s="153">
        <v>2009</v>
      </c>
      <c r="AB174" s="153" t="s">
        <v>705</v>
      </c>
      <c r="AC174" s="153">
        <v>130</v>
      </c>
      <c r="AD174" s="153">
        <v>6323</v>
      </c>
      <c r="AE174" s="153">
        <v>529</v>
      </c>
      <c r="AF174" s="153">
        <v>102</v>
      </c>
      <c r="AG174" s="153">
        <v>0</v>
      </c>
      <c r="AH174" s="153">
        <v>0</v>
      </c>
      <c r="AI174" s="153">
        <v>0</v>
      </c>
      <c r="AJ174" s="153">
        <v>7084</v>
      </c>
      <c r="AL174" s="256">
        <f>VLOOKUP(AA174,pgdp!$A$13:$C$90,3,FALSE)</f>
        <v>0.85147741466177274</v>
      </c>
      <c r="AM174" s="153" t="s">
        <v>13</v>
      </c>
      <c r="AN174" s="153">
        <v>2009</v>
      </c>
      <c r="AO174" s="153" t="s">
        <v>705</v>
      </c>
      <c r="AP174" s="255">
        <f t="shared" si="20"/>
        <v>0.15267580532554598</v>
      </c>
      <c r="AQ174" s="255">
        <f t="shared" si="13"/>
        <v>7.4259162851802092</v>
      </c>
      <c r="AR174" s="255">
        <f t="shared" si="14"/>
        <v>0.62127308474779863</v>
      </c>
      <c r="AS174" s="255">
        <f t="shared" si="15"/>
        <v>0.11979178571696684</v>
      </c>
      <c r="AT174" s="255">
        <f t="shared" si="16"/>
        <v>0</v>
      </c>
      <c r="AU174" s="255">
        <f t="shared" si="17"/>
        <v>0</v>
      </c>
      <c r="AV174" s="255">
        <f t="shared" si="18"/>
        <v>0</v>
      </c>
      <c r="AW174" s="255">
        <f t="shared" si="19"/>
        <v>8.3196569609705211</v>
      </c>
    </row>
    <row r="175" spans="1:49" hidden="1">
      <c r="A175" s="153"/>
      <c r="B175" s="153"/>
      <c r="C175" s="153"/>
      <c r="D175" s="153"/>
      <c r="E175" s="153"/>
      <c r="F175" s="153"/>
      <c r="G175" s="153"/>
      <c r="H175" s="153"/>
      <c r="I175" s="153"/>
      <c r="J175" s="153"/>
      <c r="K175" s="153"/>
      <c r="M175" s="256"/>
      <c r="N175" s="153"/>
      <c r="O175" s="153"/>
      <c r="P175" s="153"/>
      <c r="Q175" s="255"/>
      <c r="R175" s="255"/>
      <c r="S175" s="255"/>
      <c r="T175" s="255"/>
      <c r="U175" s="255"/>
      <c r="V175" s="255"/>
      <c r="W175" s="255"/>
      <c r="Z175" s="153" t="s">
        <v>13</v>
      </c>
      <c r="AA175" s="153">
        <v>2009</v>
      </c>
      <c r="AB175" s="153" t="s">
        <v>706</v>
      </c>
      <c r="AC175" s="153">
        <v>3221</v>
      </c>
      <c r="AD175" s="153">
        <v>2420</v>
      </c>
      <c r="AE175" s="153">
        <v>2728</v>
      </c>
      <c r="AF175" s="153">
        <v>-80</v>
      </c>
      <c r="AG175" s="153">
        <v>236</v>
      </c>
      <c r="AH175" s="153">
        <v>0</v>
      </c>
      <c r="AI175" s="153">
        <v>0</v>
      </c>
      <c r="AJ175" s="153">
        <v>8525</v>
      </c>
      <c r="AL175" s="256">
        <f>VLOOKUP(AA175,pgdp!$A$13:$C$90,3,FALSE)</f>
        <v>0.85147741466177274</v>
      </c>
      <c r="AM175" s="153" t="s">
        <v>13</v>
      </c>
      <c r="AN175" s="153">
        <v>2009</v>
      </c>
      <c r="AO175" s="153" t="s">
        <v>706</v>
      </c>
      <c r="AP175" s="255">
        <f t="shared" si="20"/>
        <v>3.7828366842583354</v>
      </c>
      <c r="AQ175" s="255">
        <f t="shared" si="13"/>
        <v>2.8421188375986248</v>
      </c>
      <c r="AR175" s="255">
        <f t="shared" si="14"/>
        <v>3.2038430532929958</v>
      </c>
      <c r="AS175" s="255">
        <f t="shared" si="15"/>
        <v>-9.395434173879752E-2</v>
      </c>
      <c r="AT175" s="255">
        <f t="shared" si="16"/>
        <v>0.27716530812945267</v>
      </c>
      <c r="AU175" s="255">
        <f t="shared" si="17"/>
        <v>0</v>
      </c>
      <c r="AV175" s="255">
        <f t="shared" si="18"/>
        <v>0</v>
      </c>
      <c r="AW175" s="255">
        <f t="shared" si="19"/>
        <v>10.012009541540611</v>
      </c>
    </row>
    <row r="176" spans="1:49" s="248" customFormat="1" hidden="1">
      <c r="A176" s="153"/>
      <c r="B176" s="153"/>
      <c r="C176" s="153"/>
      <c r="D176" s="153"/>
      <c r="E176" s="153"/>
      <c r="F176" s="153"/>
      <c r="G176" s="153"/>
      <c r="H176" s="153"/>
      <c r="I176" s="153"/>
      <c r="J176" s="153"/>
      <c r="K176" s="153"/>
      <c r="M176" s="256"/>
      <c r="N176" s="153"/>
      <c r="O176" s="153"/>
      <c r="P176" s="153"/>
      <c r="Q176" s="255"/>
      <c r="R176" s="255"/>
      <c r="S176" s="255"/>
      <c r="T176" s="255"/>
      <c r="U176" s="255"/>
      <c r="V176" s="255"/>
      <c r="W176" s="255"/>
      <c r="Z176" s="153" t="s">
        <v>13</v>
      </c>
      <c r="AA176" s="153">
        <v>2010</v>
      </c>
      <c r="AB176" s="153" t="s">
        <v>689</v>
      </c>
      <c r="AC176" s="153">
        <v>44183</v>
      </c>
      <c r="AD176" s="153">
        <v>41674</v>
      </c>
      <c r="AE176" s="153">
        <v>43197</v>
      </c>
      <c r="AF176" s="153">
        <v>19745</v>
      </c>
      <c r="AG176" s="153">
        <v>4324</v>
      </c>
      <c r="AH176" s="153">
        <v>515</v>
      </c>
      <c r="AI176" s="153">
        <v>1668</v>
      </c>
      <c r="AJ176" s="153">
        <v>155307</v>
      </c>
      <c r="AK176" s="251"/>
      <c r="AL176" s="254">
        <f>VLOOKUP(AA176,pgdp!$A$13:$C$90,3,FALSE)</f>
        <v>0.85894343086456204</v>
      </c>
      <c r="AM176" s="153" t="s">
        <v>13</v>
      </c>
      <c r="AN176" s="153">
        <v>2010</v>
      </c>
      <c r="AO176" s="153" t="s">
        <v>689</v>
      </c>
      <c r="AP176" s="255">
        <f t="shared" si="20"/>
        <v>51.438777470511631</v>
      </c>
      <c r="AQ176" s="255">
        <f t="shared" ref="AQ176:AQ239" si="21">AD176/$AL176/1000</f>
        <v>48.517746923162797</v>
      </c>
      <c r="AR176" s="255">
        <f t="shared" ref="AR176:AR239" si="22">AE176/$AL176/1000</f>
        <v>50.290855541581394</v>
      </c>
      <c r="AS176" s="255">
        <f t="shared" ref="AS176:AS239" si="23">AF176/$AL176/1000</f>
        <v>22.98754410418605</v>
      </c>
      <c r="AT176" s="255">
        <f t="shared" ref="AT176:AT239" si="24">AG176/$AL176/1000</f>
        <v>5.0340917045581399</v>
      </c>
      <c r="AU176" s="255">
        <f t="shared" ref="AU176:AU239" si="25">AH176/$AL176/1000</f>
        <v>0.59957382697674422</v>
      </c>
      <c r="AV176" s="255">
        <f t="shared" ref="AV176:AV239" si="26">AI176/$AL176/1000</f>
        <v>1.9419206667906979</v>
      </c>
      <c r="AW176" s="255">
        <f t="shared" ref="AW176:AW239" si="27">AJ176/$AL176/1000</f>
        <v>180.81167445879072</v>
      </c>
    </row>
    <row r="177" spans="1:49" hidden="1">
      <c r="A177" s="153"/>
      <c r="B177" s="153"/>
      <c r="C177" s="153"/>
      <c r="D177" s="153"/>
      <c r="E177" s="153"/>
      <c r="F177" s="153"/>
      <c r="G177" s="153"/>
      <c r="H177" s="153"/>
      <c r="I177" s="153"/>
      <c r="J177" s="153"/>
      <c r="K177" s="153"/>
      <c r="M177" s="254"/>
      <c r="N177" s="153"/>
      <c r="O177" s="153"/>
      <c r="P177" s="153"/>
      <c r="Q177" s="255"/>
      <c r="R177" s="255"/>
      <c r="S177" s="255"/>
      <c r="T177" s="255"/>
      <c r="U177" s="255"/>
      <c r="V177" s="255"/>
      <c r="W177" s="255"/>
      <c r="Z177" s="153" t="s">
        <v>13</v>
      </c>
      <c r="AA177" s="153">
        <v>2010</v>
      </c>
      <c r="AB177" s="153" t="s">
        <v>707</v>
      </c>
      <c r="AC177" s="153">
        <v>2532</v>
      </c>
      <c r="AD177" s="153">
        <v>13265</v>
      </c>
      <c r="AE177" s="153">
        <v>4733</v>
      </c>
      <c r="AF177" s="153">
        <v>193</v>
      </c>
      <c r="AG177" s="153">
        <v>0</v>
      </c>
      <c r="AH177" s="153">
        <v>0</v>
      </c>
      <c r="AI177" s="153">
        <v>204</v>
      </c>
      <c r="AJ177" s="153">
        <v>20926</v>
      </c>
      <c r="AK177" s="248"/>
      <c r="AL177" s="256">
        <f>VLOOKUP(AA177,pgdp!$A$13:$C$90,3,FALSE)</f>
        <v>0.85894343086456204</v>
      </c>
      <c r="AM177" s="153" t="s">
        <v>13</v>
      </c>
      <c r="AN177" s="153">
        <v>2010</v>
      </c>
      <c r="AO177" s="153" t="s">
        <v>707</v>
      </c>
      <c r="AP177" s="255">
        <f t="shared" ref="AP177:AP240" si="28">AC177/$AL177/1000</f>
        <v>2.9478076308837213</v>
      </c>
      <c r="AQ177" s="255">
        <f t="shared" si="21"/>
        <v>15.443391873488373</v>
      </c>
      <c r="AR177" s="255">
        <f t="shared" si="22"/>
        <v>5.5102581030697682</v>
      </c>
      <c r="AS177" s="255">
        <f t="shared" si="23"/>
        <v>0.22469465748837211</v>
      </c>
      <c r="AT177" s="255">
        <f t="shared" si="24"/>
        <v>0</v>
      </c>
      <c r="AU177" s="255">
        <f t="shared" si="25"/>
        <v>0</v>
      </c>
      <c r="AV177" s="255">
        <f t="shared" si="26"/>
        <v>0.23750108874418607</v>
      </c>
      <c r="AW177" s="255">
        <f t="shared" si="27"/>
        <v>24.362489132651163</v>
      </c>
    </row>
    <row r="178" spans="1:49" hidden="1">
      <c r="A178" s="153"/>
      <c r="B178" s="153"/>
      <c r="C178" s="153"/>
      <c r="D178" s="153"/>
      <c r="E178" s="153"/>
      <c r="F178" s="153"/>
      <c r="G178" s="153"/>
      <c r="H178" s="153"/>
      <c r="I178" s="153"/>
      <c r="J178" s="153"/>
      <c r="K178" s="153"/>
      <c r="M178" s="256"/>
      <c r="N178" s="153"/>
      <c r="O178" s="153"/>
      <c r="P178" s="153"/>
      <c r="Q178" s="255"/>
      <c r="R178" s="255"/>
      <c r="S178" s="255"/>
      <c r="T178" s="255"/>
      <c r="U178" s="255"/>
      <c r="V178" s="255"/>
      <c r="W178" s="255"/>
      <c r="Z178" s="153" t="s">
        <v>13</v>
      </c>
      <c r="AA178" s="153">
        <v>2010</v>
      </c>
      <c r="AB178" s="153" t="s">
        <v>708</v>
      </c>
      <c r="AC178" s="153">
        <v>0</v>
      </c>
      <c r="AD178" s="153">
        <v>218</v>
      </c>
      <c r="AE178" s="153">
        <v>0</v>
      </c>
      <c r="AF178" s="153">
        <v>0</v>
      </c>
      <c r="AG178" s="153">
        <v>0</v>
      </c>
      <c r="AH178" s="153">
        <v>0</v>
      </c>
      <c r="AI178" s="153">
        <v>0</v>
      </c>
      <c r="AJ178" s="153">
        <v>218</v>
      </c>
      <c r="AL178" s="256">
        <f>VLOOKUP(AA178,pgdp!$A$13:$C$90,3,FALSE)</f>
        <v>0.85894343086456204</v>
      </c>
      <c r="AM178" s="153" t="s">
        <v>13</v>
      </c>
      <c r="AN178" s="153">
        <v>2010</v>
      </c>
      <c r="AO178" s="153" t="s">
        <v>708</v>
      </c>
      <c r="AP178" s="255">
        <f t="shared" si="28"/>
        <v>0</v>
      </c>
      <c r="AQ178" s="255">
        <f t="shared" si="21"/>
        <v>0.25380018306976748</v>
      </c>
      <c r="AR178" s="255">
        <f t="shared" si="22"/>
        <v>0</v>
      </c>
      <c r="AS178" s="255">
        <f t="shared" si="23"/>
        <v>0</v>
      </c>
      <c r="AT178" s="255">
        <f t="shared" si="24"/>
        <v>0</v>
      </c>
      <c r="AU178" s="255">
        <f t="shared" si="25"/>
        <v>0</v>
      </c>
      <c r="AV178" s="255">
        <f t="shared" si="26"/>
        <v>0</v>
      </c>
      <c r="AW178" s="255">
        <f t="shared" si="27"/>
        <v>0.25380018306976748</v>
      </c>
    </row>
    <row r="179" spans="1:49" s="248" customFormat="1" hidden="1">
      <c r="A179" s="153"/>
      <c r="B179" s="153"/>
      <c r="C179" s="153"/>
      <c r="D179" s="153"/>
      <c r="E179" s="153"/>
      <c r="F179" s="153"/>
      <c r="G179" s="153"/>
      <c r="H179" s="153"/>
      <c r="I179" s="153"/>
      <c r="J179" s="153"/>
      <c r="K179" s="153"/>
      <c r="M179" s="254"/>
      <c r="N179" s="153"/>
      <c r="O179" s="153"/>
      <c r="P179" s="153"/>
      <c r="Q179" s="255"/>
      <c r="R179" s="255"/>
      <c r="S179" s="255"/>
      <c r="T179" s="255"/>
      <c r="U179" s="255"/>
      <c r="V179" s="255"/>
      <c r="W179" s="255"/>
      <c r="Z179" s="153" t="s">
        <v>13</v>
      </c>
      <c r="AA179" s="153">
        <v>2011</v>
      </c>
      <c r="AB179" s="153" t="s">
        <v>689</v>
      </c>
      <c r="AC179" s="153">
        <v>45198</v>
      </c>
      <c r="AD179" s="153">
        <v>45165</v>
      </c>
      <c r="AE179" s="153">
        <v>42155</v>
      </c>
      <c r="AF179" s="153">
        <v>17643</v>
      </c>
      <c r="AG179" s="153">
        <v>3791</v>
      </c>
      <c r="AH179" s="153">
        <v>552</v>
      </c>
      <c r="AI179" s="153">
        <v>1475</v>
      </c>
      <c r="AJ179" s="153">
        <v>155978</v>
      </c>
      <c r="AL179" s="254">
        <f>VLOOKUP(AA179,pgdp!$A$13:$C$90,3,FALSE)</f>
        <v>0.87638757317399019</v>
      </c>
      <c r="AM179" s="153" t="s">
        <v>13</v>
      </c>
      <c r="AN179" s="153">
        <v>2011</v>
      </c>
      <c r="AO179" s="153" t="s">
        <v>689</v>
      </c>
      <c r="AP179" s="255">
        <f t="shared" si="28"/>
        <v>51.57307267184035</v>
      </c>
      <c r="AQ179" s="255">
        <f t="shared" si="21"/>
        <v>51.535418098669624</v>
      </c>
      <c r="AR179" s="255">
        <f t="shared" si="22"/>
        <v>48.10086460643015</v>
      </c>
      <c r="AS179" s="255">
        <f t="shared" si="23"/>
        <v>20.13150407427938</v>
      </c>
      <c r="AT179" s="255">
        <f t="shared" si="24"/>
        <v>4.3257117239467844</v>
      </c>
      <c r="AU179" s="255">
        <f t="shared" si="25"/>
        <v>0.62985831485587584</v>
      </c>
      <c r="AV179" s="255">
        <f t="shared" si="26"/>
        <v>1.6830453159645233</v>
      </c>
      <c r="AW179" s="255">
        <f t="shared" si="27"/>
        <v>177.97833375831485</v>
      </c>
    </row>
    <row r="180" spans="1:49" hidden="1">
      <c r="A180" s="153"/>
      <c r="B180" s="153"/>
      <c r="C180" s="153"/>
      <c r="D180" s="153"/>
      <c r="E180" s="153"/>
      <c r="F180" s="153"/>
      <c r="G180" s="153"/>
      <c r="H180" s="153"/>
      <c r="I180" s="153"/>
      <c r="J180" s="153"/>
      <c r="K180" s="153"/>
      <c r="M180" s="256"/>
      <c r="N180" s="153"/>
      <c r="O180" s="153"/>
      <c r="P180" s="153"/>
      <c r="Q180" s="255"/>
      <c r="R180" s="255"/>
      <c r="S180" s="255"/>
      <c r="T180" s="255"/>
      <c r="U180" s="255"/>
      <c r="V180" s="255"/>
      <c r="W180" s="255"/>
      <c r="Z180" s="153" t="s">
        <v>13</v>
      </c>
      <c r="AA180" s="153">
        <v>2011</v>
      </c>
      <c r="AB180" s="153" t="s">
        <v>709</v>
      </c>
      <c r="AC180" s="153">
        <v>2162</v>
      </c>
      <c r="AD180" s="153">
        <v>13377</v>
      </c>
      <c r="AE180" s="153">
        <v>4630</v>
      </c>
      <c r="AF180" s="153">
        <v>289</v>
      </c>
      <c r="AG180" s="153">
        <v>0</v>
      </c>
      <c r="AH180" s="153">
        <v>0</v>
      </c>
      <c r="AI180" s="153">
        <v>0</v>
      </c>
      <c r="AJ180" s="153">
        <v>20459</v>
      </c>
      <c r="AL180" s="256">
        <f>VLOOKUP(AA180,pgdp!$A$13:$C$90,3,FALSE)</f>
        <v>0.87638757317399019</v>
      </c>
      <c r="AM180" s="153" t="s">
        <v>13</v>
      </c>
      <c r="AN180" s="153">
        <v>2011</v>
      </c>
      <c r="AO180" s="153" t="s">
        <v>709</v>
      </c>
      <c r="AP180" s="255">
        <f t="shared" si="28"/>
        <v>2.4669450665188468</v>
      </c>
      <c r="AQ180" s="255">
        <f t="shared" si="21"/>
        <v>15.263794706208424</v>
      </c>
      <c r="AR180" s="255">
        <f t="shared" si="22"/>
        <v>5.2830507206208424</v>
      </c>
      <c r="AS180" s="255">
        <f t="shared" si="23"/>
        <v>0.32976277716186253</v>
      </c>
      <c r="AT180" s="255">
        <f t="shared" si="24"/>
        <v>0</v>
      </c>
      <c r="AU180" s="255">
        <f t="shared" si="25"/>
        <v>0</v>
      </c>
      <c r="AV180" s="255">
        <f t="shared" si="26"/>
        <v>0</v>
      </c>
      <c r="AW180" s="255">
        <f t="shared" si="27"/>
        <v>23.344694318181816</v>
      </c>
    </row>
    <row r="181" spans="1:49" hidden="1">
      <c r="A181" s="153"/>
      <c r="B181" s="153"/>
      <c r="C181" s="153"/>
      <c r="D181" s="153"/>
      <c r="E181" s="153"/>
      <c r="F181" s="153"/>
      <c r="G181" s="153"/>
      <c r="H181" s="153"/>
      <c r="I181" s="153"/>
      <c r="J181" s="153"/>
      <c r="K181" s="153"/>
      <c r="M181" s="254"/>
      <c r="N181" s="153"/>
      <c r="O181" s="153"/>
      <c r="P181" s="153"/>
      <c r="Q181" s="255"/>
      <c r="R181" s="255"/>
      <c r="S181" s="255"/>
      <c r="T181" s="255"/>
      <c r="U181" s="255"/>
      <c r="V181" s="255"/>
      <c r="W181" s="255"/>
      <c r="Z181" s="153" t="s">
        <v>13</v>
      </c>
      <c r="AA181" s="153">
        <v>2012</v>
      </c>
      <c r="AB181" s="153" t="s">
        <v>689</v>
      </c>
      <c r="AC181" s="153">
        <v>45740</v>
      </c>
      <c r="AD181" s="153">
        <v>47064</v>
      </c>
      <c r="AE181" s="153">
        <v>43728</v>
      </c>
      <c r="AF181" s="153">
        <v>17604</v>
      </c>
      <c r="AG181" s="153">
        <v>2243</v>
      </c>
      <c r="AH181" s="153">
        <v>469</v>
      </c>
      <c r="AI181" s="153">
        <v>1070</v>
      </c>
      <c r="AJ181" s="153">
        <v>157917</v>
      </c>
      <c r="AK181" s="248"/>
      <c r="AL181" s="256">
        <f>VLOOKUP(AA181,pgdp!$A$13:$C$90,3,FALSE)</f>
        <v>0.89246166741880806</v>
      </c>
      <c r="AM181" s="153" t="s">
        <v>13</v>
      </c>
      <c r="AN181" s="153">
        <v>2012</v>
      </c>
      <c r="AO181" s="153" t="s">
        <v>689</v>
      </c>
      <c r="AP181" s="255">
        <f t="shared" si="28"/>
        <v>51.251500954982149</v>
      </c>
      <c r="AQ181" s="255">
        <f t="shared" si="21"/>
        <v>52.73503806176825</v>
      </c>
      <c r="AR181" s="255">
        <f t="shared" si="22"/>
        <v>48.997062390893298</v>
      </c>
      <c r="AS181" s="255">
        <f t="shared" si="23"/>
        <v>19.725216939473235</v>
      </c>
      <c r="AT181" s="255">
        <f t="shared" si="24"/>
        <v>2.5132732103634661</v>
      </c>
      <c r="AU181" s="255">
        <f t="shared" si="25"/>
        <v>0.52551276667876312</v>
      </c>
      <c r="AV181" s="255">
        <f t="shared" si="26"/>
        <v>1.1989310455144488</v>
      </c>
      <c r="AW181" s="255">
        <f t="shared" si="27"/>
        <v>176.9454148733694</v>
      </c>
    </row>
    <row r="182" spans="1:49" s="248" customFormat="1" hidden="1">
      <c r="A182" s="153"/>
      <c r="B182" s="153"/>
      <c r="C182" s="153"/>
      <c r="D182" s="153"/>
      <c r="E182" s="153"/>
      <c r="F182" s="153"/>
      <c r="G182" s="153"/>
      <c r="H182" s="153"/>
      <c r="I182" s="153"/>
      <c r="J182" s="153"/>
      <c r="K182" s="153"/>
      <c r="M182" s="256"/>
      <c r="N182" s="153"/>
      <c r="O182" s="153"/>
      <c r="P182" s="153"/>
      <c r="Q182" s="255"/>
      <c r="R182" s="255"/>
      <c r="S182" s="255"/>
      <c r="T182" s="255"/>
      <c r="U182" s="255"/>
      <c r="V182" s="255"/>
      <c r="W182" s="255"/>
      <c r="Z182" s="153" t="s">
        <v>13</v>
      </c>
      <c r="AA182" s="153">
        <v>2012</v>
      </c>
      <c r="AB182" s="153" t="s">
        <v>710</v>
      </c>
      <c r="AC182" s="153">
        <v>1974</v>
      </c>
      <c r="AD182" s="153">
        <v>11167</v>
      </c>
      <c r="AE182" s="153">
        <v>2309</v>
      </c>
      <c r="AF182" s="153">
        <v>54</v>
      </c>
      <c r="AG182" s="153">
        <v>190</v>
      </c>
      <c r="AH182" s="153">
        <v>0</v>
      </c>
      <c r="AI182" s="153">
        <v>0</v>
      </c>
      <c r="AJ182" s="153">
        <v>15693</v>
      </c>
      <c r="AK182" s="251"/>
      <c r="AL182" s="254">
        <f>VLOOKUP(AA182,pgdp!$A$13:$C$90,3,FALSE)</f>
        <v>0.89246166741880806</v>
      </c>
      <c r="AM182" s="153" t="s">
        <v>13</v>
      </c>
      <c r="AN182" s="153">
        <v>2012</v>
      </c>
      <c r="AO182" s="153" t="s">
        <v>710</v>
      </c>
      <c r="AP182" s="255">
        <f t="shared" si="28"/>
        <v>2.2118597045285253</v>
      </c>
      <c r="AQ182" s="255">
        <f t="shared" si="21"/>
        <v>12.512582229214814</v>
      </c>
      <c r="AR182" s="255">
        <f t="shared" si="22"/>
        <v>2.5872259664419279</v>
      </c>
      <c r="AS182" s="255">
        <f t="shared" si="23"/>
        <v>6.0506800427832005E-2</v>
      </c>
      <c r="AT182" s="255">
        <f t="shared" si="24"/>
        <v>0.21289429780163113</v>
      </c>
      <c r="AU182" s="255">
        <f t="shared" si="25"/>
        <v>0</v>
      </c>
      <c r="AV182" s="255">
        <f t="shared" si="26"/>
        <v>0</v>
      </c>
      <c r="AW182" s="255">
        <f t="shared" si="27"/>
        <v>17.583948502110513</v>
      </c>
    </row>
    <row r="183" spans="1:49" hidden="1">
      <c r="A183" s="153"/>
      <c r="B183" s="153"/>
      <c r="C183" s="153"/>
      <c r="D183" s="153"/>
      <c r="E183" s="153"/>
      <c r="F183" s="153"/>
      <c r="G183" s="153"/>
      <c r="H183" s="153"/>
      <c r="I183" s="153"/>
      <c r="J183" s="153"/>
      <c r="K183" s="153"/>
      <c r="M183" s="256"/>
      <c r="N183" s="153"/>
      <c r="O183" s="153"/>
      <c r="P183" s="153"/>
      <c r="Q183" s="255"/>
      <c r="R183" s="255"/>
      <c r="S183" s="255"/>
      <c r="T183" s="255"/>
      <c r="U183" s="255"/>
      <c r="V183" s="255"/>
      <c r="W183" s="255"/>
      <c r="Z183" s="153" t="s">
        <v>13</v>
      </c>
      <c r="AA183" s="153">
        <v>2013</v>
      </c>
      <c r="AB183" s="153" t="s">
        <v>689</v>
      </c>
      <c r="AC183" s="153">
        <v>43885</v>
      </c>
      <c r="AD183" s="153">
        <v>49152</v>
      </c>
      <c r="AE183" s="153">
        <v>39036</v>
      </c>
      <c r="AF183" s="153">
        <v>15126</v>
      </c>
      <c r="AG183" s="153">
        <v>1572</v>
      </c>
      <c r="AH183" s="153">
        <v>424</v>
      </c>
      <c r="AI183" s="153">
        <v>697</v>
      </c>
      <c r="AJ183" s="153">
        <v>149892</v>
      </c>
      <c r="AL183" s="256">
        <f>VLOOKUP(AA183,pgdp!$A$13:$C$90,3,FALSE)</f>
        <v>0.9075385882666781</v>
      </c>
      <c r="AM183" s="153" t="s">
        <v>13</v>
      </c>
      <c r="AN183" s="153">
        <v>2013</v>
      </c>
      <c r="AO183" s="153" t="s">
        <v>689</v>
      </c>
      <c r="AP183" s="255">
        <f t="shared" si="28"/>
        <v>48.356070548820014</v>
      </c>
      <c r="AQ183" s="255">
        <f t="shared" si="21"/>
        <v>54.159680519895204</v>
      </c>
      <c r="AR183" s="255">
        <f t="shared" si="22"/>
        <v>43.013047053520282</v>
      </c>
      <c r="AS183" s="255">
        <f t="shared" si="23"/>
        <v>16.667059886554664</v>
      </c>
      <c r="AT183" s="255">
        <f t="shared" si="24"/>
        <v>1.7321577510025077</v>
      </c>
      <c r="AU183" s="255">
        <f t="shared" si="25"/>
        <v>0.46719776490143977</v>
      </c>
      <c r="AV183" s="255">
        <f t="shared" si="26"/>
        <v>0.76801142013279122</v>
      </c>
      <c r="AW183" s="255">
        <f t="shared" si="27"/>
        <v>165.16322494482691</v>
      </c>
    </row>
    <row r="184" spans="1:49" hidden="1">
      <c r="A184" s="153"/>
      <c r="B184" s="153"/>
      <c r="C184" s="153"/>
      <c r="D184" s="153"/>
      <c r="E184" s="153"/>
      <c r="F184" s="153"/>
      <c r="G184" s="153"/>
      <c r="H184" s="153"/>
      <c r="I184" s="153"/>
      <c r="J184" s="153"/>
      <c r="K184" s="153"/>
      <c r="M184" s="254"/>
      <c r="N184" s="153"/>
      <c r="O184" s="153"/>
      <c r="P184" s="153"/>
      <c r="Q184" s="255"/>
      <c r="R184" s="255"/>
      <c r="S184" s="255"/>
      <c r="T184" s="255"/>
      <c r="U184" s="255"/>
      <c r="V184" s="255"/>
      <c r="W184" s="255"/>
      <c r="Z184" s="153" t="s">
        <v>13</v>
      </c>
      <c r="AA184" s="153">
        <v>2013</v>
      </c>
      <c r="AB184" s="153" t="s">
        <v>711</v>
      </c>
      <c r="AC184" s="153">
        <v>2298</v>
      </c>
      <c r="AD184" s="153">
        <v>8472</v>
      </c>
      <c r="AE184" s="153">
        <v>1097</v>
      </c>
      <c r="AF184" s="153">
        <v>48</v>
      </c>
      <c r="AG184" s="153">
        <v>143</v>
      </c>
      <c r="AH184" s="153">
        <v>0</v>
      </c>
      <c r="AI184" s="153">
        <v>0</v>
      </c>
      <c r="AJ184" s="153">
        <v>12058</v>
      </c>
      <c r="AK184" s="248"/>
      <c r="AL184" s="254">
        <f>VLOOKUP(AA184,pgdp!$A$13:$C$90,3,FALSE)</f>
        <v>0.9075385882666781</v>
      </c>
      <c r="AM184" s="153" t="s">
        <v>13</v>
      </c>
      <c r="AN184" s="153">
        <v>2013</v>
      </c>
      <c r="AO184" s="153" t="s">
        <v>711</v>
      </c>
      <c r="AP184" s="255">
        <f t="shared" si="28"/>
        <v>2.5321237352441242</v>
      </c>
      <c r="AQ184" s="255">
        <f t="shared" si="21"/>
        <v>9.3351402458608419</v>
      </c>
      <c r="AR184" s="255">
        <f t="shared" si="22"/>
        <v>1.208764028530376</v>
      </c>
      <c r="AS184" s="255">
        <f t="shared" si="23"/>
        <v>5.289031300771016E-2</v>
      </c>
      <c r="AT184" s="255">
        <f t="shared" si="24"/>
        <v>0.15756905750213654</v>
      </c>
      <c r="AU184" s="255">
        <f t="shared" si="25"/>
        <v>0</v>
      </c>
      <c r="AV184" s="255">
        <f t="shared" si="26"/>
        <v>0</v>
      </c>
      <c r="AW184" s="255">
        <f t="shared" si="27"/>
        <v>13.286487380145191</v>
      </c>
    </row>
    <row r="185" spans="1:49" s="248" customFormat="1" hidden="1">
      <c r="A185" s="153"/>
      <c r="B185" s="153"/>
      <c r="C185" s="153"/>
      <c r="D185" s="153"/>
      <c r="E185" s="153"/>
      <c r="F185" s="153"/>
      <c r="G185" s="153"/>
      <c r="H185" s="153"/>
      <c r="I185" s="153"/>
      <c r="J185" s="153"/>
      <c r="K185" s="153"/>
      <c r="M185" s="256"/>
      <c r="N185" s="153"/>
      <c r="O185" s="153"/>
      <c r="P185" s="153"/>
      <c r="Q185" s="255"/>
      <c r="R185" s="255"/>
      <c r="S185" s="255"/>
      <c r="T185" s="255"/>
      <c r="U185" s="255"/>
      <c r="V185" s="255"/>
      <c r="W185" s="255"/>
      <c r="Z185" s="153" t="s">
        <v>13</v>
      </c>
      <c r="AA185" s="153">
        <v>2013</v>
      </c>
      <c r="AB185" s="153" t="s">
        <v>712</v>
      </c>
      <c r="AC185" s="153">
        <v>0</v>
      </c>
      <c r="AD185" s="153">
        <v>40</v>
      </c>
      <c r="AE185" s="153">
        <v>0</v>
      </c>
      <c r="AF185" s="153">
        <v>0</v>
      </c>
      <c r="AG185" s="153">
        <v>0</v>
      </c>
      <c r="AH185" s="153">
        <v>0</v>
      </c>
      <c r="AI185" s="153">
        <v>24</v>
      </c>
      <c r="AJ185" s="153">
        <v>64</v>
      </c>
      <c r="AK185" s="251"/>
      <c r="AL185" s="256">
        <f>VLOOKUP(AA185,pgdp!$A$13:$C$90,3,FALSE)</f>
        <v>0.9075385882666781</v>
      </c>
      <c r="AM185" s="153" t="s">
        <v>13</v>
      </c>
      <c r="AN185" s="153">
        <v>2013</v>
      </c>
      <c r="AO185" s="153" t="s">
        <v>712</v>
      </c>
      <c r="AP185" s="255">
        <f t="shared" si="28"/>
        <v>0</v>
      </c>
      <c r="AQ185" s="255">
        <f t="shared" si="21"/>
        <v>4.4075260839758462E-2</v>
      </c>
      <c r="AR185" s="255">
        <f t="shared" si="22"/>
        <v>0</v>
      </c>
      <c r="AS185" s="255">
        <f t="shared" si="23"/>
        <v>0</v>
      </c>
      <c r="AT185" s="255">
        <f t="shared" si="24"/>
        <v>0</v>
      </c>
      <c r="AU185" s="255">
        <f t="shared" si="25"/>
        <v>0</v>
      </c>
      <c r="AV185" s="255">
        <f t="shared" si="26"/>
        <v>2.644515650385508E-2</v>
      </c>
      <c r="AW185" s="255">
        <f t="shared" si="27"/>
        <v>7.0520417343613542E-2</v>
      </c>
    </row>
    <row r="186" spans="1:49" hidden="1">
      <c r="A186" s="153"/>
      <c r="B186" s="153"/>
      <c r="C186" s="153"/>
      <c r="D186" s="153"/>
      <c r="E186" s="153"/>
      <c r="F186" s="153"/>
      <c r="G186" s="153"/>
      <c r="H186" s="153"/>
      <c r="I186" s="153"/>
      <c r="J186" s="153"/>
      <c r="K186" s="153"/>
      <c r="M186" s="256"/>
      <c r="N186" s="153"/>
      <c r="O186" s="153"/>
      <c r="P186" s="153"/>
      <c r="Q186" s="255"/>
      <c r="R186" s="255"/>
      <c r="S186" s="255"/>
      <c r="T186" s="255"/>
      <c r="U186" s="255"/>
      <c r="V186" s="255"/>
      <c r="W186" s="255"/>
      <c r="Z186" s="153" t="s">
        <v>13</v>
      </c>
      <c r="AA186" s="153">
        <v>2014</v>
      </c>
      <c r="AB186" s="153" t="s">
        <v>689</v>
      </c>
      <c r="AC186" s="153">
        <v>44600</v>
      </c>
      <c r="AD186" s="153">
        <v>43613</v>
      </c>
      <c r="AE186" s="153">
        <v>41490</v>
      </c>
      <c r="AF186" s="153">
        <v>14994</v>
      </c>
      <c r="AG186" s="153">
        <v>1791</v>
      </c>
      <c r="AH186" s="153">
        <v>453</v>
      </c>
      <c r="AI186" s="153">
        <v>573</v>
      </c>
      <c r="AJ186" s="153">
        <v>147514</v>
      </c>
      <c r="AK186" s="248"/>
      <c r="AL186" s="254">
        <f>VLOOKUP(AA186,pgdp!$A$13:$C$90,3,FALSE)</f>
        <v>0.9240281714268912</v>
      </c>
      <c r="AM186" s="153" t="s">
        <v>13</v>
      </c>
      <c r="AN186" s="153">
        <v>2014</v>
      </c>
      <c r="AO186" s="153" t="s">
        <v>689</v>
      </c>
      <c r="AP186" s="255">
        <f t="shared" si="28"/>
        <v>48.266926679441326</v>
      </c>
      <c r="AQ186" s="255">
        <f t="shared" si="21"/>
        <v>47.198777427589121</v>
      </c>
      <c r="AR186" s="255">
        <f t="shared" si="22"/>
        <v>44.901228428924227</v>
      </c>
      <c r="AS186" s="255">
        <f t="shared" si="23"/>
        <v>16.226777996222943</v>
      </c>
      <c r="AT186" s="255">
        <f t="shared" si="24"/>
        <v>1.938252593786534</v>
      </c>
      <c r="AU186" s="255">
        <f t="shared" si="25"/>
        <v>0.49024479340329419</v>
      </c>
      <c r="AV186" s="255">
        <f t="shared" si="26"/>
        <v>0.62011096384125286</v>
      </c>
      <c r="AW186" s="255">
        <f t="shared" si="27"/>
        <v>159.6423188832087</v>
      </c>
    </row>
    <row r="187" spans="1:49" s="248" customFormat="1" hidden="1">
      <c r="A187" s="153"/>
      <c r="B187" s="153"/>
      <c r="C187" s="153"/>
      <c r="D187" s="153"/>
      <c r="E187" s="153"/>
      <c r="F187" s="153"/>
      <c r="G187" s="153"/>
      <c r="H187" s="153"/>
      <c r="I187" s="153"/>
      <c r="J187" s="153"/>
      <c r="K187" s="153"/>
      <c r="M187" s="254"/>
      <c r="N187" s="153"/>
      <c r="O187" s="153"/>
      <c r="P187" s="153"/>
      <c r="Q187" s="255"/>
      <c r="R187" s="255"/>
      <c r="S187" s="255"/>
      <c r="T187" s="255"/>
      <c r="U187" s="255"/>
      <c r="V187" s="255"/>
      <c r="W187" s="255"/>
      <c r="Z187" s="153" t="s">
        <v>13</v>
      </c>
      <c r="AA187" s="153">
        <v>2014</v>
      </c>
      <c r="AB187" s="153" t="s">
        <v>713</v>
      </c>
      <c r="AC187" s="153">
        <v>1393</v>
      </c>
      <c r="AD187" s="153">
        <v>12262</v>
      </c>
      <c r="AE187" s="153">
        <v>732</v>
      </c>
      <c r="AF187" s="153">
        <v>34</v>
      </c>
      <c r="AG187" s="153">
        <v>0</v>
      </c>
      <c r="AH187" s="153">
        <v>0</v>
      </c>
      <c r="AI187" s="153"/>
      <c r="AJ187" s="153">
        <v>14421</v>
      </c>
      <c r="AK187" s="251"/>
      <c r="AL187" s="256">
        <f>VLOOKUP(AA187,pgdp!$A$13:$C$90,3,FALSE)</f>
        <v>0.9240281714268912</v>
      </c>
      <c r="AM187" s="153" t="s">
        <v>13</v>
      </c>
      <c r="AN187" s="153">
        <v>2014</v>
      </c>
      <c r="AO187" s="153" t="s">
        <v>713</v>
      </c>
      <c r="AP187" s="255">
        <f t="shared" si="28"/>
        <v>1.5075297951673041</v>
      </c>
      <c r="AQ187" s="255">
        <f t="shared" si="21"/>
        <v>13.270158182585416</v>
      </c>
      <c r="AR187" s="255">
        <f t="shared" si="22"/>
        <v>0.79218363967154826</v>
      </c>
      <c r="AS187" s="255">
        <f t="shared" si="23"/>
        <v>3.679541495742164E-2</v>
      </c>
      <c r="AT187" s="255">
        <f t="shared" si="24"/>
        <v>0</v>
      </c>
      <c r="AU187" s="255">
        <f t="shared" si="25"/>
        <v>0</v>
      </c>
      <c r="AV187" s="255">
        <f t="shared" si="26"/>
        <v>0</v>
      </c>
      <c r="AW187" s="255">
        <f t="shared" si="27"/>
        <v>15.60666703238169</v>
      </c>
    </row>
    <row r="188" spans="1:49" hidden="1">
      <c r="A188" s="153"/>
      <c r="B188" s="153"/>
      <c r="C188" s="153"/>
      <c r="D188" s="153"/>
      <c r="E188" s="153"/>
      <c r="F188" s="153"/>
      <c r="G188" s="153"/>
      <c r="H188" s="153"/>
      <c r="I188" s="153"/>
      <c r="J188" s="153"/>
      <c r="K188" s="153"/>
      <c r="M188" s="256"/>
      <c r="N188" s="153"/>
      <c r="O188" s="153"/>
      <c r="P188" s="153"/>
      <c r="Q188" s="255"/>
      <c r="R188" s="255"/>
      <c r="S188" s="255"/>
      <c r="T188" s="255"/>
      <c r="U188" s="255"/>
      <c r="V188" s="255"/>
      <c r="W188" s="255"/>
      <c r="Z188" s="153" t="s">
        <v>13</v>
      </c>
      <c r="AA188" s="153">
        <v>2014</v>
      </c>
      <c r="AB188" s="153" t="s">
        <v>714</v>
      </c>
      <c r="AC188" s="153"/>
      <c r="AD188" s="153"/>
      <c r="AE188" s="153"/>
      <c r="AF188" s="153"/>
      <c r="AG188" s="153"/>
      <c r="AH188" s="153"/>
      <c r="AI188" s="153"/>
      <c r="AJ188" s="153"/>
      <c r="AK188" s="248"/>
      <c r="AL188" s="256">
        <f>VLOOKUP(AA188,pgdp!$A$13:$C$90,3,FALSE)</f>
        <v>0.9240281714268912</v>
      </c>
      <c r="AM188" s="153" t="s">
        <v>13</v>
      </c>
      <c r="AN188" s="153">
        <v>2014</v>
      </c>
      <c r="AO188" s="153" t="s">
        <v>714</v>
      </c>
      <c r="AP188" s="255">
        <f t="shared" si="28"/>
        <v>0</v>
      </c>
      <c r="AQ188" s="255">
        <f t="shared" si="21"/>
        <v>0</v>
      </c>
      <c r="AR188" s="255">
        <f t="shared" si="22"/>
        <v>0</v>
      </c>
      <c r="AS188" s="255">
        <f t="shared" si="23"/>
        <v>0</v>
      </c>
      <c r="AT188" s="255">
        <f t="shared" si="24"/>
        <v>0</v>
      </c>
      <c r="AU188" s="255">
        <f t="shared" si="25"/>
        <v>0</v>
      </c>
      <c r="AV188" s="255">
        <f t="shared" si="26"/>
        <v>0</v>
      </c>
      <c r="AW188" s="255">
        <f t="shared" si="27"/>
        <v>0</v>
      </c>
    </row>
    <row r="189" spans="1:49" s="248" customFormat="1" hidden="1">
      <c r="A189" s="153"/>
      <c r="B189" s="153"/>
      <c r="C189" s="153"/>
      <c r="D189" s="153"/>
      <c r="E189" s="153"/>
      <c r="F189" s="153"/>
      <c r="G189" s="153"/>
      <c r="H189" s="153"/>
      <c r="I189" s="153"/>
      <c r="J189" s="153"/>
      <c r="K189" s="153"/>
      <c r="M189" s="256"/>
      <c r="N189" s="153"/>
      <c r="O189" s="153"/>
      <c r="P189" s="153"/>
      <c r="Q189" s="255"/>
      <c r="R189" s="255"/>
      <c r="S189" s="255"/>
      <c r="T189" s="255"/>
      <c r="U189" s="255"/>
      <c r="V189" s="255"/>
      <c r="W189" s="255"/>
      <c r="Z189" s="153" t="s">
        <v>13</v>
      </c>
      <c r="AA189" s="153">
        <v>2015</v>
      </c>
      <c r="AB189" s="153" t="s">
        <v>689</v>
      </c>
      <c r="AC189" s="153">
        <v>45101</v>
      </c>
      <c r="AD189" s="153">
        <v>45248</v>
      </c>
      <c r="AE189" s="153">
        <v>41152</v>
      </c>
      <c r="AF189" s="153">
        <v>15827</v>
      </c>
      <c r="AG189" s="153">
        <v>1249</v>
      </c>
      <c r="AH189" s="153">
        <v>370</v>
      </c>
      <c r="AI189" s="153">
        <v>485</v>
      </c>
      <c r="AJ189" s="153">
        <v>149433</v>
      </c>
      <c r="AK189" s="251"/>
      <c r="AL189" s="254">
        <f>VLOOKUP(AA189,pgdp!$A$13:$C$90,3,FALSE)</f>
        <v>0.9351696664966358</v>
      </c>
      <c r="AM189" s="153" t="s">
        <v>13</v>
      </c>
      <c r="AN189" s="153">
        <v>2015</v>
      </c>
      <c r="AO189" s="153" t="s">
        <v>689</v>
      </c>
      <c r="AP189" s="255">
        <f t="shared" si="28"/>
        <v>48.227612181818188</v>
      </c>
      <c r="AQ189" s="255">
        <f t="shared" si="21"/>
        <v>48.384802909090908</v>
      </c>
      <c r="AR189" s="255">
        <f t="shared" si="22"/>
        <v>44.004849038961041</v>
      </c>
      <c r="AS189" s="255">
        <f t="shared" si="23"/>
        <v>16.924201636363637</v>
      </c>
      <c r="AT189" s="255">
        <f t="shared" si="24"/>
        <v>1.3355865194805194</v>
      </c>
      <c r="AU189" s="255">
        <f t="shared" si="25"/>
        <v>0.39565012987012987</v>
      </c>
      <c r="AV189" s="255">
        <f t="shared" si="26"/>
        <v>0.51862246753246755</v>
      </c>
      <c r="AW189" s="255">
        <f t="shared" si="27"/>
        <v>159.7923942077922</v>
      </c>
    </row>
    <row r="190" spans="1:49" hidden="1">
      <c r="A190" s="153"/>
      <c r="B190" s="153"/>
      <c r="C190" s="153"/>
      <c r="D190" s="153"/>
      <c r="E190" s="153"/>
      <c r="F190" s="153"/>
      <c r="G190" s="153"/>
      <c r="H190" s="153"/>
      <c r="I190" s="153"/>
      <c r="J190" s="153"/>
      <c r="K190" s="153"/>
      <c r="M190" s="254"/>
      <c r="N190" s="153"/>
      <c r="O190" s="153"/>
      <c r="P190" s="153"/>
      <c r="Q190" s="255"/>
      <c r="R190" s="255"/>
      <c r="S190" s="255"/>
      <c r="T190" s="255"/>
      <c r="U190" s="255"/>
      <c r="V190" s="255"/>
      <c r="W190" s="255"/>
      <c r="Z190" s="153" t="s">
        <v>13</v>
      </c>
      <c r="AA190" s="153">
        <v>2015</v>
      </c>
      <c r="AB190" s="153" t="s">
        <v>715</v>
      </c>
      <c r="AC190" s="153">
        <v>717</v>
      </c>
      <c r="AD190" s="153">
        <v>8991</v>
      </c>
      <c r="AE190" s="153">
        <v>654</v>
      </c>
      <c r="AF190" s="153">
        <v>37</v>
      </c>
      <c r="AG190" s="153">
        <v>0</v>
      </c>
      <c r="AH190" s="153">
        <v>0</v>
      </c>
      <c r="AI190" s="153">
        <v>0</v>
      </c>
      <c r="AJ190" s="153">
        <v>10398</v>
      </c>
      <c r="AL190" s="256">
        <f>VLOOKUP(AA190,pgdp!$A$13:$C$90,3,FALSE)</f>
        <v>0.9351696664966358</v>
      </c>
      <c r="AM190" s="153" t="s">
        <v>13</v>
      </c>
      <c r="AN190" s="153">
        <v>2015</v>
      </c>
      <c r="AO190" s="153" t="s">
        <v>715</v>
      </c>
      <c r="AP190" s="255">
        <f t="shared" si="28"/>
        <v>0.76670579220779222</v>
      </c>
      <c r="AQ190" s="255">
        <f t="shared" si="21"/>
        <v>9.6142981558441551</v>
      </c>
      <c r="AR190" s="255">
        <f t="shared" si="22"/>
        <v>0.69933833766233777</v>
      </c>
      <c r="AS190" s="255">
        <f t="shared" si="23"/>
        <v>3.9565012987012982E-2</v>
      </c>
      <c r="AT190" s="255">
        <f t="shared" si="24"/>
        <v>0</v>
      </c>
      <c r="AU190" s="255">
        <f t="shared" si="25"/>
        <v>0</v>
      </c>
      <c r="AV190" s="255">
        <f t="shared" si="26"/>
        <v>0</v>
      </c>
      <c r="AW190" s="255">
        <f t="shared" si="27"/>
        <v>11.118837974025974</v>
      </c>
    </row>
    <row r="191" spans="1:49" hidden="1">
      <c r="A191" s="153"/>
      <c r="B191" s="153"/>
      <c r="C191" s="153"/>
      <c r="D191" s="153"/>
      <c r="E191" s="153"/>
      <c r="F191" s="153"/>
      <c r="G191" s="153"/>
      <c r="H191" s="153"/>
      <c r="I191" s="153"/>
      <c r="J191" s="153"/>
      <c r="K191" s="153"/>
      <c r="M191" s="256"/>
      <c r="N191" s="153"/>
      <c r="O191" s="153"/>
      <c r="P191" s="153"/>
      <c r="Q191" s="255"/>
      <c r="R191" s="255"/>
      <c r="S191" s="255"/>
      <c r="T191" s="255"/>
      <c r="U191" s="255"/>
      <c r="V191" s="255"/>
      <c r="W191" s="255"/>
      <c r="Z191" s="153" t="s">
        <v>13</v>
      </c>
      <c r="AA191" s="153">
        <v>2015</v>
      </c>
      <c r="AB191" s="153" t="s">
        <v>716</v>
      </c>
      <c r="AC191" s="153">
        <v>0</v>
      </c>
      <c r="AD191" s="153">
        <v>0</v>
      </c>
      <c r="AE191" s="153">
        <v>0</v>
      </c>
      <c r="AF191" s="153">
        <v>0</v>
      </c>
      <c r="AG191" s="153">
        <v>0</v>
      </c>
      <c r="AH191" s="153">
        <v>0</v>
      </c>
      <c r="AI191" s="153">
        <v>0</v>
      </c>
      <c r="AJ191" s="153">
        <v>0</v>
      </c>
      <c r="AK191" s="248"/>
      <c r="AL191" s="254">
        <f>VLOOKUP(AA191,pgdp!$A$13:$C$90,3,FALSE)</f>
        <v>0.9351696664966358</v>
      </c>
      <c r="AM191" s="153" t="s">
        <v>13</v>
      </c>
      <c r="AN191" s="153">
        <v>2015</v>
      </c>
      <c r="AO191" s="153" t="s">
        <v>716</v>
      </c>
      <c r="AP191" s="255">
        <f t="shared" si="28"/>
        <v>0</v>
      </c>
      <c r="AQ191" s="255">
        <f t="shared" si="21"/>
        <v>0</v>
      </c>
      <c r="AR191" s="255">
        <f t="shared" si="22"/>
        <v>0</v>
      </c>
      <c r="AS191" s="255">
        <f t="shared" si="23"/>
        <v>0</v>
      </c>
      <c r="AT191" s="255">
        <f t="shared" si="24"/>
        <v>0</v>
      </c>
      <c r="AU191" s="255">
        <f t="shared" si="25"/>
        <v>0</v>
      </c>
      <c r="AV191" s="255">
        <f t="shared" si="26"/>
        <v>0</v>
      </c>
      <c r="AW191" s="255">
        <f t="shared" si="27"/>
        <v>0</v>
      </c>
    </row>
    <row r="192" spans="1:49" s="248" customFormat="1" hidden="1">
      <c r="A192" s="153"/>
      <c r="B192" s="153"/>
      <c r="C192" s="153"/>
      <c r="D192" s="153"/>
      <c r="E192" s="153"/>
      <c r="F192" s="153"/>
      <c r="G192" s="153"/>
      <c r="H192" s="153"/>
      <c r="I192" s="153"/>
      <c r="J192" s="153"/>
      <c r="K192" s="153"/>
      <c r="M192" s="254"/>
      <c r="N192" s="153"/>
      <c r="O192" s="153"/>
      <c r="P192" s="153"/>
      <c r="Q192" s="255"/>
      <c r="R192" s="255"/>
      <c r="S192" s="255"/>
      <c r="T192" s="255"/>
      <c r="U192" s="255"/>
      <c r="V192" s="255"/>
      <c r="W192" s="255"/>
      <c r="Z192" s="153" t="s">
        <v>13</v>
      </c>
      <c r="AA192" s="153">
        <v>2016</v>
      </c>
      <c r="AB192" s="153" t="s">
        <v>689</v>
      </c>
      <c r="AC192" s="153">
        <v>45399</v>
      </c>
      <c r="AD192" s="153">
        <v>46315</v>
      </c>
      <c r="AE192" s="153">
        <v>47230</v>
      </c>
      <c r="AF192" s="153">
        <v>17898</v>
      </c>
      <c r="AG192" s="153">
        <v>1924</v>
      </c>
      <c r="AH192" s="153">
        <v>362</v>
      </c>
      <c r="AI192" s="153">
        <v>474</v>
      </c>
      <c r="AJ192" s="153">
        <v>159601</v>
      </c>
      <c r="AK192" s="251"/>
      <c r="AL192" s="256">
        <f>VLOOKUP(AA192,pgdp!$A$13:$C$90,3,FALSE)</f>
        <v>0.94602138468179731</v>
      </c>
      <c r="AM192" s="153" t="s">
        <v>13</v>
      </c>
      <c r="AN192" s="153">
        <v>2016</v>
      </c>
      <c r="AO192" s="153" t="s">
        <v>689</v>
      </c>
      <c r="AP192" s="255">
        <f t="shared" si="28"/>
        <v>47.989401439662338</v>
      </c>
      <c r="AQ192" s="255">
        <f t="shared" si="21"/>
        <v>48.957667078084562</v>
      </c>
      <c r="AR192" s="255">
        <f t="shared" si="22"/>
        <v>49.924875657949563</v>
      </c>
      <c r="AS192" s="255">
        <f t="shared" si="23"/>
        <v>18.919234057293696</v>
      </c>
      <c r="AT192" s="255">
        <f t="shared" si="24"/>
        <v>2.0337806641095693</v>
      </c>
      <c r="AU192" s="255">
        <f t="shared" si="25"/>
        <v>0.38265519771708112</v>
      </c>
      <c r="AV192" s="255">
        <f t="shared" si="26"/>
        <v>0.50104575612678581</v>
      </c>
      <c r="AW192" s="255">
        <f t="shared" si="27"/>
        <v>168.70760279238638</v>
      </c>
    </row>
    <row r="193" spans="1:49" hidden="1">
      <c r="A193" s="153"/>
      <c r="B193" s="153"/>
      <c r="C193" s="153"/>
      <c r="D193" s="153"/>
      <c r="E193" s="153"/>
      <c r="F193" s="153"/>
      <c r="G193" s="153"/>
      <c r="H193" s="153"/>
      <c r="I193" s="153"/>
      <c r="J193" s="153"/>
      <c r="K193" s="153"/>
      <c r="M193" s="256"/>
      <c r="N193" s="153"/>
      <c r="O193" s="153"/>
      <c r="P193" s="153"/>
      <c r="Q193" s="255"/>
      <c r="R193" s="255"/>
      <c r="S193" s="255"/>
      <c r="T193" s="255"/>
      <c r="U193" s="255"/>
      <c r="V193" s="255"/>
      <c r="W193" s="255"/>
      <c r="Z193" s="153" t="s">
        <v>13</v>
      </c>
      <c r="AA193" s="153">
        <v>2016</v>
      </c>
      <c r="AB193" s="153" t="s">
        <v>717</v>
      </c>
      <c r="AC193" s="153">
        <v>438</v>
      </c>
      <c r="AD193" s="153">
        <v>8638</v>
      </c>
      <c r="AE193" s="153">
        <v>405</v>
      </c>
      <c r="AF193" s="153">
        <v>36</v>
      </c>
      <c r="AG193" s="153">
        <v>0</v>
      </c>
      <c r="AH193" s="153">
        <v>0</v>
      </c>
      <c r="AI193" s="153">
        <v>0</v>
      </c>
      <c r="AJ193" s="153">
        <v>9517</v>
      </c>
      <c r="AL193" s="254">
        <f>VLOOKUP(AA193,pgdp!$A$13:$C$90,3,FALSE)</f>
        <v>0.94602138468179731</v>
      </c>
      <c r="AM193" s="153" t="s">
        <v>13</v>
      </c>
      <c r="AN193" s="153">
        <v>2016</v>
      </c>
      <c r="AO193" s="153" t="s">
        <v>717</v>
      </c>
      <c r="AP193" s="255">
        <f t="shared" si="28"/>
        <v>0.46299164806652354</v>
      </c>
      <c r="AQ193" s="255">
        <f t="shared" si="21"/>
        <v>9.1308718173484724</v>
      </c>
      <c r="AR193" s="255">
        <f t="shared" si="22"/>
        <v>0.42810871567794989</v>
      </c>
      <c r="AS193" s="255">
        <f t="shared" si="23"/>
        <v>3.8054108060262208E-2</v>
      </c>
      <c r="AT193" s="255">
        <f t="shared" si="24"/>
        <v>0</v>
      </c>
      <c r="AU193" s="255">
        <f t="shared" si="25"/>
        <v>0</v>
      </c>
      <c r="AV193" s="255">
        <f t="shared" si="26"/>
        <v>0</v>
      </c>
      <c r="AW193" s="255">
        <f t="shared" si="27"/>
        <v>10.060026289153207</v>
      </c>
    </row>
    <row r="194" spans="1:49" s="248" customFormat="1" hidden="1">
      <c r="A194" s="153"/>
      <c r="B194" s="153"/>
      <c r="C194" s="153"/>
      <c r="D194" s="153"/>
      <c r="E194" s="153"/>
      <c r="F194" s="153"/>
      <c r="G194" s="153"/>
      <c r="H194" s="153"/>
      <c r="I194" s="153"/>
      <c r="J194" s="153"/>
      <c r="K194" s="153"/>
      <c r="M194" s="254"/>
      <c r="N194" s="153"/>
      <c r="O194" s="153"/>
      <c r="P194" s="153"/>
      <c r="Q194" s="255"/>
      <c r="R194" s="255"/>
      <c r="S194" s="255"/>
      <c r="T194" s="255"/>
      <c r="U194" s="255"/>
      <c r="V194" s="255"/>
      <c r="W194" s="255"/>
      <c r="Z194" s="153" t="s">
        <v>13</v>
      </c>
      <c r="AA194" s="153">
        <v>2017</v>
      </c>
      <c r="AB194" s="153" t="s">
        <v>689</v>
      </c>
      <c r="AC194" s="153">
        <v>45744</v>
      </c>
      <c r="AD194" s="153">
        <v>43520</v>
      </c>
      <c r="AE194" s="153">
        <v>48293</v>
      </c>
      <c r="AF194" s="153">
        <v>17175</v>
      </c>
      <c r="AG194" s="153">
        <v>1531</v>
      </c>
      <c r="AH194" s="153">
        <v>395</v>
      </c>
      <c r="AI194" s="153">
        <v>511</v>
      </c>
      <c r="AJ194" s="153">
        <v>157170</v>
      </c>
      <c r="AL194" s="256">
        <f>VLOOKUP(AA194,pgdp!$A$13:$C$90,3,FALSE)</f>
        <v>0.96224036736890672</v>
      </c>
      <c r="AM194" s="153" t="s">
        <v>13</v>
      </c>
      <c r="AN194" s="153">
        <v>2017</v>
      </c>
      <c r="AO194" s="153" t="s">
        <v>689</v>
      </c>
      <c r="AP194" s="255">
        <f t="shared" si="28"/>
        <v>47.539057340817756</v>
      </c>
      <c r="AQ194" s="255">
        <f t="shared" si="21"/>
        <v>45.227784528514967</v>
      </c>
      <c r="AR194" s="255">
        <f t="shared" si="22"/>
        <v>50.188083599162994</v>
      </c>
      <c r="AS194" s="255">
        <f t="shared" si="23"/>
        <v>17.848970571627863</v>
      </c>
      <c r="AT194" s="255">
        <f t="shared" si="24"/>
        <v>1.5910785412030428</v>
      </c>
      <c r="AU194" s="255">
        <f t="shared" si="25"/>
        <v>0.41050034211312986</v>
      </c>
      <c r="AV194" s="255">
        <f t="shared" si="26"/>
        <v>0.53105234131597312</v>
      </c>
      <c r="AW194" s="255">
        <f t="shared" si="27"/>
        <v>163.33756650612818</v>
      </c>
    </row>
    <row r="195" spans="1:49" hidden="1">
      <c r="A195" s="153"/>
      <c r="B195" s="153"/>
      <c r="C195" s="153"/>
      <c r="D195" s="153"/>
      <c r="E195" s="153"/>
      <c r="F195" s="153"/>
      <c r="G195" s="153"/>
      <c r="H195" s="153"/>
      <c r="I195" s="153"/>
      <c r="J195" s="153"/>
      <c r="K195" s="153"/>
      <c r="M195" s="256"/>
      <c r="N195" s="153"/>
      <c r="O195" s="153"/>
      <c r="P195" s="153"/>
      <c r="Q195" s="255"/>
      <c r="R195" s="255"/>
      <c r="S195" s="255"/>
      <c r="T195" s="255"/>
      <c r="U195" s="255"/>
      <c r="V195" s="255"/>
      <c r="W195" s="255"/>
      <c r="Z195" s="153" t="s">
        <v>13</v>
      </c>
      <c r="AA195" s="153">
        <v>2017</v>
      </c>
      <c r="AB195" s="153" t="s">
        <v>718</v>
      </c>
      <c r="AC195" s="153">
        <v>488</v>
      </c>
      <c r="AD195" s="153">
        <v>11868</v>
      </c>
      <c r="AE195" s="153">
        <v>1632</v>
      </c>
      <c r="AF195" s="153">
        <v>327</v>
      </c>
      <c r="AG195" s="153">
        <v>131</v>
      </c>
      <c r="AH195" s="153">
        <v>0</v>
      </c>
      <c r="AI195" s="153">
        <v>0</v>
      </c>
      <c r="AJ195" s="153">
        <v>14446</v>
      </c>
      <c r="AL195" s="256">
        <f>VLOOKUP(AA195,pgdp!$A$13:$C$90,3,FALSE)</f>
        <v>0.96224036736890672</v>
      </c>
      <c r="AM195" s="153" t="s">
        <v>13</v>
      </c>
      <c r="AN195" s="153">
        <v>2017</v>
      </c>
      <c r="AO195" s="153" t="s">
        <v>718</v>
      </c>
      <c r="AP195" s="255">
        <f t="shared" si="28"/>
        <v>0.50714978974989211</v>
      </c>
      <c r="AQ195" s="255">
        <f t="shared" si="21"/>
        <v>12.333716608097786</v>
      </c>
      <c r="AR195" s="255">
        <f t="shared" si="22"/>
        <v>1.6960419198193113</v>
      </c>
      <c r="AS195" s="255">
        <f t="shared" si="23"/>
        <v>0.33983192878732527</v>
      </c>
      <c r="AT195" s="255">
        <f t="shared" si="24"/>
        <v>0.13614061978941777</v>
      </c>
      <c r="AU195" s="255">
        <f t="shared" si="25"/>
        <v>0</v>
      </c>
      <c r="AV195" s="255">
        <f t="shared" si="26"/>
        <v>0</v>
      </c>
      <c r="AW195" s="255">
        <f t="shared" si="27"/>
        <v>15.012880866243734</v>
      </c>
    </row>
    <row r="196" spans="1:49" s="248" customFormat="1" hidden="1">
      <c r="A196" s="153"/>
      <c r="B196" s="153"/>
      <c r="C196" s="153"/>
      <c r="D196" s="153"/>
      <c r="E196" s="153"/>
      <c r="F196" s="153"/>
      <c r="G196" s="153"/>
      <c r="H196" s="153"/>
      <c r="I196" s="153"/>
      <c r="J196" s="153"/>
      <c r="K196" s="153"/>
      <c r="M196" s="256"/>
      <c r="N196" s="153"/>
      <c r="O196" s="153"/>
      <c r="P196" s="153"/>
      <c r="Q196" s="255"/>
      <c r="R196" s="255"/>
      <c r="S196" s="255"/>
      <c r="T196" s="255"/>
      <c r="U196" s="255"/>
      <c r="V196" s="255"/>
      <c r="W196" s="255"/>
      <c r="Z196" s="153" t="s">
        <v>13</v>
      </c>
      <c r="AA196" s="153">
        <v>2018</v>
      </c>
      <c r="AB196" s="153" t="s">
        <v>689</v>
      </c>
      <c r="AC196" s="153">
        <v>45690</v>
      </c>
      <c r="AD196" s="153">
        <v>45063</v>
      </c>
      <c r="AE196" s="153">
        <v>48102</v>
      </c>
      <c r="AF196" s="153">
        <v>17092</v>
      </c>
      <c r="AG196" s="153">
        <v>1518</v>
      </c>
      <c r="AH196" s="153">
        <v>392</v>
      </c>
      <c r="AI196" s="153">
        <v>0</v>
      </c>
      <c r="AJ196" s="153">
        <v>157858</v>
      </c>
      <c r="AK196" s="251"/>
      <c r="AL196" s="254">
        <f>VLOOKUP(AA196,pgdp!$A$13:$C$90,3,FALSE)</f>
        <v>0.9807153483309915</v>
      </c>
      <c r="AM196" s="153" t="s">
        <v>13</v>
      </c>
      <c r="AN196" s="153">
        <v>2018</v>
      </c>
      <c r="AO196" s="153" t="s">
        <v>689</v>
      </c>
      <c r="AP196" s="255">
        <f t="shared" si="28"/>
        <v>46.588441873329003</v>
      </c>
      <c r="AQ196" s="255">
        <f t="shared" si="21"/>
        <v>45.94911263160045</v>
      </c>
      <c r="AR196" s="255">
        <f t="shared" si="22"/>
        <v>49.047871109452217</v>
      </c>
      <c r="AS196" s="255">
        <f t="shared" si="23"/>
        <v>17.428094736242926</v>
      </c>
      <c r="AT196" s="255">
        <f t="shared" si="24"/>
        <v>1.54784974313227</v>
      </c>
      <c r="AU196" s="255">
        <f t="shared" si="25"/>
        <v>0.39970823406314226</v>
      </c>
      <c r="AV196" s="255">
        <f t="shared" si="26"/>
        <v>0</v>
      </c>
      <c r="AW196" s="255">
        <f t="shared" si="27"/>
        <v>160.96209799168241</v>
      </c>
    </row>
    <row r="197" spans="1:49" hidden="1">
      <c r="A197" s="153"/>
      <c r="B197" s="153"/>
      <c r="C197" s="153"/>
      <c r="D197" s="153"/>
      <c r="E197" s="153"/>
      <c r="F197" s="153"/>
      <c r="G197" s="153"/>
      <c r="H197" s="153"/>
      <c r="I197" s="153"/>
      <c r="J197" s="153"/>
      <c r="K197" s="153"/>
      <c r="M197" s="254"/>
      <c r="N197" s="153"/>
      <c r="O197" s="153"/>
      <c r="P197" s="153"/>
      <c r="Q197" s="255"/>
      <c r="R197" s="255"/>
      <c r="S197" s="255"/>
      <c r="T197" s="255"/>
      <c r="U197" s="255"/>
      <c r="V197" s="255"/>
      <c r="W197" s="255"/>
      <c r="Z197" s="153" t="s">
        <v>13</v>
      </c>
      <c r="AA197" s="153">
        <v>2018</v>
      </c>
      <c r="AB197" s="153" t="s">
        <v>719</v>
      </c>
      <c r="AC197" s="153">
        <v>539</v>
      </c>
      <c r="AD197" s="153">
        <v>11834</v>
      </c>
      <c r="AE197" s="153">
        <v>1571</v>
      </c>
      <c r="AF197" s="153">
        <v>327</v>
      </c>
      <c r="AG197" s="153">
        <v>131</v>
      </c>
      <c r="AH197" s="153">
        <v>0</v>
      </c>
      <c r="AI197" s="153">
        <v>0</v>
      </c>
      <c r="AJ197" s="153">
        <v>14401</v>
      </c>
      <c r="AL197" s="256">
        <f>VLOOKUP(AA197,pgdp!$A$13:$C$90,3,FALSE)</f>
        <v>0.9807153483309915</v>
      </c>
      <c r="AM197" s="153" t="s">
        <v>13</v>
      </c>
      <c r="AN197" s="153">
        <v>2018</v>
      </c>
      <c r="AO197" s="153" t="s">
        <v>719</v>
      </c>
      <c r="AP197" s="255">
        <f t="shared" si="28"/>
        <v>0.54959882183682052</v>
      </c>
      <c r="AQ197" s="255">
        <f t="shared" si="21"/>
        <v>12.066702147712309</v>
      </c>
      <c r="AR197" s="255">
        <f t="shared" si="22"/>
        <v>1.6018919278397867</v>
      </c>
      <c r="AS197" s="255">
        <f t="shared" si="23"/>
        <v>0.33343008300675381</v>
      </c>
      <c r="AT197" s="255">
        <f t="shared" si="24"/>
        <v>0.13357596597518273</v>
      </c>
      <c r="AU197" s="255">
        <f t="shared" si="25"/>
        <v>0</v>
      </c>
      <c r="AV197" s="255">
        <f t="shared" si="26"/>
        <v>0</v>
      </c>
      <c r="AW197" s="255">
        <f t="shared" si="27"/>
        <v>14.684179282508447</v>
      </c>
    </row>
    <row r="198" spans="1:49" hidden="1">
      <c r="A198" s="153"/>
      <c r="B198" s="153"/>
      <c r="C198" s="153"/>
      <c r="D198" s="153"/>
      <c r="E198" s="153"/>
      <c r="F198" s="153"/>
      <c r="G198" s="153"/>
      <c r="H198" s="153"/>
      <c r="I198" s="153"/>
      <c r="J198" s="153"/>
      <c r="K198" s="153"/>
      <c r="M198" s="256"/>
      <c r="N198" s="153"/>
      <c r="O198" s="153"/>
      <c r="P198" s="153"/>
      <c r="Q198" s="255"/>
      <c r="R198" s="255"/>
      <c r="S198" s="255"/>
      <c r="T198" s="255"/>
      <c r="U198" s="255"/>
      <c r="V198" s="255"/>
      <c r="W198" s="255"/>
      <c r="Z198" s="153" t="s">
        <v>13</v>
      </c>
      <c r="AA198" s="153">
        <v>2018</v>
      </c>
      <c r="AB198" s="153" t="s">
        <v>720</v>
      </c>
      <c r="AC198" s="153">
        <v>0</v>
      </c>
      <c r="AD198" s="153">
        <v>674</v>
      </c>
      <c r="AE198" s="153">
        <v>0</v>
      </c>
      <c r="AF198" s="153">
        <v>60</v>
      </c>
      <c r="AG198" s="153">
        <v>0</v>
      </c>
      <c r="AH198" s="153">
        <v>0</v>
      </c>
      <c r="AI198" s="153">
        <v>0</v>
      </c>
      <c r="AJ198" s="153">
        <v>734</v>
      </c>
      <c r="AK198" s="248"/>
      <c r="AL198" s="256">
        <f>VLOOKUP(AA198,pgdp!$A$13:$C$90,3,FALSE)</f>
        <v>0.9807153483309915</v>
      </c>
      <c r="AM198" s="153" t="s">
        <v>13</v>
      </c>
      <c r="AN198" s="153">
        <v>2018</v>
      </c>
      <c r="AO198" s="153" t="s">
        <v>720</v>
      </c>
      <c r="AP198" s="255">
        <f t="shared" si="28"/>
        <v>0</v>
      </c>
      <c r="AQ198" s="255">
        <f t="shared" si="21"/>
        <v>0.68725344326162707</v>
      </c>
      <c r="AR198" s="255">
        <f t="shared" si="22"/>
        <v>0</v>
      </c>
      <c r="AS198" s="255">
        <f t="shared" si="23"/>
        <v>6.1179831744358502E-2</v>
      </c>
      <c r="AT198" s="255">
        <f t="shared" si="24"/>
        <v>0</v>
      </c>
      <c r="AU198" s="255">
        <f t="shared" si="25"/>
        <v>0</v>
      </c>
      <c r="AV198" s="255">
        <f t="shared" si="26"/>
        <v>0</v>
      </c>
      <c r="AW198" s="255">
        <f t="shared" si="27"/>
        <v>0.74843327500598567</v>
      </c>
    </row>
    <row r="199" spans="1:49" s="248" customFormat="1" hidden="1">
      <c r="A199" s="153"/>
      <c r="B199" s="153"/>
      <c r="C199" s="153"/>
      <c r="D199" s="153"/>
      <c r="E199" s="153"/>
      <c r="F199" s="153"/>
      <c r="G199" s="153"/>
      <c r="H199" s="153"/>
      <c r="I199" s="153"/>
      <c r="J199" s="153"/>
      <c r="K199" s="153"/>
      <c r="M199" s="254"/>
      <c r="N199" s="153"/>
      <c r="O199" s="153"/>
      <c r="P199" s="153"/>
      <c r="Q199" s="255"/>
      <c r="R199" s="255"/>
      <c r="S199" s="255"/>
      <c r="T199" s="255"/>
      <c r="U199" s="255"/>
      <c r="V199" s="255"/>
      <c r="W199" s="255"/>
      <c r="Z199" s="153" t="s">
        <v>13</v>
      </c>
      <c r="AA199" s="153">
        <v>2019</v>
      </c>
      <c r="AB199" s="153" t="s">
        <v>689</v>
      </c>
      <c r="AC199" s="153">
        <v>49674</v>
      </c>
      <c r="AD199" s="153">
        <v>57464</v>
      </c>
      <c r="AE199" s="153">
        <v>57897</v>
      </c>
      <c r="AF199" s="153">
        <v>18482</v>
      </c>
      <c r="AG199" s="153">
        <v>2738</v>
      </c>
      <c r="AH199" s="153">
        <v>419</v>
      </c>
      <c r="AI199" s="153">
        <v>0</v>
      </c>
      <c r="AJ199" s="153">
        <v>186674</v>
      </c>
      <c r="AK199" s="251"/>
      <c r="AL199" s="254">
        <f>VLOOKUP(AA199,pgdp!$A$13:$C$90,3,FALSE)</f>
        <v>1</v>
      </c>
      <c r="AM199" s="153" t="s">
        <v>13</v>
      </c>
      <c r="AN199" s="153">
        <v>2019</v>
      </c>
      <c r="AO199" s="153" t="s">
        <v>689</v>
      </c>
      <c r="AP199" s="255">
        <f t="shared" si="28"/>
        <v>49.673999999999999</v>
      </c>
      <c r="AQ199" s="255">
        <f t="shared" si="21"/>
        <v>57.463999999999999</v>
      </c>
      <c r="AR199" s="255">
        <f t="shared" si="22"/>
        <v>57.896999999999998</v>
      </c>
      <c r="AS199" s="255">
        <f t="shared" si="23"/>
        <v>18.481999999999999</v>
      </c>
      <c r="AT199" s="255">
        <f t="shared" si="24"/>
        <v>2.738</v>
      </c>
      <c r="AU199" s="255">
        <f t="shared" si="25"/>
        <v>0.41899999999999998</v>
      </c>
      <c r="AV199" s="255">
        <f t="shared" si="26"/>
        <v>0</v>
      </c>
      <c r="AW199" s="255">
        <f t="shared" si="27"/>
        <v>186.67400000000001</v>
      </c>
    </row>
    <row r="200" spans="1:49" hidden="1">
      <c r="A200" s="153"/>
      <c r="B200" s="153"/>
      <c r="C200" s="153"/>
      <c r="D200" s="153"/>
      <c r="E200" s="153"/>
      <c r="F200" s="153"/>
      <c r="G200" s="153"/>
      <c r="H200" s="153"/>
      <c r="I200" s="153"/>
      <c r="J200" s="153"/>
      <c r="K200" s="153"/>
      <c r="M200" s="256"/>
      <c r="N200" s="153"/>
      <c r="O200" s="153"/>
      <c r="P200" s="153"/>
      <c r="Q200" s="255"/>
      <c r="R200" s="255"/>
      <c r="S200" s="255"/>
      <c r="T200" s="255"/>
      <c r="U200" s="255"/>
      <c r="V200" s="255"/>
      <c r="W200" s="255"/>
      <c r="Z200" s="153" t="s">
        <v>13</v>
      </c>
      <c r="AA200" s="153">
        <v>2019</v>
      </c>
      <c r="AB200" s="153" t="s">
        <v>721</v>
      </c>
      <c r="AC200" s="153">
        <v>508</v>
      </c>
      <c r="AD200" s="153">
        <v>5908</v>
      </c>
      <c r="AE200" s="153">
        <v>586</v>
      </c>
      <c r="AF200" s="153">
        <v>168</v>
      </c>
      <c r="AG200" s="153">
        <v>227</v>
      </c>
      <c r="AH200" s="153">
        <v>0</v>
      </c>
      <c r="AI200" s="153">
        <v>0</v>
      </c>
      <c r="AJ200" s="153">
        <v>7397</v>
      </c>
      <c r="AL200" s="256">
        <f>VLOOKUP(AA200,pgdp!$A$13:$C$90,3,FALSE)</f>
        <v>1</v>
      </c>
      <c r="AM200" s="153" t="s">
        <v>13</v>
      </c>
      <c r="AN200" s="153">
        <v>2019</v>
      </c>
      <c r="AO200" s="153" t="s">
        <v>721</v>
      </c>
      <c r="AP200" s="255">
        <f t="shared" si="28"/>
        <v>0.50800000000000001</v>
      </c>
      <c r="AQ200" s="255">
        <f t="shared" si="21"/>
        <v>5.9080000000000004</v>
      </c>
      <c r="AR200" s="255">
        <f t="shared" si="22"/>
        <v>0.58599999999999997</v>
      </c>
      <c r="AS200" s="255">
        <f t="shared" si="23"/>
        <v>0.16800000000000001</v>
      </c>
      <c r="AT200" s="255">
        <f t="shared" si="24"/>
        <v>0.22700000000000001</v>
      </c>
      <c r="AU200" s="255">
        <f t="shared" si="25"/>
        <v>0</v>
      </c>
      <c r="AV200" s="255">
        <f t="shared" si="26"/>
        <v>0</v>
      </c>
      <c r="AW200" s="255">
        <f t="shared" si="27"/>
        <v>7.3970000000000002</v>
      </c>
    </row>
    <row r="201" spans="1:49" hidden="1">
      <c r="A201" s="153"/>
      <c r="B201" s="153"/>
      <c r="C201" s="153"/>
      <c r="D201" s="153"/>
      <c r="E201" s="153"/>
      <c r="F201" s="153"/>
      <c r="G201" s="153"/>
      <c r="H201" s="153"/>
      <c r="I201" s="153"/>
      <c r="J201" s="153"/>
      <c r="K201" s="153"/>
      <c r="M201" s="254"/>
      <c r="N201" s="153"/>
      <c r="O201" s="153"/>
      <c r="P201" s="153"/>
      <c r="Q201" s="255"/>
      <c r="R201" s="255"/>
      <c r="S201" s="255"/>
      <c r="T201" s="255"/>
      <c r="U201" s="255"/>
      <c r="V201" s="255"/>
      <c r="W201" s="255"/>
      <c r="Z201" s="153" t="s">
        <v>14</v>
      </c>
      <c r="AA201" s="153">
        <v>2001</v>
      </c>
      <c r="AB201" s="153" t="s">
        <v>689</v>
      </c>
      <c r="AC201" s="153">
        <v>20816</v>
      </c>
      <c r="AD201" s="153">
        <v>28357</v>
      </c>
      <c r="AE201" s="153">
        <v>21019</v>
      </c>
      <c r="AF201" s="153">
        <v>14020</v>
      </c>
      <c r="AG201" s="153">
        <v>1386</v>
      </c>
      <c r="AH201" s="153">
        <v>1070</v>
      </c>
      <c r="AI201" s="153">
        <v>12</v>
      </c>
      <c r="AJ201" s="153">
        <v>86680</v>
      </c>
      <c r="AK201" s="248"/>
      <c r="AL201" s="256">
        <f>VLOOKUP(AA201,pgdp!$A$13:$C$90,3,FALSE)</f>
        <v>0.71033050332114134</v>
      </c>
      <c r="AM201" s="153" t="s">
        <v>14</v>
      </c>
      <c r="AN201" s="153">
        <v>2001</v>
      </c>
      <c r="AO201" s="153" t="s">
        <v>689</v>
      </c>
      <c r="AP201" s="255">
        <f t="shared" si="28"/>
        <v>29.304668605212719</v>
      </c>
      <c r="AQ201" s="255">
        <f t="shared" si="21"/>
        <v>39.920853556784067</v>
      </c>
      <c r="AR201" s="255">
        <f t="shared" si="22"/>
        <v>29.590451067110212</v>
      </c>
      <c r="AS201" s="255">
        <f t="shared" si="23"/>
        <v>19.737291210851382</v>
      </c>
      <c r="AT201" s="255">
        <f t="shared" si="24"/>
        <v>1.9512043950242519</v>
      </c>
      <c r="AU201" s="255">
        <f t="shared" si="25"/>
        <v>1.5063410553217529</v>
      </c>
      <c r="AV201" s="255">
        <f t="shared" si="26"/>
        <v>1.6893544545664517E-2</v>
      </c>
      <c r="AW201" s="255">
        <f t="shared" si="27"/>
        <v>122.02770343485004</v>
      </c>
    </row>
    <row r="202" spans="1:49" s="248" customFormat="1" hidden="1">
      <c r="A202" s="153"/>
      <c r="B202" s="153"/>
      <c r="C202" s="153"/>
      <c r="D202" s="153"/>
      <c r="E202" s="153"/>
      <c r="F202" s="153"/>
      <c r="G202" s="153"/>
      <c r="H202" s="153"/>
      <c r="I202" s="153"/>
      <c r="J202" s="153"/>
      <c r="K202" s="153"/>
      <c r="M202" s="256"/>
      <c r="N202" s="153"/>
      <c r="O202" s="153"/>
      <c r="P202" s="153"/>
      <c r="Q202" s="255"/>
      <c r="R202" s="255"/>
      <c r="S202" s="255"/>
      <c r="T202" s="255"/>
      <c r="U202" s="255"/>
      <c r="V202" s="255"/>
      <c r="W202" s="255"/>
      <c r="Z202" s="153" t="s">
        <v>14</v>
      </c>
      <c r="AA202" s="153">
        <v>2001</v>
      </c>
      <c r="AB202" s="153" t="s">
        <v>690</v>
      </c>
      <c r="AC202" s="153"/>
      <c r="AD202" s="153"/>
      <c r="AE202" s="153">
        <v>1165</v>
      </c>
      <c r="AF202" s="153"/>
      <c r="AG202" s="153"/>
      <c r="AH202" s="153"/>
      <c r="AI202" s="153"/>
      <c r="AJ202" s="153">
        <v>1165</v>
      </c>
      <c r="AK202" s="251"/>
      <c r="AL202" s="256">
        <f>VLOOKUP(AA202,pgdp!$A$13:$C$90,3,FALSE)</f>
        <v>0.71033050332114134</v>
      </c>
      <c r="AM202" s="153" t="s">
        <v>14</v>
      </c>
      <c r="AN202" s="153">
        <v>2001</v>
      </c>
      <c r="AO202" s="153" t="s">
        <v>690</v>
      </c>
      <c r="AP202" s="255">
        <f t="shared" si="28"/>
        <v>0</v>
      </c>
      <c r="AQ202" s="255">
        <f t="shared" si="21"/>
        <v>0</v>
      </c>
      <c r="AR202" s="255">
        <f t="shared" si="22"/>
        <v>1.6400816163082639</v>
      </c>
      <c r="AS202" s="255">
        <f t="shared" si="23"/>
        <v>0</v>
      </c>
      <c r="AT202" s="255">
        <f t="shared" si="24"/>
        <v>0</v>
      </c>
      <c r="AU202" s="255">
        <f t="shared" si="25"/>
        <v>0</v>
      </c>
      <c r="AV202" s="255">
        <f t="shared" si="26"/>
        <v>0</v>
      </c>
      <c r="AW202" s="255">
        <f t="shared" si="27"/>
        <v>1.6400816163082639</v>
      </c>
    </row>
    <row r="203" spans="1:49" hidden="1">
      <c r="A203" s="153"/>
      <c r="B203" s="153"/>
      <c r="C203" s="153"/>
      <c r="D203" s="153"/>
      <c r="E203" s="153"/>
      <c r="F203" s="153"/>
      <c r="G203" s="153"/>
      <c r="H203" s="153"/>
      <c r="I203" s="153"/>
      <c r="J203" s="153"/>
      <c r="K203" s="153"/>
      <c r="M203" s="256"/>
      <c r="N203" s="153"/>
      <c r="O203" s="153"/>
      <c r="P203" s="153"/>
      <c r="Q203" s="255"/>
      <c r="R203" s="255"/>
      <c r="S203" s="255"/>
      <c r="T203" s="255"/>
      <c r="U203" s="255"/>
      <c r="V203" s="255"/>
      <c r="W203" s="255"/>
      <c r="Z203" s="153" t="s">
        <v>14</v>
      </c>
      <c r="AA203" s="153">
        <v>2001</v>
      </c>
      <c r="AB203" s="153" t="s">
        <v>691</v>
      </c>
      <c r="AC203" s="153">
        <v>140</v>
      </c>
      <c r="AD203" s="153">
        <v>971</v>
      </c>
      <c r="AE203" s="153">
        <v>-130</v>
      </c>
      <c r="AF203" s="153">
        <v>277</v>
      </c>
      <c r="AG203" s="153">
        <v>24</v>
      </c>
      <c r="AH203" s="153">
        <v>14</v>
      </c>
      <c r="AI203" s="153"/>
      <c r="AJ203" s="153">
        <v>1295</v>
      </c>
      <c r="AK203" s="248"/>
      <c r="AL203" s="254">
        <f>VLOOKUP(AA203,pgdp!$A$13:$C$90,3,FALSE)</f>
        <v>0.71033050332114134</v>
      </c>
      <c r="AM203" s="153" t="s">
        <v>14</v>
      </c>
      <c r="AN203" s="153">
        <v>2001</v>
      </c>
      <c r="AO203" s="153" t="s">
        <v>691</v>
      </c>
      <c r="AP203" s="255">
        <f t="shared" si="28"/>
        <v>0.19709135303275271</v>
      </c>
      <c r="AQ203" s="255">
        <f t="shared" si="21"/>
        <v>1.3669693128200207</v>
      </c>
      <c r="AR203" s="255">
        <f t="shared" si="22"/>
        <v>-0.18301339924469898</v>
      </c>
      <c r="AS203" s="255">
        <f t="shared" si="23"/>
        <v>0.38995931992908928</v>
      </c>
      <c r="AT203" s="255">
        <f t="shared" si="24"/>
        <v>3.3787089091329034E-2</v>
      </c>
      <c r="AU203" s="255">
        <f t="shared" si="25"/>
        <v>1.9709135303275272E-2</v>
      </c>
      <c r="AV203" s="255">
        <f t="shared" si="26"/>
        <v>0</v>
      </c>
      <c r="AW203" s="255">
        <f t="shared" si="27"/>
        <v>1.8230950155529626</v>
      </c>
    </row>
    <row r="204" spans="1:49" hidden="1">
      <c r="A204" s="153"/>
      <c r="B204" s="153"/>
      <c r="C204" s="153"/>
      <c r="D204" s="153"/>
      <c r="E204" s="153"/>
      <c r="F204" s="153"/>
      <c r="G204" s="153"/>
      <c r="H204" s="153"/>
      <c r="I204" s="153"/>
      <c r="J204" s="153"/>
      <c r="K204" s="153"/>
      <c r="M204" s="254"/>
      <c r="N204" s="153"/>
      <c r="O204" s="153"/>
      <c r="P204" s="153"/>
      <c r="Q204" s="255"/>
      <c r="R204" s="255"/>
      <c r="S204" s="255"/>
      <c r="T204" s="255"/>
      <c r="U204" s="255"/>
      <c r="V204" s="255"/>
      <c r="W204" s="255"/>
      <c r="Z204" s="153" t="s">
        <v>14</v>
      </c>
      <c r="AA204" s="153">
        <v>2002</v>
      </c>
      <c r="AB204" s="153" t="s">
        <v>689</v>
      </c>
      <c r="AC204" s="153">
        <v>24531</v>
      </c>
      <c r="AD204" s="153">
        <v>34323</v>
      </c>
      <c r="AE204" s="153">
        <v>22397</v>
      </c>
      <c r="AF204" s="153">
        <v>14545</v>
      </c>
      <c r="AG204" s="153">
        <v>1759</v>
      </c>
      <c r="AH204" s="153">
        <v>1374</v>
      </c>
      <c r="AI204" s="153">
        <v>34</v>
      </c>
      <c r="AJ204" s="153">
        <v>98963</v>
      </c>
      <c r="AL204" s="256">
        <f>VLOOKUP(AA204,pgdp!$A$13:$C$90,3,FALSE)</f>
        <v>0.72177029812501559</v>
      </c>
      <c r="AM204" s="153" t="s">
        <v>14</v>
      </c>
      <c r="AN204" s="153">
        <v>2002</v>
      </c>
      <c r="AO204" s="153" t="s">
        <v>689</v>
      </c>
      <c r="AP204" s="255">
        <f t="shared" si="28"/>
        <v>33.987267228542926</v>
      </c>
      <c r="AQ204" s="255">
        <f t="shared" si="21"/>
        <v>47.553910280269001</v>
      </c>
      <c r="AR204" s="255">
        <f t="shared" si="22"/>
        <v>31.030647919680238</v>
      </c>
      <c r="AS204" s="255">
        <f t="shared" si="23"/>
        <v>20.15184060328388</v>
      </c>
      <c r="AT204" s="255">
        <f t="shared" si="24"/>
        <v>2.4370634321881299</v>
      </c>
      <c r="AU204" s="255">
        <f t="shared" si="25"/>
        <v>1.9036527321355827</v>
      </c>
      <c r="AV204" s="255">
        <f t="shared" si="26"/>
        <v>4.7106399485159982E-2</v>
      </c>
      <c r="AW204" s="255">
        <f t="shared" si="27"/>
        <v>137.11148859558494</v>
      </c>
    </row>
    <row r="205" spans="1:49" hidden="1">
      <c r="A205" s="153"/>
      <c r="B205" s="153"/>
      <c r="C205" s="153"/>
      <c r="D205" s="153"/>
      <c r="E205" s="153"/>
      <c r="F205" s="153"/>
      <c r="G205" s="153"/>
      <c r="H205" s="153"/>
      <c r="I205" s="153"/>
      <c r="J205" s="153"/>
      <c r="K205" s="153"/>
      <c r="M205" s="256"/>
      <c r="N205" s="153"/>
      <c r="O205" s="153"/>
      <c r="P205" s="153"/>
      <c r="Q205" s="255"/>
      <c r="R205" s="255"/>
      <c r="S205" s="255"/>
      <c r="T205" s="255"/>
      <c r="U205" s="255"/>
      <c r="V205" s="255"/>
      <c r="W205" s="255"/>
      <c r="Z205" s="153" t="s">
        <v>14</v>
      </c>
      <c r="AA205" s="153">
        <v>2002</v>
      </c>
      <c r="AB205" s="153" t="s">
        <v>692</v>
      </c>
      <c r="AC205" s="153">
        <v>206</v>
      </c>
      <c r="AD205" s="153">
        <v>41</v>
      </c>
      <c r="AE205" s="153">
        <v>832</v>
      </c>
      <c r="AF205" s="153">
        <v>-26</v>
      </c>
      <c r="AG205" s="153">
        <v>47</v>
      </c>
      <c r="AH205" s="153"/>
      <c r="AI205" s="153"/>
      <c r="AJ205" s="153">
        <v>1100</v>
      </c>
      <c r="AL205" s="256">
        <f>VLOOKUP(AA205,pgdp!$A$13:$C$90,3,FALSE)</f>
        <v>0.72177029812501559</v>
      </c>
      <c r="AM205" s="153" t="s">
        <v>14</v>
      </c>
      <c r="AN205" s="153">
        <v>2002</v>
      </c>
      <c r="AO205" s="153" t="s">
        <v>692</v>
      </c>
      <c r="AP205" s="255">
        <f t="shared" si="28"/>
        <v>0.2854093615865575</v>
      </c>
      <c r="AQ205" s="255">
        <f t="shared" si="21"/>
        <v>5.6804775849751743E-2</v>
      </c>
      <c r="AR205" s="255">
        <f t="shared" si="22"/>
        <v>1.1527213050486207</v>
      </c>
      <c r="AS205" s="255">
        <f t="shared" si="23"/>
        <v>-3.6022540782769397E-2</v>
      </c>
      <c r="AT205" s="255">
        <f t="shared" si="24"/>
        <v>6.5117669876544687E-2</v>
      </c>
      <c r="AU205" s="255">
        <f t="shared" si="25"/>
        <v>0</v>
      </c>
      <c r="AV205" s="255">
        <f t="shared" si="26"/>
        <v>0</v>
      </c>
      <c r="AW205" s="255">
        <f t="shared" si="27"/>
        <v>1.5240305715787053</v>
      </c>
    </row>
    <row r="206" spans="1:49" s="248" customFormat="1" hidden="1">
      <c r="A206" s="153"/>
      <c r="B206" s="153"/>
      <c r="C206" s="153"/>
      <c r="D206" s="153"/>
      <c r="E206" s="153"/>
      <c r="F206" s="153"/>
      <c r="G206" s="153"/>
      <c r="H206" s="153"/>
      <c r="I206" s="153"/>
      <c r="J206" s="153"/>
      <c r="K206" s="153"/>
      <c r="M206" s="256"/>
      <c r="N206" s="153"/>
      <c r="O206" s="153"/>
      <c r="P206" s="153"/>
      <c r="Q206" s="255"/>
      <c r="R206" s="255"/>
      <c r="S206" s="255"/>
      <c r="T206" s="255"/>
      <c r="U206" s="255"/>
      <c r="V206" s="255"/>
      <c r="W206" s="255"/>
      <c r="Z206" s="153" t="s">
        <v>14</v>
      </c>
      <c r="AA206" s="153">
        <v>2003</v>
      </c>
      <c r="AB206" s="153" t="s">
        <v>689</v>
      </c>
      <c r="AC206" s="153">
        <v>25317</v>
      </c>
      <c r="AD206" s="153">
        <v>34367</v>
      </c>
      <c r="AE206" s="153">
        <v>28880</v>
      </c>
      <c r="AF206" s="153">
        <v>18513</v>
      </c>
      <c r="AG206" s="153">
        <v>1496</v>
      </c>
      <c r="AH206" s="153">
        <v>1534</v>
      </c>
      <c r="AI206" s="153">
        <v>24</v>
      </c>
      <c r="AJ206" s="153">
        <v>110130</v>
      </c>
      <c r="AK206" s="251"/>
      <c r="AL206" s="254">
        <f>VLOOKUP(AA206,pgdp!$A$13:$C$90,3,FALSE)</f>
        <v>0.73558157581522121</v>
      </c>
      <c r="AM206" s="153" t="s">
        <v>14</v>
      </c>
      <c r="AN206" s="153">
        <v>2003</v>
      </c>
      <c r="AO206" s="153" t="s">
        <v>689</v>
      </c>
      <c r="AP206" s="255">
        <f t="shared" si="28"/>
        <v>34.417664651187039</v>
      </c>
      <c r="AQ206" s="255">
        <f t="shared" si="21"/>
        <v>46.720854803781847</v>
      </c>
      <c r="AR206" s="255">
        <f t="shared" si="22"/>
        <v>39.261451006291495</v>
      </c>
      <c r="AS206" s="255">
        <f t="shared" si="23"/>
        <v>25.167840806075983</v>
      </c>
      <c r="AT206" s="255">
        <f t="shared" si="24"/>
        <v>2.0337649136223019</v>
      </c>
      <c r="AU206" s="255">
        <f t="shared" si="25"/>
        <v>2.0854247175779483</v>
      </c>
      <c r="AV206" s="255">
        <f t="shared" si="26"/>
        <v>3.2627244603566342E-2</v>
      </c>
      <c r="AW206" s="255">
        <f t="shared" si="27"/>
        <v>149.71826867461505</v>
      </c>
    </row>
    <row r="207" spans="1:49" hidden="1">
      <c r="A207" s="153"/>
      <c r="B207" s="153"/>
      <c r="C207" s="153"/>
      <c r="D207" s="153"/>
      <c r="E207" s="153"/>
      <c r="F207" s="153"/>
      <c r="G207" s="153"/>
      <c r="H207" s="153"/>
      <c r="I207" s="153"/>
      <c r="J207" s="153"/>
      <c r="K207" s="153"/>
      <c r="M207" s="254"/>
      <c r="N207" s="153"/>
      <c r="O207" s="153"/>
      <c r="P207" s="153"/>
      <c r="Q207" s="255"/>
      <c r="R207" s="255"/>
      <c r="S207" s="255"/>
      <c r="T207" s="255"/>
      <c r="U207" s="255"/>
      <c r="V207" s="255"/>
      <c r="W207" s="255"/>
      <c r="Z207" s="153" t="s">
        <v>14</v>
      </c>
      <c r="AA207" s="153">
        <v>2003</v>
      </c>
      <c r="AB207" s="153" t="s">
        <v>693</v>
      </c>
      <c r="AC207" s="153">
        <v>3363</v>
      </c>
      <c r="AD207" s="153">
        <v>8887</v>
      </c>
      <c r="AE207" s="153">
        <v>2500</v>
      </c>
      <c r="AF207" s="153">
        <v>312</v>
      </c>
      <c r="AG207" s="153">
        <v>138</v>
      </c>
      <c r="AH207" s="153">
        <v>2</v>
      </c>
      <c r="AI207" s="153"/>
      <c r="AJ207" s="153">
        <v>15202</v>
      </c>
      <c r="AK207" s="248"/>
      <c r="AL207" s="256">
        <f>VLOOKUP(AA207,pgdp!$A$13:$C$90,3,FALSE)</f>
        <v>0.73558157581522121</v>
      </c>
      <c r="AM207" s="153" t="s">
        <v>14</v>
      </c>
      <c r="AN207" s="153">
        <v>2003</v>
      </c>
      <c r="AO207" s="153" t="s">
        <v>693</v>
      </c>
      <c r="AP207" s="255">
        <f t="shared" si="28"/>
        <v>4.5718926500747328</v>
      </c>
      <c r="AQ207" s="255">
        <f t="shared" si="21"/>
        <v>12.081596782995586</v>
      </c>
      <c r="AR207" s="255">
        <f t="shared" si="22"/>
        <v>3.3986713128714938</v>
      </c>
      <c r="AS207" s="255">
        <f t="shared" si="23"/>
        <v>0.42415417984636239</v>
      </c>
      <c r="AT207" s="255">
        <f t="shared" si="24"/>
        <v>0.18760665647050645</v>
      </c>
      <c r="AU207" s="255">
        <f t="shared" si="25"/>
        <v>2.7189370502971946E-3</v>
      </c>
      <c r="AV207" s="255">
        <f t="shared" si="26"/>
        <v>0</v>
      </c>
      <c r="AW207" s="255">
        <f t="shared" si="27"/>
        <v>20.666640519308977</v>
      </c>
    </row>
    <row r="208" spans="1:49" hidden="1">
      <c r="A208" s="153"/>
      <c r="B208" s="153"/>
      <c r="C208" s="153"/>
      <c r="D208" s="153"/>
      <c r="E208" s="153"/>
      <c r="F208" s="153"/>
      <c r="G208" s="153"/>
      <c r="H208" s="153"/>
      <c r="I208" s="153"/>
      <c r="J208" s="153"/>
      <c r="K208" s="153"/>
      <c r="M208" s="256"/>
      <c r="N208" s="153"/>
      <c r="O208" s="153"/>
      <c r="P208" s="153"/>
      <c r="Q208" s="255"/>
      <c r="R208" s="255"/>
      <c r="S208" s="255"/>
      <c r="T208" s="255"/>
      <c r="U208" s="255"/>
      <c r="V208" s="255"/>
      <c r="W208" s="255"/>
      <c r="Z208" s="153" t="s">
        <v>14</v>
      </c>
      <c r="AA208" s="153">
        <v>2004</v>
      </c>
      <c r="AB208" s="153" t="s">
        <v>689</v>
      </c>
      <c r="AC208" s="153">
        <v>26231</v>
      </c>
      <c r="AD208" s="153">
        <v>32981</v>
      </c>
      <c r="AE208" s="153">
        <v>28836</v>
      </c>
      <c r="AF208" s="153">
        <v>20251</v>
      </c>
      <c r="AG208" s="153">
        <v>1538</v>
      </c>
      <c r="AH208" s="153">
        <v>1434</v>
      </c>
      <c r="AI208" s="153">
        <v>0</v>
      </c>
      <c r="AJ208" s="153">
        <v>111270</v>
      </c>
      <c r="AL208" s="254">
        <f>VLOOKUP(AA208,pgdp!$A$13:$C$90,3,FALSE)</f>
        <v>0.75378638244667995</v>
      </c>
      <c r="AM208" s="153" t="s">
        <v>14</v>
      </c>
      <c r="AN208" s="153">
        <v>2004</v>
      </c>
      <c r="AO208" s="153" t="s">
        <v>689</v>
      </c>
      <c r="AP208" s="255">
        <f t="shared" si="28"/>
        <v>34.798983652182763</v>
      </c>
      <c r="AQ208" s="255">
        <f t="shared" si="21"/>
        <v>43.753775297649334</v>
      </c>
      <c r="AR208" s="255">
        <f t="shared" si="22"/>
        <v>38.254869909433197</v>
      </c>
      <c r="AS208" s="255">
        <f t="shared" si="23"/>
        <v>26.865701572199047</v>
      </c>
      <c r="AT208" s="255">
        <f t="shared" si="24"/>
        <v>2.0403658593670499</v>
      </c>
      <c r="AU208" s="255">
        <f t="shared" si="25"/>
        <v>1.9023957362368986</v>
      </c>
      <c r="AV208" s="255">
        <f t="shared" si="26"/>
        <v>0</v>
      </c>
      <c r="AW208" s="255">
        <f t="shared" si="27"/>
        <v>147.61476539126897</v>
      </c>
    </row>
    <row r="209" spans="1:49" s="248" customFormat="1" hidden="1">
      <c r="A209" s="153"/>
      <c r="B209" s="153"/>
      <c r="C209" s="153"/>
      <c r="D209" s="153"/>
      <c r="E209" s="153"/>
      <c r="F209" s="153"/>
      <c r="G209" s="153"/>
      <c r="H209" s="153"/>
      <c r="I209" s="153"/>
      <c r="J209" s="153"/>
      <c r="K209" s="153"/>
      <c r="M209" s="256"/>
      <c r="N209" s="153"/>
      <c r="O209" s="153"/>
      <c r="P209" s="153"/>
      <c r="Q209" s="255"/>
      <c r="R209" s="255"/>
      <c r="S209" s="255"/>
      <c r="T209" s="255"/>
      <c r="U209" s="255"/>
      <c r="V209" s="255"/>
      <c r="W209" s="255"/>
      <c r="Z209" s="153" t="s">
        <v>14</v>
      </c>
      <c r="AA209" s="153">
        <v>2004</v>
      </c>
      <c r="AB209" s="153" t="s">
        <v>694</v>
      </c>
      <c r="AC209" s="153">
        <v>3450</v>
      </c>
      <c r="AD209" s="153">
        <v>6102</v>
      </c>
      <c r="AE209" s="153">
        <v>3622</v>
      </c>
      <c r="AF209" s="153">
        <v>39</v>
      </c>
      <c r="AG209" s="153">
        <v>293</v>
      </c>
      <c r="AH209" s="153">
        <v>7</v>
      </c>
      <c r="AI209" s="153"/>
      <c r="AJ209" s="153">
        <v>13513</v>
      </c>
      <c r="AK209" s="251"/>
      <c r="AL209" s="256">
        <f>VLOOKUP(AA209,pgdp!$A$13:$C$90,3,FALSE)</f>
        <v>0.75378638244667995</v>
      </c>
      <c r="AM209" s="153" t="s">
        <v>14</v>
      </c>
      <c r="AN209" s="153">
        <v>2004</v>
      </c>
      <c r="AO209" s="153" t="s">
        <v>694</v>
      </c>
      <c r="AP209" s="255">
        <f t="shared" si="28"/>
        <v>4.5768935076829145</v>
      </c>
      <c r="AQ209" s="255">
        <f t="shared" si="21"/>
        <v>8.0951316475017805</v>
      </c>
      <c r="AR209" s="255">
        <f t="shared" si="22"/>
        <v>4.8050748651673967</v>
      </c>
      <c r="AS209" s="255">
        <f t="shared" si="23"/>
        <v>5.1738796173806861E-2</v>
      </c>
      <c r="AT209" s="255">
        <f t="shared" si="24"/>
        <v>0.38870428920321565</v>
      </c>
      <c r="AU209" s="255">
        <f t="shared" si="25"/>
        <v>9.2864505952986679E-3</v>
      </c>
      <c r="AV209" s="255">
        <f t="shared" si="26"/>
        <v>0</v>
      </c>
      <c r="AW209" s="255">
        <f t="shared" si="27"/>
        <v>17.926829556324414</v>
      </c>
    </row>
    <row r="210" spans="1:49" hidden="1">
      <c r="A210" s="153"/>
      <c r="B210" s="153"/>
      <c r="C210" s="153"/>
      <c r="D210" s="153"/>
      <c r="E210" s="153"/>
      <c r="F210" s="153"/>
      <c r="G210" s="153"/>
      <c r="H210" s="153"/>
      <c r="I210" s="153"/>
      <c r="J210" s="153"/>
      <c r="K210" s="153"/>
      <c r="M210" s="256"/>
      <c r="N210" s="153"/>
      <c r="O210" s="153"/>
      <c r="P210" s="153"/>
      <c r="Q210" s="255"/>
      <c r="R210" s="255"/>
      <c r="S210" s="255"/>
      <c r="T210" s="255"/>
      <c r="U210" s="255"/>
      <c r="V210" s="255"/>
      <c r="W210" s="255"/>
      <c r="Z210" s="153" t="s">
        <v>14</v>
      </c>
      <c r="AA210" s="153">
        <v>2004</v>
      </c>
      <c r="AB210" s="153" t="s">
        <v>695</v>
      </c>
      <c r="AC210" s="153"/>
      <c r="AD210" s="153">
        <v>169</v>
      </c>
      <c r="AE210" s="153">
        <v>2</v>
      </c>
      <c r="AF210" s="153"/>
      <c r="AG210" s="153"/>
      <c r="AH210" s="153"/>
      <c r="AI210" s="153"/>
      <c r="AJ210" s="153">
        <v>172</v>
      </c>
      <c r="AK210" s="248"/>
      <c r="AL210" s="256">
        <f>VLOOKUP(AA210,pgdp!$A$13:$C$90,3,FALSE)</f>
        <v>0.75378638244667995</v>
      </c>
      <c r="AM210" s="153" t="s">
        <v>14</v>
      </c>
      <c r="AN210" s="153">
        <v>2004</v>
      </c>
      <c r="AO210" s="153" t="s">
        <v>695</v>
      </c>
      <c r="AP210" s="255">
        <f t="shared" si="28"/>
        <v>0</v>
      </c>
      <c r="AQ210" s="255">
        <f t="shared" si="21"/>
        <v>0.22420145008649642</v>
      </c>
      <c r="AR210" s="255">
        <f t="shared" si="22"/>
        <v>2.6532715986567622E-3</v>
      </c>
      <c r="AS210" s="255">
        <f t="shared" si="23"/>
        <v>0</v>
      </c>
      <c r="AT210" s="255">
        <f t="shared" si="24"/>
        <v>0</v>
      </c>
      <c r="AU210" s="255">
        <f t="shared" si="25"/>
        <v>0</v>
      </c>
      <c r="AV210" s="255">
        <f t="shared" si="26"/>
        <v>0</v>
      </c>
      <c r="AW210" s="255">
        <f t="shared" si="27"/>
        <v>0.22818135748448154</v>
      </c>
    </row>
    <row r="211" spans="1:49" s="248" customFormat="1" hidden="1">
      <c r="A211" s="153"/>
      <c r="B211" s="153"/>
      <c r="C211" s="153"/>
      <c r="D211" s="153"/>
      <c r="E211" s="153"/>
      <c r="F211" s="153"/>
      <c r="G211" s="153"/>
      <c r="H211" s="153"/>
      <c r="I211" s="153"/>
      <c r="J211" s="153"/>
      <c r="K211" s="153"/>
      <c r="M211" s="254"/>
      <c r="N211" s="153"/>
      <c r="O211" s="153"/>
      <c r="P211" s="153"/>
      <c r="Q211" s="255"/>
      <c r="R211" s="255"/>
      <c r="S211" s="255"/>
      <c r="T211" s="255"/>
      <c r="U211" s="255"/>
      <c r="V211" s="255"/>
      <c r="W211" s="255"/>
      <c r="Z211" s="153" t="s">
        <v>14</v>
      </c>
      <c r="AA211" s="153">
        <v>2005</v>
      </c>
      <c r="AB211" s="153" t="s">
        <v>689</v>
      </c>
      <c r="AC211" s="153">
        <v>28744</v>
      </c>
      <c r="AD211" s="153">
        <v>33925</v>
      </c>
      <c r="AE211" s="153">
        <v>32244</v>
      </c>
      <c r="AF211" s="153">
        <v>20408</v>
      </c>
      <c r="AG211" s="153">
        <v>1358</v>
      </c>
      <c r="AH211" s="153">
        <v>1669</v>
      </c>
      <c r="AI211" s="153">
        <v>0</v>
      </c>
      <c r="AJ211" s="153">
        <v>118349</v>
      </c>
      <c r="AK211" s="251"/>
      <c r="AL211" s="256">
        <f>VLOOKUP(AA211,pgdp!$A$13:$C$90,3,FALSE)</f>
        <v>0.77750760344715164</v>
      </c>
      <c r="AM211" s="153" t="s">
        <v>14</v>
      </c>
      <c r="AN211" s="153">
        <v>2005</v>
      </c>
      <c r="AO211" s="153" t="s">
        <v>689</v>
      </c>
      <c r="AP211" s="255">
        <f t="shared" si="28"/>
        <v>36.969413382661244</v>
      </c>
      <c r="AQ211" s="255">
        <f t="shared" si="21"/>
        <v>43.633013811814038</v>
      </c>
      <c r="AR211" s="255">
        <f t="shared" si="22"/>
        <v>41.4709770773215</v>
      </c>
      <c r="AS211" s="255">
        <f t="shared" si="23"/>
        <v>26.247974823036138</v>
      </c>
      <c r="AT211" s="255">
        <f t="shared" si="24"/>
        <v>1.7466067135281786</v>
      </c>
      <c r="AU211" s="255">
        <f t="shared" si="25"/>
        <v>2.1466028018251326</v>
      </c>
      <c r="AV211" s="255">
        <f t="shared" si="26"/>
        <v>0</v>
      </c>
      <c r="AW211" s="255">
        <f t="shared" si="27"/>
        <v>152.21587477124186</v>
      </c>
    </row>
    <row r="212" spans="1:49" hidden="1">
      <c r="A212" s="153"/>
      <c r="B212" s="153"/>
      <c r="C212" s="153"/>
      <c r="D212" s="153"/>
      <c r="E212" s="153"/>
      <c r="F212" s="153"/>
      <c r="G212" s="153"/>
      <c r="H212" s="153"/>
      <c r="I212" s="153"/>
      <c r="J212" s="153"/>
      <c r="K212" s="153"/>
      <c r="M212" s="256"/>
      <c r="N212" s="153"/>
      <c r="O212" s="153"/>
      <c r="P212" s="153"/>
      <c r="Q212" s="255"/>
      <c r="R212" s="255"/>
      <c r="S212" s="255"/>
      <c r="T212" s="255"/>
      <c r="U212" s="255"/>
      <c r="V212" s="255"/>
      <c r="W212" s="255"/>
      <c r="Z212" s="153" t="s">
        <v>14</v>
      </c>
      <c r="AA212" s="153">
        <v>2005</v>
      </c>
      <c r="AB212" s="153" t="s">
        <v>696</v>
      </c>
      <c r="AC212" s="153">
        <v>1600</v>
      </c>
      <c r="AD212" s="153">
        <v>5627</v>
      </c>
      <c r="AE212" s="153">
        <v>2870</v>
      </c>
      <c r="AF212" s="153">
        <v>143</v>
      </c>
      <c r="AG212" s="153">
        <v>141</v>
      </c>
      <c r="AH212" s="153"/>
      <c r="AI212" s="153"/>
      <c r="AJ212" s="153">
        <v>10381</v>
      </c>
      <c r="AK212" s="248"/>
      <c r="AL212" s="254">
        <f>VLOOKUP(AA212,pgdp!$A$13:$C$90,3,FALSE)</f>
        <v>0.77750760344715164</v>
      </c>
      <c r="AM212" s="153" t="s">
        <v>14</v>
      </c>
      <c r="AN212" s="153">
        <v>2005</v>
      </c>
      <c r="AO212" s="153" t="s">
        <v>696</v>
      </c>
      <c r="AP212" s="255">
        <f t="shared" si="28"/>
        <v>2.0578576889875451</v>
      </c>
      <c r="AQ212" s="255">
        <f t="shared" si="21"/>
        <v>7.237228259958072</v>
      </c>
      <c r="AR212" s="255">
        <f t="shared" si="22"/>
        <v>3.6912822296214087</v>
      </c>
      <c r="AS212" s="255">
        <f t="shared" si="23"/>
        <v>0.18392103095326184</v>
      </c>
      <c r="AT212" s="255">
        <f t="shared" si="24"/>
        <v>0.18134870884202742</v>
      </c>
      <c r="AU212" s="255">
        <f t="shared" si="25"/>
        <v>0</v>
      </c>
      <c r="AV212" s="255">
        <f t="shared" si="26"/>
        <v>0</v>
      </c>
      <c r="AW212" s="255">
        <f t="shared" si="27"/>
        <v>13.351637918362316</v>
      </c>
    </row>
    <row r="213" spans="1:49" hidden="1">
      <c r="A213" s="153"/>
      <c r="B213" s="153"/>
      <c r="C213" s="153"/>
      <c r="D213" s="153"/>
      <c r="E213" s="153"/>
      <c r="F213" s="153"/>
      <c r="G213" s="153"/>
      <c r="H213" s="153"/>
      <c r="I213" s="153"/>
      <c r="J213" s="153"/>
      <c r="K213" s="153"/>
      <c r="M213" s="256"/>
      <c r="N213" s="153"/>
      <c r="O213" s="153"/>
      <c r="P213" s="153"/>
      <c r="Q213" s="255"/>
      <c r="R213" s="255"/>
      <c r="S213" s="255"/>
      <c r="T213" s="255"/>
      <c r="U213" s="255"/>
      <c r="V213" s="255"/>
      <c r="W213" s="255"/>
      <c r="Z213" s="153" t="s">
        <v>14</v>
      </c>
      <c r="AA213" s="153">
        <v>2005</v>
      </c>
      <c r="AB213" s="153" t="s">
        <v>697</v>
      </c>
      <c r="AC213" s="153">
        <v>0</v>
      </c>
      <c r="AD213" s="153">
        <v>200</v>
      </c>
      <c r="AE213" s="153">
        <v>3</v>
      </c>
      <c r="AF213" s="153"/>
      <c r="AG213" s="153"/>
      <c r="AH213" s="153">
        <v>11</v>
      </c>
      <c r="AI213" s="153"/>
      <c r="AJ213" s="153">
        <v>214</v>
      </c>
      <c r="AL213" s="256">
        <f>VLOOKUP(AA213,pgdp!$A$13:$C$90,3,FALSE)</f>
        <v>0.77750760344715164</v>
      </c>
      <c r="AM213" s="153" t="s">
        <v>14</v>
      </c>
      <c r="AN213" s="153">
        <v>2005</v>
      </c>
      <c r="AO213" s="153" t="s">
        <v>697</v>
      </c>
      <c r="AP213" s="255">
        <f t="shared" si="28"/>
        <v>0</v>
      </c>
      <c r="AQ213" s="255">
        <f t="shared" si="21"/>
        <v>0.25723221112344313</v>
      </c>
      <c r="AR213" s="255">
        <f t="shared" si="22"/>
        <v>3.8584831668516469E-3</v>
      </c>
      <c r="AS213" s="255">
        <f t="shared" si="23"/>
        <v>0</v>
      </c>
      <c r="AT213" s="255">
        <f t="shared" si="24"/>
        <v>0</v>
      </c>
      <c r="AU213" s="255">
        <f t="shared" si="25"/>
        <v>1.4147771611789371E-2</v>
      </c>
      <c r="AV213" s="255">
        <f t="shared" si="26"/>
        <v>0</v>
      </c>
      <c r="AW213" s="255">
        <f t="shared" si="27"/>
        <v>0.27523846590208417</v>
      </c>
    </row>
    <row r="214" spans="1:49" hidden="1">
      <c r="A214" s="153"/>
      <c r="B214" s="153"/>
      <c r="C214" s="153"/>
      <c r="D214" s="153"/>
      <c r="E214" s="153"/>
      <c r="F214" s="153"/>
      <c r="G214" s="153"/>
      <c r="H214" s="153"/>
      <c r="I214" s="153"/>
      <c r="J214" s="153"/>
      <c r="K214" s="153"/>
      <c r="M214" s="254"/>
      <c r="N214" s="153"/>
      <c r="O214" s="153"/>
      <c r="P214" s="153"/>
      <c r="Q214" s="255"/>
      <c r="R214" s="255"/>
      <c r="S214" s="255"/>
      <c r="T214" s="255"/>
      <c r="U214" s="255"/>
      <c r="V214" s="255"/>
      <c r="W214" s="255"/>
      <c r="Z214" s="153" t="s">
        <v>14</v>
      </c>
      <c r="AA214" s="153">
        <v>2006</v>
      </c>
      <c r="AB214" s="153" t="s">
        <v>689</v>
      </c>
      <c r="AC214" s="153">
        <v>29548</v>
      </c>
      <c r="AD214" s="153">
        <v>38035</v>
      </c>
      <c r="AE214" s="153">
        <v>33603</v>
      </c>
      <c r="AF214" s="153">
        <v>21813</v>
      </c>
      <c r="AG214" s="153">
        <v>1964</v>
      </c>
      <c r="AH214" s="153">
        <v>1761</v>
      </c>
      <c r="AI214" s="153">
        <v>212</v>
      </c>
      <c r="AJ214" s="153">
        <v>126938</v>
      </c>
      <c r="AK214" s="248"/>
      <c r="AL214" s="256">
        <f>VLOOKUP(AA214,pgdp!$A$13:$C$90,3,FALSE)</f>
        <v>0.80275228380407149</v>
      </c>
      <c r="AM214" s="153" t="s">
        <v>14</v>
      </c>
      <c r="AN214" s="153">
        <v>2006</v>
      </c>
      <c r="AO214" s="153" t="s">
        <v>689</v>
      </c>
      <c r="AP214" s="255">
        <f t="shared" si="28"/>
        <v>36.808366162445957</v>
      </c>
      <c r="AQ214" s="255">
        <f t="shared" si="21"/>
        <v>47.380743434027075</v>
      </c>
      <c r="AR214" s="255">
        <f t="shared" si="22"/>
        <v>41.859737652520359</v>
      </c>
      <c r="AS214" s="255">
        <f t="shared" si="23"/>
        <v>27.172766045127716</v>
      </c>
      <c r="AT214" s="255">
        <f t="shared" si="24"/>
        <v>2.4465828869312261</v>
      </c>
      <c r="AU214" s="255">
        <f t="shared" si="25"/>
        <v>2.1937028838522856</v>
      </c>
      <c r="AV214" s="255">
        <f t="shared" si="26"/>
        <v>0.26409143178687366</v>
      </c>
      <c r="AW214" s="255">
        <f t="shared" si="27"/>
        <v>158.12848192529324</v>
      </c>
    </row>
    <row r="215" spans="1:49" s="248" customFormat="1" hidden="1">
      <c r="A215" s="153"/>
      <c r="B215" s="153"/>
      <c r="C215" s="153"/>
      <c r="D215" s="153"/>
      <c r="E215" s="153"/>
      <c r="F215" s="153"/>
      <c r="G215" s="153"/>
      <c r="H215" s="153"/>
      <c r="I215" s="153"/>
      <c r="J215" s="153"/>
      <c r="K215" s="153"/>
      <c r="M215" s="256"/>
      <c r="N215" s="153"/>
      <c r="O215" s="153"/>
      <c r="P215" s="153"/>
      <c r="Q215" s="255"/>
      <c r="R215" s="255"/>
      <c r="S215" s="255"/>
      <c r="T215" s="255"/>
      <c r="U215" s="255"/>
      <c r="V215" s="255"/>
      <c r="W215" s="255"/>
      <c r="Z215" s="153" t="s">
        <v>14</v>
      </c>
      <c r="AA215" s="153">
        <v>2006</v>
      </c>
      <c r="AB215" s="153" t="s">
        <v>698</v>
      </c>
      <c r="AC215" s="153">
        <v>1670</v>
      </c>
      <c r="AD215" s="153">
        <v>8121</v>
      </c>
      <c r="AE215" s="153">
        <v>2235</v>
      </c>
      <c r="AF215" s="153">
        <v>395</v>
      </c>
      <c r="AG215" s="153">
        <v>28</v>
      </c>
      <c r="AH215" s="153"/>
      <c r="AI215" s="153"/>
      <c r="AJ215" s="153">
        <v>12449</v>
      </c>
      <c r="AK215" s="251"/>
      <c r="AL215" s="254">
        <f>VLOOKUP(AA215,pgdp!$A$13:$C$90,3,FALSE)</f>
        <v>0.80275228380407149</v>
      </c>
      <c r="AM215" s="153" t="s">
        <v>14</v>
      </c>
      <c r="AN215" s="153">
        <v>2006</v>
      </c>
      <c r="AO215" s="153" t="s">
        <v>698</v>
      </c>
      <c r="AP215" s="255">
        <f t="shared" si="28"/>
        <v>2.0803428824720709</v>
      </c>
      <c r="AQ215" s="255">
        <f t="shared" si="21"/>
        <v>10.116445837458496</v>
      </c>
      <c r="AR215" s="255">
        <f t="shared" si="22"/>
        <v>2.7841714624701068</v>
      </c>
      <c r="AS215" s="255">
        <f t="shared" si="23"/>
        <v>0.49205714884818447</v>
      </c>
      <c r="AT215" s="255">
        <f t="shared" si="24"/>
        <v>3.488000042468143E-2</v>
      </c>
      <c r="AU215" s="255">
        <f t="shared" si="25"/>
        <v>0</v>
      </c>
      <c r="AV215" s="255">
        <f t="shared" si="26"/>
        <v>0</v>
      </c>
      <c r="AW215" s="255">
        <f t="shared" si="27"/>
        <v>15.50789733167354</v>
      </c>
    </row>
    <row r="216" spans="1:49" hidden="1">
      <c r="A216" s="153"/>
      <c r="B216" s="153"/>
      <c r="C216" s="153"/>
      <c r="D216" s="153"/>
      <c r="E216" s="153"/>
      <c r="F216" s="153"/>
      <c r="G216" s="153"/>
      <c r="H216" s="153"/>
      <c r="I216" s="153"/>
      <c r="J216" s="153"/>
      <c r="K216" s="153"/>
      <c r="M216" s="254"/>
      <c r="N216" s="153"/>
      <c r="O216" s="153"/>
      <c r="P216" s="153"/>
      <c r="Q216" s="255"/>
      <c r="R216" s="255"/>
      <c r="S216" s="255"/>
      <c r="T216" s="255"/>
      <c r="U216" s="255"/>
      <c r="V216" s="255"/>
      <c r="W216" s="255"/>
      <c r="Z216" s="153" t="s">
        <v>14</v>
      </c>
      <c r="AA216" s="153">
        <v>2006</v>
      </c>
      <c r="AB216" s="153" t="s">
        <v>699</v>
      </c>
      <c r="AC216" s="153">
        <v>180</v>
      </c>
      <c r="AD216" s="153">
        <v>553</v>
      </c>
      <c r="AE216" s="153">
        <v>151</v>
      </c>
      <c r="AF216" s="153">
        <v>12</v>
      </c>
      <c r="AG216" s="153">
        <v>191</v>
      </c>
      <c r="AH216" s="153">
        <v>325</v>
      </c>
      <c r="AI216" s="153"/>
      <c r="AJ216" s="153">
        <v>1411</v>
      </c>
      <c r="AL216" s="256">
        <f>VLOOKUP(AA216,pgdp!$A$13:$C$90,3,FALSE)</f>
        <v>0.80275228380407149</v>
      </c>
      <c r="AM216" s="153" t="s">
        <v>14</v>
      </c>
      <c r="AN216" s="153">
        <v>2006</v>
      </c>
      <c r="AO216" s="153" t="s">
        <v>699</v>
      </c>
      <c r="AP216" s="255">
        <f t="shared" si="28"/>
        <v>0.22422857415866634</v>
      </c>
      <c r="AQ216" s="255">
        <f t="shared" si="21"/>
        <v>0.68888000838745822</v>
      </c>
      <c r="AR216" s="255">
        <f t="shared" si="22"/>
        <v>0.18810285943310343</v>
      </c>
      <c r="AS216" s="255">
        <f t="shared" si="23"/>
        <v>1.4948571610577754E-2</v>
      </c>
      <c r="AT216" s="255">
        <f t="shared" si="24"/>
        <v>0.2379314314683626</v>
      </c>
      <c r="AU216" s="255">
        <f t="shared" si="25"/>
        <v>0.40485714778648085</v>
      </c>
      <c r="AV216" s="255">
        <f t="shared" si="26"/>
        <v>0</v>
      </c>
      <c r="AW216" s="255">
        <f t="shared" si="27"/>
        <v>1.7577028785437676</v>
      </c>
    </row>
    <row r="217" spans="1:49" hidden="1">
      <c r="A217" s="153"/>
      <c r="B217" s="153"/>
      <c r="C217" s="153"/>
      <c r="D217" s="153"/>
      <c r="E217" s="153"/>
      <c r="F217" s="153"/>
      <c r="G217" s="153"/>
      <c r="H217" s="153"/>
      <c r="I217" s="153"/>
      <c r="J217" s="153"/>
      <c r="K217" s="153"/>
      <c r="M217" s="256"/>
      <c r="N217" s="153"/>
      <c r="O217" s="153"/>
      <c r="P217" s="153"/>
      <c r="Q217" s="255"/>
      <c r="R217" s="255"/>
      <c r="S217" s="255"/>
      <c r="T217" s="255"/>
      <c r="U217" s="255"/>
      <c r="V217" s="255"/>
      <c r="W217" s="255"/>
      <c r="Z217" s="153" t="s">
        <v>14</v>
      </c>
      <c r="AA217" s="153">
        <v>2006</v>
      </c>
      <c r="AB217" s="153" t="s">
        <v>700</v>
      </c>
      <c r="AC217" s="153"/>
      <c r="AD217" s="153"/>
      <c r="AE217" s="153"/>
      <c r="AF217" s="153"/>
      <c r="AG217" s="153"/>
      <c r="AH217" s="153"/>
      <c r="AI217" s="153"/>
      <c r="AJ217" s="153">
        <v>0</v>
      </c>
      <c r="AK217" s="248"/>
      <c r="AL217" s="254">
        <f>VLOOKUP(AA217,pgdp!$A$13:$C$90,3,FALSE)</f>
        <v>0.80275228380407149</v>
      </c>
      <c r="AM217" s="153" t="s">
        <v>14</v>
      </c>
      <c r="AN217" s="153">
        <v>2006</v>
      </c>
      <c r="AO217" s="153" t="s">
        <v>700</v>
      </c>
      <c r="AP217" s="255">
        <f t="shared" si="28"/>
        <v>0</v>
      </c>
      <c r="AQ217" s="255">
        <f t="shared" si="21"/>
        <v>0</v>
      </c>
      <c r="AR217" s="255">
        <f t="shared" si="22"/>
        <v>0</v>
      </c>
      <c r="AS217" s="255">
        <f t="shared" si="23"/>
        <v>0</v>
      </c>
      <c r="AT217" s="255">
        <f t="shared" si="24"/>
        <v>0</v>
      </c>
      <c r="AU217" s="255">
        <f t="shared" si="25"/>
        <v>0</v>
      </c>
      <c r="AV217" s="255">
        <f t="shared" si="26"/>
        <v>0</v>
      </c>
      <c r="AW217" s="255">
        <f t="shared" si="27"/>
        <v>0</v>
      </c>
    </row>
    <row r="218" spans="1:49" s="248" customFormat="1" hidden="1">
      <c r="A218" s="153"/>
      <c r="B218" s="153"/>
      <c r="C218" s="153"/>
      <c r="D218" s="153"/>
      <c r="E218" s="153"/>
      <c r="F218" s="153"/>
      <c r="G218" s="153"/>
      <c r="H218" s="153"/>
      <c r="I218" s="153"/>
      <c r="J218" s="153"/>
      <c r="K218" s="153"/>
      <c r="M218" s="256"/>
      <c r="N218" s="153"/>
      <c r="O218" s="153"/>
      <c r="P218" s="153"/>
      <c r="Q218" s="255"/>
      <c r="R218" s="255"/>
      <c r="S218" s="255"/>
      <c r="T218" s="255"/>
      <c r="U218" s="255"/>
      <c r="V218" s="255"/>
      <c r="W218" s="255"/>
      <c r="Z218" s="153" t="s">
        <v>14</v>
      </c>
      <c r="AA218" s="153">
        <v>2007</v>
      </c>
      <c r="AB218" s="153" t="s">
        <v>689</v>
      </c>
      <c r="AC218" s="153">
        <v>30163</v>
      </c>
      <c r="AD218" s="153">
        <v>38584</v>
      </c>
      <c r="AE218" s="153">
        <v>31490</v>
      </c>
      <c r="AF218" s="153">
        <v>24342</v>
      </c>
      <c r="AG218" s="153">
        <v>2285</v>
      </c>
      <c r="AH218" s="153">
        <v>1900</v>
      </c>
      <c r="AI218" s="153">
        <v>44</v>
      </c>
      <c r="AJ218" s="153">
        <v>128807</v>
      </c>
      <c r="AK218" s="251"/>
      <c r="AL218" s="256">
        <f>VLOOKUP(AA218,pgdp!$A$13:$C$90,3,FALSE)</f>
        <v>0.82459421647952613</v>
      </c>
      <c r="AM218" s="153" t="s">
        <v>14</v>
      </c>
      <c r="AN218" s="153">
        <v>2007</v>
      </c>
      <c r="AO218" s="153" t="s">
        <v>689</v>
      </c>
      <c r="AP218" s="255">
        <f t="shared" si="28"/>
        <v>36.579203925024032</v>
      </c>
      <c r="AQ218" s="255">
        <f t="shared" si="21"/>
        <v>46.791499659951839</v>
      </c>
      <c r="AR218" s="255">
        <f t="shared" si="22"/>
        <v>38.18848031028103</v>
      </c>
      <c r="AS218" s="255">
        <f t="shared" si="23"/>
        <v>29.51997420491778</v>
      </c>
      <c r="AT218" s="255">
        <f t="shared" si="24"/>
        <v>2.7710599399489415</v>
      </c>
      <c r="AU218" s="255">
        <f t="shared" si="25"/>
        <v>2.3041636262157499</v>
      </c>
      <c r="AV218" s="255">
        <f t="shared" si="26"/>
        <v>5.3359578712364734E-2</v>
      </c>
      <c r="AW218" s="255">
        <f t="shared" si="27"/>
        <v>156.20652852735375</v>
      </c>
    </row>
    <row r="219" spans="1:49" hidden="1">
      <c r="A219" s="153"/>
      <c r="B219" s="153"/>
      <c r="C219" s="153"/>
      <c r="D219" s="153"/>
      <c r="E219" s="153"/>
      <c r="F219" s="153"/>
      <c r="G219" s="153"/>
      <c r="H219" s="153"/>
      <c r="I219" s="153"/>
      <c r="J219" s="153"/>
      <c r="K219" s="153"/>
      <c r="M219" s="256"/>
      <c r="N219" s="153"/>
      <c r="O219" s="153"/>
      <c r="P219" s="153"/>
      <c r="Q219" s="255"/>
      <c r="R219" s="255"/>
      <c r="S219" s="255"/>
      <c r="T219" s="255"/>
      <c r="U219" s="255"/>
      <c r="V219" s="255"/>
      <c r="W219" s="255"/>
      <c r="Z219" s="153" t="s">
        <v>14</v>
      </c>
      <c r="AA219" s="153">
        <v>2007</v>
      </c>
      <c r="AB219" s="153" t="s">
        <v>701</v>
      </c>
      <c r="AC219" s="153">
        <v>1626</v>
      </c>
      <c r="AD219" s="153">
        <v>9653</v>
      </c>
      <c r="AE219" s="153">
        <v>7945</v>
      </c>
      <c r="AF219" s="153">
        <v>224</v>
      </c>
      <c r="AG219" s="153">
        <v>43</v>
      </c>
      <c r="AH219" s="153"/>
      <c r="AI219" s="153"/>
      <c r="AJ219" s="153">
        <v>19491</v>
      </c>
      <c r="AL219" s="254">
        <f>VLOOKUP(AA219,pgdp!$A$13:$C$90,3,FALSE)</f>
        <v>0.82459421647952613</v>
      </c>
      <c r="AM219" s="153" t="s">
        <v>14</v>
      </c>
      <c r="AN219" s="153">
        <v>2007</v>
      </c>
      <c r="AO219" s="153" t="s">
        <v>701</v>
      </c>
      <c r="AP219" s="255">
        <f t="shared" si="28"/>
        <v>1.9718789769614786</v>
      </c>
      <c r="AQ219" s="255">
        <f t="shared" si="21"/>
        <v>11.706363938874018</v>
      </c>
      <c r="AR219" s="255">
        <f t="shared" si="22"/>
        <v>9.6350421106758581</v>
      </c>
      <c r="AS219" s="255">
        <f t="shared" si="23"/>
        <v>0.27164876435385688</v>
      </c>
      <c r="AT219" s="255">
        <f t="shared" si="24"/>
        <v>5.2146861014356449E-2</v>
      </c>
      <c r="AU219" s="255">
        <f t="shared" si="25"/>
        <v>0</v>
      </c>
      <c r="AV219" s="255">
        <f t="shared" si="26"/>
        <v>0</v>
      </c>
      <c r="AW219" s="255">
        <f t="shared" si="27"/>
        <v>23.637080651879568</v>
      </c>
    </row>
    <row r="220" spans="1:49" s="248" customFormat="1" hidden="1">
      <c r="A220" s="153"/>
      <c r="B220" s="153"/>
      <c r="C220" s="153"/>
      <c r="D220" s="153"/>
      <c r="E220" s="153"/>
      <c r="F220" s="153"/>
      <c r="G220" s="153"/>
      <c r="H220" s="153"/>
      <c r="I220" s="153"/>
      <c r="J220" s="153"/>
      <c r="K220" s="153"/>
      <c r="M220" s="254"/>
      <c r="N220" s="153"/>
      <c r="O220" s="153"/>
      <c r="P220" s="153"/>
      <c r="Q220" s="255"/>
      <c r="R220" s="255"/>
      <c r="S220" s="255"/>
      <c r="T220" s="255"/>
      <c r="U220" s="255"/>
      <c r="V220" s="255"/>
      <c r="W220" s="255"/>
      <c r="Z220" s="153" t="s">
        <v>14</v>
      </c>
      <c r="AA220" s="153">
        <v>2007</v>
      </c>
      <c r="AB220" s="153" t="s">
        <v>702</v>
      </c>
      <c r="AC220" s="153"/>
      <c r="AD220" s="153"/>
      <c r="AE220" s="153"/>
      <c r="AF220" s="153"/>
      <c r="AG220" s="153"/>
      <c r="AH220" s="153"/>
      <c r="AI220" s="153"/>
      <c r="AJ220" s="153">
        <v>0</v>
      </c>
      <c r="AL220" s="256">
        <f>VLOOKUP(AA220,pgdp!$A$13:$C$90,3,FALSE)</f>
        <v>0.82459421647952613</v>
      </c>
      <c r="AM220" s="153" t="s">
        <v>14</v>
      </c>
      <c r="AN220" s="153">
        <v>2007</v>
      </c>
      <c r="AO220" s="153" t="s">
        <v>702</v>
      </c>
      <c r="AP220" s="255">
        <f t="shared" si="28"/>
        <v>0</v>
      </c>
      <c r="AQ220" s="255">
        <f t="shared" si="21"/>
        <v>0</v>
      </c>
      <c r="AR220" s="255">
        <f t="shared" si="22"/>
        <v>0</v>
      </c>
      <c r="AS220" s="255">
        <f t="shared" si="23"/>
        <v>0</v>
      </c>
      <c r="AT220" s="255">
        <f t="shared" si="24"/>
        <v>0</v>
      </c>
      <c r="AU220" s="255">
        <f t="shared" si="25"/>
        <v>0</v>
      </c>
      <c r="AV220" s="255">
        <f t="shared" si="26"/>
        <v>0</v>
      </c>
      <c r="AW220" s="255">
        <f t="shared" si="27"/>
        <v>0</v>
      </c>
    </row>
    <row r="221" spans="1:49" hidden="1">
      <c r="A221" s="153"/>
      <c r="B221" s="153"/>
      <c r="C221" s="153"/>
      <c r="D221" s="153"/>
      <c r="E221" s="153"/>
      <c r="F221" s="153"/>
      <c r="G221" s="153"/>
      <c r="H221" s="153"/>
      <c r="I221" s="153"/>
      <c r="J221" s="153"/>
      <c r="K221" s="153"/>
      <c r="M221" s="256"/>
      <c r="N221" s="153"/>
      <c r="O221" s="153"/>
      <c r="P221" s="153"/>
      <c r="Q221" s="255"/>
      <c r="R221" s="255"/>
      <c r="S221" s="255"/>
      <c r="T221" s="255"/>
      <c r="U221" s="255"/>
      <c r="V221" s="255"/>
      <c r="W221" s="255"/>
      <c r="Z221" s="153" t="s">
        <v>14</v>
      </c>
      <c r="AA221" s="153">
        <v>2008</v>
      </c>
      <c r="AB221" s="153" t="s">
        <v>689</v>
      </c>
      <c r="AC221" s="153">
        <v>30677</v>
      </c>
      <c r="AD221" s="153">
        <v>40957</v>
      </c>
      <c r="AE221" s="153">
        <v>35136</v>
      </c>
      <c r="AF221" s="153">
        <v>26261</v>
      </c>
      <c r="AG221" s="153">
        <v>2507</v>
      </c>
      <c r="AH221" s="153">
        <v>1001</v>
      </c>
      <c r="AI221" s="153">
        <v>60</v>
      </c>
      <c r="AJ221" s="153">
        <v>136600</v>
      </c>
      <c r="AL221" s="256">
        <f>VLOOKUP(AA221,pgdp!$A$13:$C$90,3,FALSE)</f>
        <v>0.84165483055935886</v>
      </c>
      <c r="AM221" s="153" t="s">
        <v>14</v>
      </c>
      <c r="AN221" s="153">
        <v>2008</v>
      </c>
      <c r="AO221" s="153" t="s">
        <v>689</v>
      </c>
      <c r="AP221" s="255">
        <f t="shared" si="28"/>
        <v>36.448433355526809</v>
      </c>
      <c r="AQ221" s="255">
        <f t="shared" si="21"/>
        <v>48.662466503970776</v>
      </c>
      <c r="AR221" s="255">
        <f t="shared" si="22"/>
        <v>41.746329640440393</v>
      </c>
      <c r="AS221" s="255">
        <f t="shared" si="23"/>
        <v>31.201626897985118</v>
      </c>
      <c r="AT221" s="255">
        <f t="shared" si="24"/>
        <v>2.978655749333563</v>
      </c>
      <c r="AU221" s="255">
        <f t="shared" si="25"/>
        <v>1.1893236557969271</v>
      </c>
      <c r="AV221" s="255">
        <f t="shared" si="26"/>
        <v>7.1288131216599021E-2</v>
      </c>
      <c r="AW221" s="255">
        <f t="shared" si="27"/>
        <v>162.29931206979046</v>
      </c>
    </row>
    <row r="222" spans="1:49" s="248" customFormat="1" hidden="1">
      <c r="A222" s="153"/>
      <c r="B222" s="153"/>
      <c r="C222" s="153"/>
      <c r="D222" s="153"/>
      <c r="E222" s="153"/>
      <c r="F222" s="153"/>
      <c r="G222" s="153"/>
      <c r="H222" s="153"/>
      <c r="I222" s="153"/>
      <c r="J222" s="153"/>
      <c r="K222" s="153"/>
      <c r="M222" s="256"/>
      <c r="N222" s="153"/>
      <c r="O222" s="153"/>
      <c r="P222" s="153"/>
      <c r="Q222" s="255"/>
      <c r="R222" s="255"/>
      <c r="S222" s="255"/>
      <c r="T222" s="255"/>
      <c r="U222" s="255"/>
      <c r="V222" s="255"/>
      <c r="W222" s="255"/>
      <c r="Z222" s="153" t="s">
        <v>14</v>
      </c>
      <c r="AA222" s="153">
        <v>2008</v>
      </c>
      <c r="AB222" s="153" t="s">
        <v>703</v>
      </c>
      <c r="AC222" s="153">
        <v>1503</v>
      </c>
      <c r="AD222" s="153">
        <v>11268</v>
      </c>
      <c r="AE222" s="153">
        <v>8679</v>
      </c>
      <c r="AF222" s="153">
        <v>368</v>
      </c>
      <c r="AG222" s="153">
        <v>582</v>
      </c>
      <c r="AH222" s="153"/>
      <c r="AI222" s="153">
        <v>548</v>
      </c>
      <c r="AJ222" s="153">
        <v>22948</v>
      </c>
      <c r="AK222" s="251"/>
      <c r="AL222" s="254">
        <f>VLOOKUP(AA222,pgdp!$A$13:$C$90,3,FALSE)</f>
        <v>0.84165483055935886</v>
      </c>
      <c r="AM222" s="153" t="s">
        <v>14</v>
      </c>
      <c r="AN222" s="153">
        <v>2008</v>
      </c>
      <c r="AO222" s="153" t="s">
        <v>703</v>
      </c>
      <c r="AP222" s="255">
        <f t="shared" si="28"/>
        <v>1.7857676869758059</v>
      </c>
      <c r="AQ222" s="255">
        <f t="shared" si="21"/>
        <v>13.387911042477299</v>
      </c>
      <c r="AR222" s="255">
        <f t="shared" si="22"/>
        <v>10.311828180481051</v>
      </c>
      <c r="AS222" s="255">
        <f t="shared" si="23"/>
        <v>0.43723387146180737</v>
      </c>
      <c r="AT222" s="255">
        <f t="shared" si="24"/>
        <v>0.69149487280101063</v>
      </c>
      <c r="AU222" s="255">
        <f t="shared" si="25"/>
        <v>0</v>
      </c>
      <c r="AV222" s="255">
        <f t="shared" si="26"/>
        <v>0.65109826511160451</v>
      </c>
      <c r="AW222" s="255">
        <f t="shared" si="27"/>
        <v>27.265333919308578</v>
      </c>
    </row>
    <row r="223" spans="1:49" hidden="1">
      <c r="A223" s="153"/>
      <c r="B223" s="153"/>
      <c r="C223" s="153"/>
      <c r="D223" s="153"/>
      <c r="E223" s="153"/>
      <c r="F223" s="153"/>
      <c r="G223" s="153"/>
      <c r="H223" s="153"/>
      <c r="I223" s="153"/>
      <c r="J223" s="153"/>
      <c r="K223" s="153"/>
      <c r="M223" s="254"/>
      <c r="N223" s="153"/>
      <c r="O223" s="153"/>
      <c r="P223" s="153"/>
      <c r="Q223" s="255"/>
      <c r="R223" s="255"/>
      <c r="S223" s="255"/>
      <c r="T223" s="255"/>
      <c r="U223" s="255"/>
      <c r="V223" s="255"/>
      <c r="W223" s="255"/>
      <c r="Z223" s="153" t="s">
        <v>14</v>
      </c>
      <c r="AA223" s="153">
        <v>2009</v>
      </c>
      <c r="AB223" s="153" t="s">
        <v>689</v>
      </c>
      <c r="AC223" s="153">
        <v>31847</v>
      </c>
      <c r="AD223" s="153">
        <v>44353</v>
      </c>
      <c r="AE223" s="153">
        <v>35938</v>
      </c>
      <c r="AF223" s="153">
        <v>26305</v>
      </c>
      <c r="AG223" s="153">
        <v>2591</v>
      </c>
      <c r="AH223" s="153">
        <v>990</v>
      </c>
      <c r="AI223" s="153">
        <v>61</v>
      </c>
      <c r="AJ223" s="153">
        <v>142086</v>
      </c>
      <c r="AK223" s="248"/>
      <c r="AL223" s="256">
        <f>VLOOKUP(AA223,pgdp!$A$13:$C$90,3,FALSE)</f>
        <v>0.85147741466177274</v>
      </c>
      <c r="AM223" s="153" t="s">
        <v>14</v>
      </c>
      <c r="AN223" s="153">
        <v>2009</v>
      </c>
      <c r="AO223" s="153" t="s">
        <v>689</v>
      </c>
      <c r="AP223" s="255">
        <f t="shared" si="28"/>
        <v>37.402049016943558</v>
      </c>
      <c r="AQ223" s="255">
        <f t="shared" si="21"/>
        <v>52.089461489261083</v>
      </c>
      <c r="AR223" s="255">
        <f t="shared" si="22"/>
        <v>42.206639167611321</v>
      </c>
      <c r="AS223" s="255">
        <f t="shared" si="23"/>
        <v>30.89336199298836</v>
      </c>
      <c r="AT223" s="255">
        <f t="shared" si="24"/>
        <v>3.0429462430653049</v>
      </c>
      <c r="AU223" s="255">
        <f t="shared" si="25"/>
        <v>1.1626849790176192</v>
      </c>
      <c r="AV223" s="255">
        <f t="shared" si="26"/>
        <v>7.1640185575833112E-2</v>
      </c>
      <c r="AW223" s="255">
        <f t="shared" si="27"/>
        <v>166.86995750373481</v>
      </c>
    </row>
    <row r="224" spans="1:49" hidden="1">
      <c r="A224" s="153"/>
      <c r="B224" s="153"/>
      <c r="C224" s="153"/>
      <c r="D224" s="153"/>
      <c r="E224" s="153"/>
      <c r="F224" s="153"/>
      <c r="G224" s="153"/>
      <c r="H224" s="153"/>
      <c r="I224" s="153"/>
      <c r="J224" s="153"/>
      <c r="K224" s="153"/>
      <c r="M224" s="256"/>
      <c r="N224" s="153"/>
      <c r="O224" s="153"/>
      <c r="P224" s="153"/>
      <c r="Q224" s="255"/>
      <c r="R224" s="255"/>
      <c r="S224" s="255"/>
      <c r="T224" s="255"/>
      <c r="U224" s="255"/>
      <c r="V224" s="255"/>
      <c r="W224" s="255"/>
      <c r="Z224" s="153" t="s">
        <v>14</v>
      </c>
      <c r="AA224" s="153">
        <v>2009</v>
      </c>
      <c r="AB224" s="153" t="s">
        <v>704</v>
      </c>
      <c r="AC224" s="153">
        <v>0</v>
      </c>
      <c r="AD224" s="153">
        <v>1135</v>
      </c>
      <c r="AE224" s="153">
        <v>0</v>
      </c>
      <c r="AF224" s="153">
        <v>75</v>
      </c>
      <c r="AG224" s="153">
        <v>230</v>
      </c>
      <c r="AH224" s="153">
        <v>97</v>
      </c>
      <c r="AI224" s="153">
        <v>0</v>
      </c>
      <c r="AJ224" s="153">
        <v>1537</v>
      </c>
      <c r="AL224" s="256">
        <f>VLOOKUP(AA224,pgdp!$A$13:$C$90,3,FALSE)</f>
        <v>0.85147741466177274</v>
      </c>
      <c r="AM224" s="153" t="s">
        <v>14</v>
      </c>
      <c r="AN224" s="153">
        <v>2009</v>
      </c>
      <c r="AO224" s="153" t="s">
        <v>704</v>
      </c>
      <c r="AP224" s="255">
        <f t="shared" si="28"/>
        <v>0</v>
      </c>
      <c r="AQ224" s="255">
        <f t="shared" si="21"/>
        <v>1.3329772234191899</v>
      </c>
      <c r="AR224" s="255">
        <f t="shared" si="22"/>
        <v>0</v>
      </c>
      <c r="AS224" s="255">
        <f t="shared" si="23"/>
        <v>8.8082195380122685E-2</v>
      </c>
      <c r="AT224" s="255">
        <f t="shared" si="24"/>
        <v>0.27011873249904289</v>
      </c>
      <c r="AU224" s="255">
        <f t="shared" si="25"/>
        <v>0.113919639358292</v>
      </c>
      <c r="AV224" s="255">
        <f t="shared" si="26"/>
        <v>0</v>
      </c>
      <c r="AW224" s="255">
        <f t="shared" si="27"/>
        <v>1.8050977906566474</v>
      </c>
    </row>
    <row r="225" spans="1:49" s="248" customFormat="1" hidden="1">
      <c r="A225" s="153"/>
      <c r="B225" s="153"/>
      <c r="C225" s="153"/>
      <c r="D225" s="153"/>
      <c r="E225" s="153"/>
      <c r="F225" s="153"/>
      <c r="G225" s="153"/>
      <c r="H225" s="153"/>
      <c r="I225" s="153"/>
      <c r="J225" s="153"/>
      <c r="K225" s="153"/>
      <c r="M225" s="254"/>
      <c r="N225" s="153"/>
      <c r="O225" s="153"/>
      <c r="P225" s="153"/>
      <c r="Q225" s="255"/>
      <c r="R225" s="255"/>
      <c r="S225" s="255"/>
      <c r="T225" s="255"/>
      <c r="U225" s="255"/>
      <c r="V225" s="255"/>
      <c r="W225" s="255"/>
      <c r="Z225" s="153" t="s">
        <v>14</v>
      </c>
      <c r="AA225" s="153">
        <v>2009</v>
      </c>
      <c r="AB225" s="153" t="s">
        <v>705</v>
      </c>
      <c r="AC225" s="153">
        <v>75</v>
      </c>
      <c r="AD225" s="153">
        <v>4140</v>
      </c>
      <c r="AE225" s="153">
        <v>1658</v>
      </c>
      <c r="AF225" s="153">
        <v>36</v>
      </c>
      <c r="AG225" s="153">
        <v>0</v>
      </c>
      <c r="AH225" s="153">
        <v>0</v>
      </c>
      <c r="AI225" s="153">
        <v>0</v>
      </c>
      <c r="AJ225" s="153">
        <v>5909</v>
      </c>
      <c r="AL225" s="254">
        <f>VLOOKUP(AA225,pgdp!$A$13:$C$90,3,FALSE)</f>
        <v>0.85147741466177274</v>
      </c>
      <c r="AM225" s="153" t="s">
        <v>14</v>
      </c>
      <c r="AN225" s="153">
        <v>2009</v>
      </c>
      <c r="AO225" s="153" t="s">
        <v>705</v>
      </c>
      <c r="AP225" s="255">
        <f t="shared" si="28"/>
        <v>8.8082195380122685E-2</v>
      </c>
      <c r="AQ225" s="255">
        <f t="shared" si="21"/>
        <v>4.8621371849827719</v>
      </c>
      <c r="AR225" s="255">
        <f t="shared" si="22"/>
        <v>1.9472037325365785</v>
      </c>
      <c r="AS225" s="255">
        <f t="shared" si="23"/>
        <v>4.2279453782458884E-2</v>
      </c>
      <c r="AT225" s="255">
        <f t="shared" si="24"/>
        <v>0</v>
      </c>
      <c r="AU225" s="255">
        <f t="shared" si="25"/>
        <v>0</v>
      </c>
      <c r="AV225" s="255">
        <f t="shared" si="26"/>
        <v>0</v>
      </c>
      <c r="AW225" s="255">
        <f t="shared" si="27"/>
        <v>6.9397025666819321</v>
      </c>
    </row>
    <row r="226" spans="1:49" hidden="1">
      <c r="A226" s="153"/>
      <c r="B226" s="153"/>
      <c r="C226" s="153"/>
      <c r="D226" s="153"/>
      <c r="E226" s="153"/>
      <c r="F226" s="153"/>
      <c r="G226" s="153"/>
      <c r="H226" s="153"/>
      <c r="I226" s="153"/>
      <c r="J226" s="153"/>
      <c r="K226" s="153"/>
      <c r="M226" s="256"/>
      <c r="N226" s="153"/>
      <c r="O226" s="153"/>
      <c r="P226" s="153"/>
      <c r="Q226" s="255"/>
      <c r="R226" s="255"/>
      <c r="S226" s="255"/>
      <c r="T226" s="255"/>
      <c r="U226" s="255"/>
      <c r="V226" s="255"/>
      <c r="W226" s="255"/>
      <c r="Z226" s="153" t="s">
        <v>14</v>
      </c>
      <c r="AA226" s="153">
        <v>2009</v>
      </c>
      <c r="AB226" s="153" t="s">
        <v>706</v>
      </c>
      <c r="AC226" s="153">
        <v>1561</v>
      </c>
      <c r="AD226" s="153">
        <v>5601</v>
      </c>
      <c r="AE226" s="153">
        <v>6585</v>
      </c>
      <c r="AF226" s="153">
        <v>-127</v>
      </c>
      <c r="AG226" s="153">
        <v>282</v>
      </c>
      <c r="AH226" s="153">
        <v>0</v>
      </c>
      <c r="AI226" s="153">
        <v>15</v>
      </c>
      <c r="AJ226" s="153">
        <v>13916</v>
      </c>
      <c r="AL226" s="256">
        <f>VLOOKUP(AA226,pgdp!$A$13:$C$90,3,FALSE)</f>
        <v>0.85147741466177274</v>
      </c>
      <c r="AM226" s="153" t="s">
        <v>14</v>
      </c>
      <c r="AN226" s="153">
        <v>2009</v>
      </c>
      <c r="AO226" s="153" t="s">
        <v>706</v>
      </c>
      <c r="AP226" s="255">
        <f t="shared" si="28"/>
        <v>1.8332840931782866</v>
      </c>
      <c r="AQ226" s="255">
        <f t="shared" si="21"/>
        <v>6.5779783509875616</v>
      </c>
      <c r="AR226" s="255">
        <f t="shared" si="22"/>
        <v>7.7336167543747711</v>
      </c>
      <c r="AS226" s="255">
        <f t="shared" si="23"/>
        <v>-0.14915251751034106</v>
      </c>
      <c r="AT226" s="255">
        <f t="shared" si="24"/>
        <v>0.33118905462926124</v>
      </c>
      <c r="AU226" s="255">
        <f t="shared" si="25"/>
        <v>0</v>
      </c>
      <c r="AV226" s="255">
        <f t="shared" si="26"/>
        <v>1.7616439076024535E-2</v>
      </c>
      <c r="AW226" s="255">
        <f t="shared" si="27"/>
        <v>16.34335774546383</v>
      </c>
    </row>
    <row r="227" spans="1:49" hidden="1">
      <c r="A227" s="153"/>
      <c r="B227" s="153"/>
      <c r="C227" s="153"/>
      <c r="D227" s="153"/>
      <c r="E227" s="153"/>
      <c r="F227" s="153"/>
      <c r="G227" s="153"/>
      <c r="H227" s="153"/>
      <c r="I227" s="153"/>
      <c r="J227" s="153"/>
      <c r="K227" s="153"/>
      <c r="M227" s="254"/>
      <c r="N227" s="153"/>
      <c r="O227" s="153"/>
      <c r="P227" s="153"/>
      <c r="Q227" s="255"/>
      <c r="R227" s="255"/>
      <c r="S227" s="255"/>
      <c r="T227" s="255"/>
      <c r="U227" s="255"/>
      <c r="V227" s="255"/>
      <c r="W227" s="255"/>
      <c r="Z227" s="153" t="s">
        <v>14</v>
      </c>
      <c r="AA227" s="153">
        <v>2010</v>
      </c>
      <c r="AB227" s="153" t="s">
        <v>689</v>
      </c>
      <c r="AC227" s="153">
        <v>33614</v>
      </c>
      <c r="AD227" s="153">
        <v>42267</v>
      </c>
      <c r="AE227" s="153">
        <v>35830</v>
      </c>
      <c r="AF227" s="153">
        <v>27700</v>
      </c>
      <c r="AG227" s="153">
        <v>2317</v>
      </c>
      <c r="AH227" s="153">
        <v>569</v>
      </c>
      <c r="AI227" s="153">
        <v>64</v>
      </c>
      <c r="AJ227" s="153">
        <v>142360</v>
      </c>
      <c r="AL227" s="256">
        <f>VLOOKUP(AA227,pgdp!$A$13:$C$90,3,FALSE)</f>
        <v>0.85894343086456204</v>
      </c>
      <c r="AM227" s="153" t="s">
        <v>14</v>
      </c>
      <c r="AN227" s="153">
        <v>2010</v>
      </c>
      <c r="AO227" s="153" t="s">
        <v>689</v>
      </c>
      <c r="AP227" s="255">
        <f t="shared" si="28"/>
        <v>39.134125475720928</v>
      </c>
      <c r="AQ227" s="255">
        <f t="shared" si="21"/>
        <v>49.208129989953491</v>
      </c>
      <c r="AR227" s="255">
        <f t="shared" si="22"/>
        <v>41.714039263255813</v>
      </c>
      <c r="AS227" s="255">
        <f t="shared" si="23"/>
        <v>32.248922344186049</v>
      </c>
      <c r="AT227" s="255">
        <f t="shared" si="24"/>
        <v>2.6975001108837215</v>
      </c>
      <c r="AU227" s="255">
        <f t="shared" si="25"/>
        <v>0.66244176223255813</v>
      </c>
      <c r="AV227" s="255">
        <f t="shared" si="26"/>
        <v>7.4510145488372106E-2</v>
      </c>
      <c r="AW227" s="255">
        <f t="shared" si="27"/>
        <v>165.73850487069768</v>
      </c>
    </row>
    <row r="228" spans="1:49" s="248" customFormat="1" hidden="1">
      <c r="A228" s="153"/>
      <c r="B228" s="153"/>
      <c r="C228" s="153"/>
      <c r="D228" s="153"/>
      <c r="E228" s="153"/>
      <c r="F228" s="153"/>
      <c r="G228" s="153"/>
      <c r="H228" s="153"/>
      <c r="I228" s="153"/>
      <c r="J228" s="153"/>
      <c r="K228" s="153"/>
      <c r="M228" s="256"/>
      <c r="N228" s="153"/>
      <c r="O228" s="153"/>
      <c r="P228" s="153"/>
      <c r="Q228" s="255"/>
      <c r="R228" s="255"/>
      <c r="S228" s="255"/>
      <c r="T228" s="255"/>
      <c r="U228" s="255"/>
      <c r="V228" s="255"/>
      <c r="W228" s="255"/>
      <c r="Z228" s="153" t="s">
        <v>14</v>
      </c>
      <c r="AA228" s="153">
        <v>2010</v>
      </c>
      <c r="AB228" s="153" t="s">
        <v>707</v>
      </c>
      <c r="AC228" s="153">
        <v>1792</v>
      </c>
      <c r="AD228" s="153">
        <v>13560</v>
      </c>
      <c r="AE228" s="153">
        <v>4556</v>
      </c>
      <c r="AF228" s="153">
        <v>247</v>
      </c>
      <c r="AG228" s="153">
        <v>881</v>
      </c>
      <c r="AH228" s="153">
        <v>8</v>
      </c>
      <c r="AI228" s="153">
        <v>863</v>
      </c>
      <c r="AJ228" s="153">
        <v>21906</v>
      </c>
      <c r="AK228" s="251"/>
      <c r="AL228" s="254">
        <f>VLOOKUP(AA228,pgdp!$A$13:$C$90,3,FALSE)</f>
        <v>0.85894343086456204</v>
      </c>
      <c r="AM228" s="153" t="s">
        <v>14</v>
      </c>
      <c r="AN228" s="153">
        <v>2010</v>
      </c>
      <c r="AO228" s="153" t="s">
        <v>707</v>
      </c>
      <c r="AP228" s="255">
        <f t="shared" si="28"/>
        <v>2.0862840736744186</v>
      </c>
      <c r="AQ228" s="255">
        <f t="shared" si="21"/>
        <v>15.786837075348839</v>
      </c>
      <c r="AR228" s="255">
        <f t="shared" si="22"/>
        <v>5.3041909819534885</v>
      </c>
      <c r="AS228" s="255">
        <f t="shared" si="23"/>
        <v>0.28756259274418605</v>
      </c>
      <c r="AT228" s="255">
        <f t="shared" si="24"/>
        <v>1.0256787214883722</v>
      </c>
      <c r="AU228" s="255">
        <f t="shared" si="25"/>
        <v>9.3137681860465133E-3</v>
      </c>
      <c r="AV228" s="255">
        <f t="shared" si="26"/>
        <v>1.0047227430697674</v>
      </c>
      <c r="AW228" s="255">
        <f t="shared" si="27"/>
        <v>25.503425735441862</v>
      </c>
    </row>
    <row r="229" spans="1:49" hidden="1">
      <c r="A229" s="153"/>
      <c r="B229" s="153"/>
      <c r="C229" s="153"/>
      <c r="D229" s="153"/>
      <c r="E229" s="153"/>
      <c r="F229" s="153"/>
      <c r="G229" s="153"/>
      <c r="H229" s="153"/>
      <c r="I229" s="153"/>
      <c r="J229" s="153"/>
      <c r="K229" s="153"/>
      <c r="M229" s="256"/>
      <c r="N229" s="153"/>
      <c r="O229" s="153"/>
      <c r="P229" s="153"/>
      <c r="Q229" s="255"/>
      <c r="R229" s="255"/>
      <c r="S229" s="255"/>
      <c r="T229" s="255"/>
      <c r="U229" s="255"/>
      <c r="V229" s="255"/>
      <c r="W229" s="255"/>
      <c r="Z229" s="153" t="s">
        <v>14</v>
      </c>
      <c r="AA229" s="153">
        <v>2010</v>
      </c>
      <c r="AB229" s="153" t="s">
        <v>708</v>
      </c>
      <c r="AC229" s="153">
        <v>0</v>
      </c>
      <c r="AD229" s="153">
        <v>218</v>
      </c>
      <c r="AE229" s="153">
        <v>0</v>
      </c>
      <c r="AF229" s="153">
        <v>0</v>
      </c>
      <c r="AG229" s="153">
        <v>0</v>
      </c>
      <c r="AH229" s="153">
        <v>0</v>
      </c>
      <c r="AI229" s="153">
        <v>0</v>
      </c>
      <c r="AJ229" s="153">
        <v>218</v>
      </c>
      <c r="AL229" s="256">
        <f>VLOOKUP(AA229,pgdp!$A$13:$C$90,3,FALSE)</f>
        <v>0.85894343086456204</v>
      </c>
      <c r="AM229" s="153" t="s">
        <v>14</v>
      </c>
      <c r="AN229" s="153">
        <v>2010</v>
      </c>
      <c r="AO229" s="153" t="s">
        <v>708</v>
      </c>
      <c r="AP229" s="255">
        <f t="shared" si="28"/>
        <v>0</v>
      </c>
      <c r="AQ229" s="255">
        <f t="shared" si="21"/>
        <v>0.25380018306976748</v>
      </c>
      <c r="AR229" s="255">
        <f t="shared" si="22"/>
        <v>0</v>
      </c>
      <c r="AS229" s="255">
        <f t="shared" si="23"/>
        <v>0</v>
      </c>
      <c r="AT229" s="255">
        <f t="shared" si="24"/>
        <v>0</v>
      </c>
      <c r="AU229" s="255">
        <f t="shared" si="25"/>
        <v>0</v>
      </c>
      <c r="AV229" s="255">
        <f t="shared" si="26"/>
        <v>0</v>
      </c>
      <c r="AW229" s="255">
        <f t="shared" si="27"/>
        <v>0.25380018306976748</v>
      </c>
    </row>
    <row r="230" spans="1:49" hidden="1">
      <c r="A230" s="153"/>
      <c r="B230" s="153"/>
      <c r="C230" s="153"/>
      <c r="D230" s="153"/>
      <c r="E230" s="153"/>
      <c r="F230" s="153"/>
      <c r="G230" s="153"/>
      <c r="H230" s="153"/>
      <c r="I230" s="153"/>
      <c r="J230" s="153"/>
      <c r="K230" s="153"/>
      <c r="M230" s="254"/>
      <c r="N230" s="153"/>
      <c r="O230" s="153"/>
      <c r="P230" s="153"/>
      <c r="Q230" s="255"/>
      <c r="R230" s="255"/>
      <c r="S230" s="255"/>
      <c r="T230" s="255"/>
      <c r="U230" s="255"/>
      <c r="V230" s="255"/>
      <c r="W230" s="255"/>
      <c r="Z230" s="153" t="s">
        <v>14</v>
      </c>
      <c r="AA230" s="153">
        <v>2011</v>
      </c>
      <c r="AB230" s="153" t="s">
        <v>689</v>
      </c>
      <c r="AC230" s="153">
        <v>34235</v>
      </c>
      <c r="AD230" s="153">
        <v>45820</v>
      </c>
      <c r="AE230" s="153">
        <v>36277</v>
      </c>
      <c r="AF230" s="153">
        <v>26982</v>
      </c>
      <c r="AG230" s="153">
        <v>1416</v>
      </c>
      <c r="AH230" s="153">
        <v>591</v>
      </c>
      <c r="AI230" s="153">
        <v>67</v>
      </c>
      <c r="AJ230" s="153">
        <v>145386</v>
      </c>
      <c r="AL230" s="254">
        <f>VLOOKUP(AA230,pgdp!$A$13:$C$90,3,FALSE)</f>
        <v>0.87638757317399019</v>
      </c>
      <c r="AM230" s="153" t="s">
        <v>14</v>
      </c>
      <c r="AN230" s="153">
        <v>2011</v>
      </c>
      <c r="AO230" s="153" t="s">
        <v>689</v>
      </c>
      <c r="AP230" s="255">
        <f t="shared" si="28"/>
        <v>39.063767045454547</v>
      </c>
      <c r="AQ230" s="255">
        <f t="shared" si="21"/>
        <v>52.282804323725053</v>
      </c>
      <c r="AR230" s="255">
        <f t="shared" si="22"/>
        <v>41.393786391352549</v>
      </c>
      <c r="AS230" s="255">
        <f t="shared" si="23"/>
        <v>30.78774828159645</v>
      </c>
      <c r="AT230" s="255">
        <f t="shared" si="24"/>
        <v>1.6157235033259423</v>
      </c>
      <c r="AU230" s="255">
        <f t="shared" si="25"/>
        <v>0.67435917405764967</v>
      </c>
      <c r="AV230" s="255">
        <f t="shared" si="26"/>
        <v>7.6450194013303774E-2</v>
      </c>
      <c r="AW230" s="255">
        <f t="shared" si="27"/>
        <v>165.89235681818181</v>
      </c>
    </row>
    <row r="231" spans="1:49" s="248" customFormat="1" hidden="1">
      <c r="A231" s="153"/>
      <c r="B231" s="153"/>
      <c r="C231" s="153"/>
      <c r="D231" s="153"/>
      <c r="E231" s="153"/>
      <c r="F231" s="153"/>
      <c r="G231" s="153"/>
      <c r="H231" s="153"/>
      <c r="I231" s="153"/>
      <c r="J231" s="153"/>
      <c r="K231" s="153"/>
      <c r="M231" s="256"/>
      <c r="N231" s="153"/>
      <c r="O231" s="153"/>
      <c r="P231" s="153"/>
      <c r="Q231" s="255"/>
      <c r="R231" s="255"/>
      <c r="S231" s="255"/>
      <c r="T231" s="255"/>
      <c r="U231" s="255"/>
      <c r="V231" s="255"/>
      <c r="W231" s="255"/>
      <c r="Z231" s="153" t="s">
        <v>14</v>
      </c>
      <c r="AA231" s="153">
        <v>2011</v>
      </c>
      <c r="AB231" s="153" t="s">
        <v>709</v>
      </c>
      <c r="AC231" s="153">
        <v>1805</v>
      </c>
      <c r="AD231" s="153">
        <v>13538</v>
      </c>
      <c r="AE231" s="153">
        <v>5512</v>
      </c>
      <c r="AF231" s="153">
        <v>499</v>
      </c>
      <c r="AG231" s="153">
        <v>195</v>
      </c>
      <c r="AH231" s="153">
        <v>0</v>
      </c>
      <c r="AI231" s="153">
        <v>17</v>
      </c>
      <c r="AJ231" s="153">
        <v>21566</v>
      </c>
      <c r="AK231" s="251"/>
      <c r="AL231" s="256">
        <f>VLOOKUP(AA231,pgdp!$A$13:$C$90,3,FALSE)</f>
        <v>0.87638757317399019</v>
      </c>
      <c r="AM231" s="153" t="s">
        <v>14</v>
      </c>
      <c r="AN231" s="153">
        <v>2011</v>
      </c>
      <c r="AO231" s="153" t="s">
        <v>709</v>
      </c>
      <c r="AP231" s="255">
        <f t="shared" si="28"/>
        <v>2.0595910476718404</v>
      </c>
      <c r="AQ231" s="255">
        <f t="shared" si="21"/>
        <v>15.447503381374721</v>
      </c>
      <c r="AR231" s="255">
        <f t="shared" si="22"/>
        <v>6.2894547671840355</v>
      </c>
      <c r="AS231" s="255">
        <f t="shared" si="23"/>
        <v>0.56938278824833699</v>
      </c>
      <c r="AT231" s="255">
        <f t="shared" si="24"/>
        <v>0.22250429600886917</v>
      </c>
      <c r="AU231" s="255">
        <f t="shared" si="25"/>
        <v>0</v>
      </c>
      <c r="AV231" s="255">
        <f t="shared" si="26"/>
        <v>1.9397810421286032E-2</v>
      </c>
      <c r="AW231" s="255">
        <f t="shared" si="27"/>
        <v>24.60783409090909</v>
      </c>
    </row>
    <row r="232" spans="1:49" hidden="1">
      <c r="A232" s="153"/>
      <c r="B232" s="153"/>
      <c r="C232" s="153"/>
      <c r="D232" s="153"/>
      <c r="E232" s="153"/>
      <c r="F232" s="153"/>
      <c r="G232" s="153"/>
      <c r="H232" s="153"/>
      <c r="I232" s="153"/>
      <c r="J232" s="153"/>
      <c r="K232" s="153"/>
      <c r="M232" s="256"/>
      <c r="N232" s="153"/>
      <c r="O232" s="153"/>
      <c r="P232" s="153"/>
      <c r="Q232" s="255"/>
      <c r="R232" s="255"/>
      <c r="S232" s="255"/>
      <c r="T232" s="255"/>
      <c r="U232" s="255"/>
      <c r="V232" s="255"/>
      <c r="W232" s="255"/>
      <c r="Z232" s="153" t="s">
        <v>14</v>
      </c>
      <c r="AA232" s="153">
        <v>2012</v>
      </c>
      <c r="AB232" s="153" t="s">
        <v>689</v>
      </c>
      <c r="AC232" s="153">
        <v>35131</v>
      </c>
      <c r="AD232" s="153">
        <v>47007</v>
      </c>
      <c r="AE232" s="153">
        <v>36020</v>
      </c>
      <c r="AF232" s="153">
        <v>26113</v>
      </c>
      <c r="AG232" s="153">
        <v>1468</v>
      </c>
      <c r="AH232" s="153">
        <v>490</v>
      </c>
      <c r="AI232" s="153">
        <v>65</v>
      </c>
      <c r="AJ232" s="153">
        <v>146295</v>
      </c>
      <c r="AL232" s="254">
        <f>VLOOKUP(AA232,pgdp!$A$13:$C$90,3,FALSE)</f>
        <v>0.89246166741880806</v>
      </c>
      <c r="AM232" s="153" t="s">
        <v>14</v>
      </c>
      <c r="AN232" s="153">
        <v>2012</v>
      </c>
      <c r="AO232" s="153" t="s">
        <v>689</v>
      </c>
      <c r="AP232" s="255">
        <f t="shared" si="28"/>
        <v>39.364155663521593</v>
      </c>
      <c r="AQ232" s="255">
        <f t="shared" si="21"/>
        <v>52.67116977242776</v>
      </c>
      <c r="AR232" s="255">
        <f t="shared" si="22"/>
        <v>40.360276877972382</v>
      </c>
      <c r="AS232" s="255">
        <f t="shared" si="23"/>
        <v>29.259519992073653</v>
      </c>
      <c r="AT232" s="255">
        <f t="shared" si="24"/>
        <v>1.6448885745936552</v>
      </c>
      <c r="AU232" s="255">
        <f t="shared" si="25"/>
        <v>0.54904318906736449</v>
      </c>
      <c r="AV232" s="255">
        <f t="shared" si="26"/>
        <v>7.2832259774242236E-2</v>
      </c>
      <c r="AW232" s="255">
        <f t="shared" si="27"/>
        <v>163.92300682573486</v>
      </c>
    </row>
    <row r="233" spans="1:49" s="248" customFormat="1" hidden="1">
      <c r="A233" s="153"/>
      <c r="B233" s="153"/>
      <c r="C233" s="153"/>
      <c r="D233" s="153"/>
      <c r="E233" s="153"/>
      <c r="F233" s="153"/>
      <c r="G233" s="153"/>
      <c r="H233" s="153"/>
      <c r="I233" s="153"/>
      <c r="J233" s="153"/>
      <c r="K233" s="153"/>
      <c r="M233" s="254"/>
      <c r="N233" s="153"/>
      <c r="O233" s="153"/>
      <c r="P233" s="153"/>
      <c r="Q233" s="255"/>
      <c r="R233" s="255"/>
      <c r="S233" s="255"/>
      <c r="T233" s="255"/>
      <c r="U233" s="255"/>
      <c r="V233" s="255"/>
      <c r="W233" s="255"/>
      <c r="Z233" s="153" t="s">
        <v>14</v>
      </c>
      <c r="AA233" s="153">
        <v>2012</v>
      </c>
      <c r="AB233" s="153" t="s">
        <v>710</v>
      </c>
      <c r="AC233" s="153">
        <v>1493</v>
      </c>
      <c r="AD233" s="153">
        <v>10595</v>
      </c>
      <c r="AE233" s="153">
        <v>4472</v>
      </c>
      <c r="AF233" s="153">
        <v>260</v>
      </c>
      <c r="AG233" s="153">
        <v>-35</v>
      </c>
      <c r="AH233" s="153">
        <v>0</v>
      </c>
      <c r="AI233" s="153">
        <v>12</v>
      </c>
      <c r="AJ233" s="153">
        <v>16797</v>
      </c>
      <c r="AK233" s="251"/>
      <c r="AL233" s="256">
        <f>VLOOKUP(AA233,pgdp!$A$13:$C$90,3,FALSE)</f>
        <v>0.89246166741880806</v>
      </c>
      <c r="AM233" s="153" t="s">
        <v>14</v>
      </c>
      <c r="AN233" s="153">
        <v>2012</v>
      </c>
      <c r="AO233" s="153" t="s">
        <v>710</v>
      </c>
      <c r="AP233" s="255">
        <f t="shared" si="28"/>
        <v>1.672900982199133</v>
      </c>
      <c r="AQ233" s="255">
        <f t="shared" si="21"/>
        <v>11.871658343201483</v>
      </c>
      <c r="AR233" s="255">
        <f t="shared" si="22"/>
        <v>5.0108594724678648</v>
      </c>
      <c r="AS233" s="255">
        <f t="shared" si="23"/>
        <v>0.29132903909696894</v>
      </c>
      <c r="AT233" s="255">
        <f t="shared" si="24"/>
        <v>-3.9217370647668892E-2</v>
      </c>
      <c r="AU233" s="255">
        <f t="shared" si="25"/>
        <v>0</v>
      </c>
      <c r="AV233" s="255">
        <f t="shared" si="26"/>
        <v>1.3445955650629334E-2</v>
      </c>
      <c r="AW233" s="255">
        <f t="shared" si="27"/>
        <v>18.82097642196841</v>
      </c>
    </row>
    <row r="234" spans="1:49" hidden="1">
      <c r="A234" s="153"/>
      <c r="B234" s="153"/>
      <c r="C234" s="153"/>
      <c r="D234" s="153"/>
      <c r="E234" s="153"/>
      <c r="F234" s="153"/>
      <c r="G234" s="153"/>
      <c r="H234" s="153"/>
      <c r="I234" s="153"/>
      <c r="J234" s="153"/>
      <c r="K234" s="153"/>
      <c r="M234" s="256"/>
      <c r="N234" s="153"/>
      <c r="O234" s="153"/>
      <c r="P234" s="153"/>
      <c r="Q234" s="255"/>
      <c r="R234" s="255"/>
      <c r="S234" s="255"/>
      <c r="T234" s="255"/>
      <c r="U234" s="255"/>
      <c r="V234" s="255"/>
      <c r="W234" s="255"/>
      <c r="Z234" s="153" t="s">
        <v>14</v>
      </c>
      <c r="AA234" s="153">
        <v>2013</v>
      </c>
      <c r="AB234" s="153" t="s">
        <v>689</v>
      </c>
      <c r="AC234" s="153">
        <v>34704</v>
      </c>
      <c r="AD234" s="153">
        <v>42550</v>
      </c>
      <c r="AE234" s="153">
        <v>30341</v>
      </c>
      <c r="AF234" s="153">
        <v>22766</v>
      </c>
      <c r="AG234" s="153">
        <v>482</v>
      </c>
      <c r="AH234" s="153">
        <v>520</v>
      </c>
      <c r="AI234" s="153">
        <v>45</v>
      </c>
      <c r="AJ234" s="153">
        <v>131408</v>
      </c>
      <c r="AL234" s="256">
        <f>VLOOKUP(AA234,pgdp!$A$13:$C$90,3,FALSE)</f>
        <v>0.9075385882666781</v>
      </c>
      <c r="AM234" s="153" t="s">
        <v>14</v>
      </c>
      <c r="AN234" s="153">
        <v>2013</v>
      </c>
      <c r="AO234" s="153" t="s">
        <v>689</v>
      </c>
      <c r="AP234" s="255">
        <f t="shared" si="28"/>
        <v>38.239696304574451</v>
      </c>
      <c r="AQ234" s="255">
        <f t="shared" si="21"/>
        <v>46.885058718293067</v>
      </c>
      <c r="AR234" s="255">
        <f t="shared" si="22"/>
        <v>33.432187228477794</v>
      </c>
      <c r="AS234" s="255">
        <f t="shared" si="23"/>
        <v>25.085434706948529</v>
      </c>
      <c r="AT234" s="255">
        <f t="shared" si="24"/>
        <v>0.53110689311908943</v>
      </c>
      <c r="AU234" s="255">
        <f t="shared" si="25"/>
        <v>0.57297839091686009</v>
      </c>
      <c r="AV234" s="255">
        <f t="shared" si="26"/>
        <v>4.9584668444728273E-2</v>
      </c>
      <c r="AW234" s="255">
        <f t="shared" si="27"/>
        <v>144.79604691077452</v>
      </c>
    </row>
    <row r="235" spans="1:49" hidden="1">
      <c r="A235" s="153"/>
      <c r="B235" s="153"/>
      <c r="C235" s="153"/>
      <c r="D235" s="153"/>
      <c r="E235" s="153"/>
      <c r="F235" s="153"/>
      <c r="G235" s="153"/>
      <c r="H235" s="153"/>
      <c r="I235" s="153"/>
      <c r="J235" s="153"/>
      <c r="K235" s="153"/>
      <c r="M235" s="256"/>
      <c r="N235" s="153"/>
      <c r="O235" s="153"/>
      <c r="P235" s="153"/>
      <c r="Q235" s="255"/>
      <c r="R235" s="255"/>
      <c r="S235" s="255"/>
      <c r="T235" s="255"/>
      <c r="U235" s="255"/>
      <c r="V235" s="255"/>
      <c r="W235" s="255"/>
      <c r="Z235" s="153" t="s">
        <v>14</v>
      </c>
      <c r="AA235" s="153">
        <v>2013</v>
      </c>
      <c r="AB235" s="153" t="s">
        <v>711</v>
      </c>
      <c r="AC235" s="153">
        <v>900</v>
      </c>
      <c r="AD235" s="153">
        <v>9508</v>
      </c>
      <c r="AE235" s="153">
        <v>2611</v>
      </c>
      <c r="AF235" s="153">
        <v>3</v>
      </c>
      <c r="AG235" s="153">
        <v>-30</v>
      </c>
      <c r="AH235" s="153">
        <v>0</v>
      </c>
      <c r="AI235" s="153">
        <v>10</v>
      </c>
      <c r="AJ235" s="153">
        <v>13001</v>
      </c>
      <c r="AL235" s="254">
        <f>VLOOKUP(AA235,pgdp!$A$13:$C$90,3,FALSE)</f>
        <v>0.9075385882666781</v>
      </c>
      <c r="AM235" s="153" t="s">
        <v>14</v>
      </c>
      <c r="AN235" s="153">
        <v>2013</v>
      </c>
      <c r="AO235" s="153" t="s">
        <v>711</v>
      </c>
      <c r="AP235" s="255">
        <f t="shared" si="28"/>
        <v>0.9916933688945655</v>
      </c>
      <c r="AQ235" s="255">
        <f t="shared" si="21"/>
        <v>10.476689501610588</v>
      </c>
      <c r="AR235" s="255">
        <f t="shared" si="22"/>
        <v>2.8770126513152339</v>
      </c>
      <c r="AS235" s="255">
        <f t="shared" si="23"/>
        <v>3.305644562981885E-3</v>
      </c>
      <c r="AT235" s="255">
        <f t="shared" si="24"/>
        <v>-3.3056445629818854E-2</v>
      </c>
      <c r="AU235" s="255">
        <f t="shared" si="25"/>
        <v>0</v>
      </c>
      <c r="AV235" s="255">
        <f t="shared" si="26"/>
        <v>1.1018815209939616E-2</v>
      </c>
      <c r="AW235" s="255">
        <f t="shared" si="27"/>
        <v>14.325561654442495</v>
      </c>
    </row>
    <row r="236" spans="1:49" hidden="1">
      <c r="A236" s="153"/>
      <c r="B236" s="153"/>
      <c r="C236" s="153"/>
      <c r="D236" s="153"/>
      <c r="E236" s="153"/>
      <c r="F236" s="153"/>
      <c r="G236" s="153"/>
      <c r="H236" s="153"/>
      <c r="I236" s="153"/>
      <c r="J236" s="153"/>
      <c r="K236" s="153"/>
      <c r="M236" s="254"/>
      <c r="N236" s="153"/>
      <c r="O236" s="153"/>
      <c r="P236" s="153"/>
      <c r="Q236" s="255"/>
      <c r="R236" s="255"/>
      <c r="S236" s="255"/>
      <c r="T236" s="255"/>
      <c r="U236" s="255"/>
      <c r="V236" s="255"/>
      <c r="W236" s="255"/>
      <c r="Z236" s="153" t="s">
        <v>14</v>
      </c>
      <c r="AA236" s="153">
        <v>2013</v>
      </c>
      <c r="AB236" s="153" t="s">
        <v>712</v>
      </c>
      <c r="AC236" s="153">
        <v>0</v>
      </c>
      <c r="AD236" s="153">
        <v>14</v>
      </c>
      <c r="AE236" s="153">
        <v>0</v>
      </c>
      <c r="AF236" s="153">
        <v>0</v>
      </c>
      <c r="AG236" s="153">
        <v>0</v>
      </c>
      <c r="AH236" s="153">
        <v>0</v>
      </c>
      <c r="AI236" s="153">
        <v>0</v>
      </c>
      <c r="AJ236" s="153">
        <v>14</v>
      </c>
      <c r="AL236" s="256">
        <f>VLOOKUP(AA236,pgdp!$A$13:$C$90,3,FALSE)</f>
        <v>0.9075385882666781</v>
      </c>
      <c r="AM236" s="153" t="s">
        <v>14</v>
      </c>
      <c r="AN236" s="153">
        <v>2013</v>
      </c>
      <c r="AO236" s="153" t="s">
        <v>712</v>
      </c>
      <c r="AP236" s="255">
        <f t="shared" si="28"/>
        <v>0</v>
      </c>
      <c r="AQ236" s="255">
        <f t="shared" si="21"/>
        <v>1.5426341293915463E-2</v>
      </c>
      <c r="AR236" s="255">
        <f t="shared" si="22"/>
        <v>0</v>
      </c>
      <c r="AS236" s="255">
        <f t="shared" si="23"/>
        <v>0</v>
      </c>
      <c r="AT236" s="255">
        <f t="shared" si="24"/>
        <v>0</v>
      </c>
      <c r="AU236" s="255">
        <f t="shared" si="25"/>
        <v>0</v>
      </c>
      <c r="AV236" s="255">
        <f t="shared" si="26"/>
        <v>0</v>
      </c>
      <c r="AW236" s="255">
        <f t="shared" si="27"/>
        <v>1.5426341293915463E-2</v>
      </c>
    </row>
    <row r="237" spans="1:49" hidden="1">
      <c r="A237" s="153"/>
      <c r="B237" s="153"/>
      <c r="C237" s="153"/>
      <c r="D237" s="153"/>
      <c r="E237" s="153"/>
      <c r="F237" s="153"/>
      <c r="G237" s="153"/>
      <c r="H237" s="153"/>
      <c r="I237" s="153"/>
      <c r="J237" s="153"/>
      <c r="K237" s="153"/>
      <c r="M237" s="256"/>
      <c r="N237" s="153"/>
      <c r="O237" s="153"/>
      <c r="P237" s="153"/>
      <c r="Q237" s="255"/>
      <c r="R237" s="255"/>
      <c r="S237" s="255"/>
      <c r="T237" s="255"/>
      <c r="U237" s="255"/>
      <c r="V237" s="255"/>
      <c r="W237" s="255"/>
      <c r="Z237" s="153" t="s">
        <v>14</v>
      </c>
      <c r="AA237" s="153">
        <v>2014</v>
      </c>
      <c r="AB237" s="153" t="s">
        <v>689</v>
      </c>
      <c r="AC237" s="153">
        <v>35103</v>
      </c>
      <c r="AD237" s="153">
        <v>43196</v>
      </c>
      <c r="AE237" s="153">
        <v>31259</v>
      </c>
      <c r="AF237" s="153">
        <v>23655</v>
      </c>
      <c r="AG237" s="153">
        <v>1291</v>
      </c>
      <c r="AH237" s="153">
        <v>465</v>
      </c>
      <c r="AI237" s="153">
        <v>150</v>
      </c>
      <c r="AJ237" s="153">
        <v>135120</v>
      </c>
      <c r="AL237" s="254">
        <f>VLOOKUP(AA237,pgdp!$A$13:$C$90,3,FALSE)</f>
        <v>0.9240281714268912</v>
      </c>
      <c r="AM237" s="153" t="s">
        <v>14</v>
      </c>
      <c r="AN237" s="153">
        <v>2014</v>
      </c>
      <c r="AO237" s="153" t="s">
        <v>689</v>
      </c>
      <c r="AP237" s="255">
        <f t="shared" si="28"/>
        <v>37.989101507363877</v>
      </c>
      <c r="AQ237" s="255">
        <f t="shared" si="21"/>
        <v>46.74749248531721</v>
      </c>
      <c r="AR237" s="255">
        <f t="shared" si="22"/>
        <v>33.829055181001266</v>
      </c>
      <c r="AS237" s="255">
        <f t="shared" si="23"/>
        <v>25.599868847582616</v>
      </c>
      <c r="AT237" s="255">
        <f t="shared" si="24"/>
        <v>1.3971435502950393</v>
      </c>
      <c r="AU237" s="255">
        <f t="shared" si="25"/>
        <v>0.50323141044709008</v>
      </c>
      <c r="AV237" s="255">
        <f t="shared" si="26"/>
        <v>0.1623327130474484</v>
      </c>
      <c r="AW237" s="255">
        <f t="shared" si="27"/>
        <v>146.22930791314153</v>
      </c>
    </row>
    <row r="238" spans="1:49" hidden="1">
      <c r="A238" s="153"/>
      <c r="B238" s="153"/>
      <c r="C238" s="153"/>
      <c r="D238" s="153"/>
      <c r="E238" s="153"/>
      <c r="F238" s="153"/>
      <c r="G238" s="153"/>
      <c r="H238" s="153"/>
      <c r="I238" s="153"/>
      <c r="J238" s="153"/>
      <c r="K238" s="153"/>
      <c r="M238" s="254"/>
      <c r="N238" s="153"/>
      <c r="O238" s="153"/>
      <c r="P238" s="153"/>
      <c r="Q238" s="255"/>
      <c r="R238" s="255"/>
      <c r="S238" s="255"/>
      <c r="T238" s="255"/>
      <c r="U238" s="255"/>
      <c r="V238" s="255"/>
      <c r="W238" s="255"/>
      <c r="Z238" s="153" t="s">
        <v>14</v>
      </c>
      <c r="AA238" s="153">
        <v>2014</v>
      </c>
      <c r="AB238" s="153" t="s">
        <v>713</v>
      </c>
      <c r="AC238" s="153">
        <v>784</v>
      </c>
      <c r="AD238" s="153">
        <v>12795</v>
      </c>
      <c r="AE238" s="153">
        <v>3131</v>
      </c>
      <c r="AF238" s="153">
        <v>167</v>
      </c>
      <c r="AG238" s="153"/>
      <c r="AH238" s="153"/>
      <c r="AI238" s="153"/>
      <c r="AJ238" s="153">
        <v>16877</v>
      </c>
      <c r="AL238" s="256">
        <f>VLOOKUP(AA238,pgdp!$A$13:$C$90,3,FALSE)</f>
        <v>0.9240281714268912</v>
      </c>
      <c r="AM238" s="153" t="s">
        <v>14</v>
      </c>
      <c r="AN238" s="153">
        <v>2014</v>
      </c>
      <c r="AO238" s="153" t="s">
        <v>713</v>
      </c>
      <c r="AP238" s="255">
        <f t="shared" si="28"/>
        <v>0.8484589801946637</v>
      </c>
      <c r="AQ238" s="255">
        <f t="shared" si="21"/>
        <v>13.84698042294735</v>
      </c>
      <c r="AR238" s="255">
        <f t="shared" si="22"/>
        <v>3.3884248303437396</v>
      </c>
      <c r="AS238" s="255">
        <f t="shared" si="23"/>
        <v>0.18073042052615923</v>
      </c>
      <c r="AT238" s="255">
        <f t="shared" si="24"/>
        <v>0</v>
      </c>
      <c r="AU238" s="255">
        <f t="shared" si="25"/>
        <v>0</v>
      </c>
      <c r="AV238" s="255">
        <f t="shared" si="26"/>
        <v>0</v>
      </c>
      <c r="AW238" s="255">
        <f t="shared" si="27"/>
        <v>18.264594654011912</v>
      </c>
    </row>
    <row r="239" spans="1:49" hidden="1">
      <c r="A239" s="153"/>
      <c r="B239" s="153"/>
      <c r="C239" s="153"/>
      <c r="D239" s="153"/>
      <c r="E239" s="153"/>
      <c r="F239" s="153"/>
      <c r="G239" s="153"/>
      <c r="H239" s="153"/>
      <c r="I239" s="153"/>
      <c r="J239" s="153"/>
      <c r="K239" s="153"/>
      <c r="M239" s="256"/>
      <c r="N239" s="153"/>
      <c r="O239" s="153"/>
      <c r="P239" s="153"/>
      <c r="Q239" s="255"/>
      <c r="R239" s="255"/>
      <c r="S239" s="255"/>
      <c r="T239" s="255"/>
      <c r="U239" s="255"/>
      <c r="V239" s="255"/>
      <c r="W239" s="255"/>
      <c r="Z239" s="153" t="s">
        <v>14</v>
      </c>
      <c r="AA239" s="153">
        <v>2014</v>
      </c>
      <c r="AB239" s="153" t="s">
        <v>714</v>
      </c>
      <c r="AC239" s="153"/>
      <c r="AD239" s="153"/>
      <c r="AE239" s="153"/>
      <c r="AF239" s="153"/>
      <c r="AG239" s="153"/>
      <c r="AH239" s="153"/>
      <c r="AI239" s="153"/>
      <c r="AJ239" s="153"/>
      <c r="AL239" s="254">
        <f>VLOOKUP(AA239,pgdp!$A$13:$C$90,3,FALSE)</f>
        <v>0.9240281714268912</v>
      </c>
      <c r="AM239" s="153" t="s">
        <v>14</v>
      </c>
      <c r="AN239" s="153">
        <v>2014</v>
      </c>
      <c r="AO239" s="153" t="s">
        <v>714</v>
      </c>
      <c r="AP239" s="255">
        <f t="shared" si="28"/>
        <v>0</v>
      </c>
      <c r="AQ239" s="255">
        <f t="shared" si="21"/>
        <v>0</v>
      </c>
      <c r="AR239" s="255">
        <f t="shared" si="22"/>
        <v>0</v>
      </c>
      <c r="AS239" s="255">
        <f t="shared" si="23"/>
        <v>0</v>
      </c>
      <c r="AT239" s="255">
        <f t="shared" si="24"/>
        <v>0</v>
      </c>
      <c r="AU239" s="255">
        <f t="shared" si="25"/>
        <v>0</v>
      </c>
      <c r="AV239" s="255">
        <f t="shared" si="26"/>
        <v>0</v>
      </c>
      <c r="AW239" s="255">
        <f t="shared" si="27"/>
        <v>0</v>
      </c>
    </row>
    <row r="240" spans="1:49" hidden="1">
      <c r="A240" s="153"/>
      <c r="B240" s="153"/>
      <c r="C240" s="153"/>
      <c r="D240" s="153"/>
      <c r="E240" s="153"/>
      <c r="F240" s="153"/>
      <c r="G240" s="153"/>
      <c r="H240" s="153"/>
      <c r="I240" s="153"/>
      <c r="J240" s="153"/>
      <c r="K240" s="153"/>
      <c r="M240" s="254"/>
      <c r="N240" s="153"/>
      <c r="O240" s="153"/>
      <c r="P240" s="153"/>
      <c r="Q240" s="255"/>
      <c r="R240" s="255"/>
      <c r="S240" s="255"/>
      <c r="T240" s="255"/>
      <c r="U240" s="255"/>
      <c r="V240" s="255"/>
      <c r="W240" s="255"/>
      <c r="Z240" s="153" t="s">
        <v>14</v>
      </c>
      <c r="AA240" s="153">
        <v>2015</v>
      </c>
      <c r="AB240" s="153" t="s">
        <v>689</v>
      </c>
      <c r="AC240" s="153">
        <v>33617</v>
      </c>
      <c r="AD240" s="153">
        <v>44596</v>
      </c>
      <c r="AE240" s="153">
        <v>33914</v>
      </c>
      <c r="AF240" s="153">
        <v>23568</v>
      </c>
      <c r="AG240" s="153">
        <v>1045</v>
      </c>
      <c r="AH240" s="153">
        <v>328</v>
      </c>
      <c r="AI240" s="153">
        <v>67</v>
      </c>
      <c r="AJ240" s="153">
        <v>137134</v>
      </c>
      <c r="AL240" s="256">
        <f>VLOOKUP(AA240,pgdp!$A$13:$C$90,3,FALSE)</f>
        <v>0.9351696664966358</v>
      </c>
      <c r="AM240" s="153" t="s">
        <v>14</v>
      </c>
      <c r="AN240" s="153">
        <v>2015</v>
      </c>
      <c r="AO240" s="153" t="s">
        <v>689</v>
      </c>
      <c r="AP240" s="255">
        <f t="shared" si="28"/>
        <v>35.947487610389608</v>
      </c>
      <c r="AQ240" s="255">
        <f t="shared" ref="AQ240:AQ302" si="29">AD240/$AL240/1000</f>
        <v>47.687603220779224</v>
      </c>
      <c r="AR240" s="255">
        <f t="shared" ref="AR240:AR302" si="30">AE240/$AL240/1000</f>
        <v>36.265077038961039</v>
      </c>
      <c r="AS240" s="255">
        <f t="shared" ref="AS240:AS302" si="31">AF240/$AL240/1000</f>
        <v>25.201843948051948</v>
      </c>
      <c r="AT240" s="255">
        <f t="shared" ref="AT240:AT302" si="32">AG240/$AL240/1000</f>
        <v>1.1174442857142859</v>
      </c>
      <c r="AU240" s="255">
        <f t="shared" ref="AU240:AU302" si="33">AH240/$AL240/1000</f>
        <v>0.3507384935064935</v>
      </c>
      <c r="AV240" s="255">
        <f t="shared" ref="AV240:AV302" si="34">AI240/$AL240/1000</f>
        <v>7.1644753246753248E-2</v>
      </c>
      <c r="AW240" s="255">
        <f t="shared" ref="AW240:AW302" si="35">AJ240/$AL240/1000</f>
        <v>146.64077002597404</v>
      </c>
    </row>
    <row r="241" spans="1:49" hidden="1">
      <c r="A241" s="153"/>
      <c r="B241" s="153"/>
      <c r="C241" s="153"/>
      <c r="D241" s="153"/>
      <c r="E241" s="153"/>
      <c r="F241" s="153"/>
      <c r="G241" s="153"/>
      <c r="H241" s="153"/>
      <c r="I241" s="153"/>
      <c r="J241" s="153"/>
      <c r="K241" s="153"/>
      <c r="M241" s="256"/>
      <c r="N241" s="153"/>
      <c r="O241" s="153"/>
      <c r="P241" s="153"/>
      <c r="Q241" s="255"/>
      <c r="R241" s="255"/>
      <c r="S241" s="255"/>
      <c r="T241" s="255"/>
      <c r="U241" s="255"/>
      <c r="V241" s="255"/>
      <c r="W241" s="255"/>
      <c r="Z241" s="153" t="s">
        <v>14</v>
      </c>
      <c r="AA241" s="153">
        <v>2015</v>
      </c>
      <c r="AB241" s="153" t="s">
        <v>715</v>
      </c>
      <c r="AC241" s="153">
        <v>756</v>
      </c>
      <c r="AD241" s="153">
        <v>10531</v>
      </c>
      <c r="AE241" s="153">
        <v>4484</v>
      </c>
      <c r="AF241" s="153">
        <v>15</v>
      </c>
      <c r="AG241" s="153">
        <v>133</v>
      </c>
      <c r="AH241" s="153">
        <v>0</v>
      </c>
      <c r="AI241" s="153">
        <v>0</v>
      </c>
      <c r="AJ241" s="153">
        <v>15919</v>
      </c>
      <c r="AL241" s="256">
        <f>VLOOKUP(AA241,pgdp!$A$13:$C$90,3,FALSE)</f>
        <v>0.9351696664966358</v>
      </c>
      <c r="AM241" s="153" t="s">
        <v>14</v>
      </c>
      <c r="AN241" s="153">
        <v>2015</v>
      </c>
      <c r="AO241" s="153" t="s">
        <v>715</v>
      </c>
      <c r="AP241" s="255">
        <f t="shared" ref="AP241:AP302" si="36">AC241/$AL241/1000</f>
        <v>0.80840945454545454</v>
      </c>
      <c r="AQ241" s="255">
        <f t="shared" si="29"/>
        <v>11.261058155844156</v>
      </c>
      <c r="AR241" s="255">
        <f t="shared" si="30"/>
        <v>4.7948518441558443</v>
      </c>
      <c r="AS241" s="255">
        <f t="shared" si="31"/>
        <v>1.603987012987013E-2</v>
      </c>
      <c r="AT241" s="255">
        <f t="shared" si="32"/>
        <v>0.14222018181818183</v>
      </c>
      <c r="AU241" s="255">
        <f t="shared" si="33"/>
        <v>0</v>
      </c>
      <c r="AV241" s="255">
        <f t="shared" si="34"/>
        <v>0</v>
      </c>
      <c r="AW241" s="255">
        <f t="shared" si="35"/>
        <v>17.022579506493507</v>
      </c>
    </row>
    <row r="242" spans="1:49" hidden="1">
      <c r="A242" s="153"/>
      <c r="B242" s="153"/>
      <c r="C242" s="153"/>
      <c r="D242" s="153"/>
      <c r="E242" s="153"/>
      <c r="F242" s="153"/>
      <c r="G242" s="153"/>
      <c r="H242" s="153"/>
      <c r="I242" s="153"/>
      <c r="J242" s="153"/>
      <c r="K242" s="153"/>
      <c r="M242" s="256"/>
      <c r="N242" s="153"/>
      <c r="O242" s="153"/>
      <c r="P242" s="153"/>
      <c r="Q242" s="255"/>
      <c r="R242" s="255"/>
      <c r="S242" s="255"/>
      <c r="T242" s="255"/>
      <c r="U242" s="255"/>
      <c r="V242" s="255"/>
      <c r="W242" s="255"/>
      <c r="Z242" s="153" t="s">
        <v>14</v>
      </c>
      <c r="AA242" s="153">
        <v>2015</v>
      </c>
      <c r="AB242" s="153" t="s">
        <v>716</v>
      </c>
      <c r="AC242" s="153">
        <v>0</v>
      </c>
      <c r="AD242" s="153">
        <v>0</v>
      </c>
      <c r="AE242" s="153">
        <v>0</v>
      </c>
      <c r="AF242" s="153">
        <v>0</v>
      </c>
      <c r="AG242" s="153">
        <v>0</v>
      </c>
      <c r="AH242" s="153">
        <v>0</v>
      </c>
      <c r="AI242" s="153">
        <v>0</v>
      </c>
      <c r="AJ242" s="153">
        <v>0</v>
      </c>
      <c r="AL242" s="254">
        <f>VLOOKUP(AA242,pgdp!$A$13:$C$90,3,FALSE)</f>
        <v>0.9351696664966358</v>
      </c>
      <c r="AM242" s="153" t="s">
        <v>14</v>
      </c>
      <c r="AN242" s="153">
        <v>2015</v>
      </c>
      <c r="AO242" s="153" t="s">
        <v>716</v>
      </c>
      <c r="AP242" s="255">
        <f t="shared" si="36"/>
        <v>0</v>
      </c>
      <c r="AQ242" s="255">
        <f t="shared" si="29"/>
        <v>0</v>
      </c>
      <c r="AR242" s="255">
        <f t="shared" si="30"/>
        <v>0</v>
      </c>
      <c r="AS242" s="255">
        <f t="shared" si="31"/>
        <v>0</v>
      </c>
      <c r="AT242" s="255">
        <f t="shared" si="32"/>
        <v>0</v>
      </c>
      <c r="AU242" s="255">
        <f t="shared" si="33"/>
        <v>0</v>
      </c>
      <c r="AV242" s="255">
        <f t="shared" si="34"/>
        <v>0</v>
      </c>
      <c r="AW242" s="255">
        <f t="shared" si="35"/>
        <v>0</v>
      </c>
    </row>
    <row r="243" spans="1:49" hidden="1">
      <c r="A243" s="153"/>
      <c r="B243" s="153"/>
      <c r="C243" s="153"/>
      <c r="D243" s="153"/>
      <c r="E243" s="153"/>
      <c r="F243" s="153"/>
      <c r="G243" s="153"/>
      <c r="H243" s="153"/>
      <c r="I243" s="153"/>
      <c r="J243" s="153"/>
      <c r="K243" s="153"/>
      <c r="M243" s="254"/>
      <c r="N243" s="153"/>
      <c r="O243" s="153"/>
      <c r="P243" s="153"/>
      <c r="Q243" s="255"/>
      <c r="R243" s="255"/>
      <c r="S243" s="255"/>
      <c r="T243" s="255"/>
      <c r="U243" s="255"/>
      <c r="V243" s="255"/>
      <c r="W243" s="255"/>
      <c r="Z243" s="153" t="s">
        <v>14</v>
      </c>
      <c r="AA243" s="153">
        <v>2016</v>
      </c>
      <c r="AB243" s="153" t="s">
        <v>689</v>
      </c>
      <c r="AC243" s="153">
        <v>34026</v>
      </c>
      <c r="AD243" s="153">
        <v>44442</v>
      </c>
      <c r="AE243" s="153">
        <v>40939</v>
      </c>
      <c r="AF243" s="153">
        <v>24458</v>
      </c>
      <c r="AG243" s="153">
        <v>1654</v>
      </c>
      <c r="AH243" s="153">
        <v>492</v>
      </c>
      <c r="AI243" s="153">
        <v>63</v>
      </c>
      <c r="AJ243" s="153">
        <v>146075</v>
      </c>
      <c r="AL243" s="256">
        <f>VLOOKUP(AA243,pgdp!$A$13:$C$90,3,FALSE)</f>
        <v>0.94602138468179731</v>
      </c>
      <c r="AM243" s="153" t="s">
        <v>14</v>
      </c>
      <c r="AN243" s="153">
        <v>2016</v>
      </c>
      <c r="AO243" s="153" t="s">
        <v>689</v>
      </c>
      <c r="AP243" s="255">
        <f t="shared" si="36"/>
        <v>35.967474468291165</v>
      </c>
      <c r="AQ243" s="255">
        <f t="shared" si="29"/>
        <v>46.9777964003937</v>
      </c>
      <c r="AR243" s="255">
        <f t="shared" si="30"/>
        <v>43.27492027441874</v>
      </c>
      <c r="AS243" s="255">
        <f t="shared" si="31"/>
        <v>25.853538192719252</v>
      </c>
      <c r="AT243" s="255">
        <f t="shared" si="32"/>
        <v>1.7483748536576027</v>
      </c>
      <c r="AU243" s="255">
        <f t="shared" si="33"/>
        <v>0.52007281015691686</v>
      </c>
      <c r="AV243" s="255">
        <f t="shared" si="34"/>
        <v>6.6594689105458862E-2</v>
      </c>
      <c r="AW243" s="255">
        <f t="shared" si="35"/>
        <v>154.40982874730005</v>
      </c>
    </row>
    <row r="244" spans="1:49" hidden="1">
      <c r="A244" s="153"/>
      <c r="B244" s="153"/>
      <c r="C244" s="153"/>
      <c r="D244" s="153"/>
      <c r="E244" s="153"/>
      <c r="F244" s="153"/>
      <c r="G244" s="153"/>
      <c r="H244" s="153"/>
      <c r="I244" s="153"/>
      <c r="J244" s="153"/>
      <c r="K244" s="153"/>
      <c r="M244" s="256"/>
      <c r="N244" s="153"/>
      <c r="O244" s="153"/>
      <c r="P244" s="153"/>
      <c r="Q244" s="255"/>
      <c r="R244" s="255"/>
      <c r="S244" s="255"/>
      <c r="T244" s="255"/>
      <c r="U244" s="255"/>
      <c r="V244" s="255"/>
      <c r="W244" s="255"/>
      <c r="Z244" s="153" t="s">
        <v>14</v>
      </c>
      <c r="AA244" s="153">
        <v>2016</v>
      </c>
      <c r="AB244" s="153" t="s">
        <v>717</v>
      </c>
      <c r="AC244" s="153">
        <v>778</v>
      </c>
      <c r="AD244" s="153">
        <v>11336</v>
      </c>
      <c r="AE244" s="153">
        <v>4247</v>
      </c>
      <c r="AF244" s="153">
        <v>17</v>
      </c>
      <c r="AG244" s="153">
        <v>0</v>
      </c>
      <c r="AH244" s="153">
        <v>0</v>
      </c>
      <c r="AI244" s="153">
        <v>3</v>
      </c>
      <c r="AJ244" s="153">
        <v>16380</v>
      </c>
      <c r="AL244" s="256">
        <f>VLOOKUP(AA244,pgdp!$A$13:$C$90,3,FALSE)</f>
        <v>0.94602138468179731</v>
      </c>
      <c r="AM244" s="153" t="s">
        <v>14</v>
      </c>
      <c r="AN244" s="153">
        <v>2016</v>
      </c>
      <c r="AO244" s="153" t="s">
        <v>717</v>
      </c>
      <c r="AP244" s="255">
        <f t="shared" si="36"/>
        <v>0.82239155752455551</v>
      </c>
      <c r="AQ244" s="255">
        <f t="shared" si="29"/>
        <v>11.982815804753677</v>
      </c>
      <c r="AR244" s="255">
        <f t="shared" si="30"/>
        <v>4.4893276925537116</v>
      </c>
      <c r="AS244" s="255">
        <f t="shared" si="31"/>
        <v>1.7969995472901599E-2</v>
      </c>
      <c r="AT244" s="255">
        <f t="shared" si="32"/>
        <v>0</v>
      </c>
      <c r="AU244" s="255">
        <f t="shared" si="33"/>
        <v>0</v>
      </c>
      <c r="AV244" s="255">
        <f t="shared" si="34"/>
        <v>3.1711756716885173E-3</v>
      </c>
      <c r="AW244" s="255">
        <f t="shared" si="35"/>
        <v>17.314619167419306</v>
      </c>
    </row>
    <row r="245" spans="1:49" hidden="1">
      <c r="A245" s="153"/>
      <c r="B245" s="153"/>
      <c r="C245" s="153"/>
      <c r="D245" s="153"/>
      <c r="E245" s="153"/>
      <c r="F245" s="153"/>
      <c r="G245" s="153"/>
      <c r="H245" s="153"/>
      <c r="I245" s="153"/>
      <c r="J245" s="153"/>
      <c r="K245" s="153"/>
      <c r="M245" s="254"/>
      <c r="N245" s="153"/>
      <c r="O245" s="153"/>
      <c r="P245" s="153"/>
      <c r="Q245" s="255"/>
      <c r="R245" s="255"/>
      <c r="S245" s="255"/>
      <c r="T245" s="255"/>
      <c r="U245" s="255"/>
      <c r="V245" s="255"/>
      <c r="W245" s="255"/>
      <c r="Z245" s="153" t="s">
        <v>14</v>
      </c>
      <c r="AA245" s="153">
        <v>2017</v>
      </c>
      <c r="AB245" s="153" t="s">
        <v>689</v>
      </c>
      <c r="AC245" s="153">
        <v>34570</v>
      </c>
      <c r="AD245" s="153">
        <v>45920</v>
      </c>
      <c r="AE245" s="153">
        <v>38102</v>
      </c>
      <c r="AF245" s="153">
        <v>27339</v>
      </c>
      <c r="AG245" s="153">
        <v>1989</v>
      </c>
      <c r="AH245" s="153">
        <v>336</v>
      </c>
      <c r="AI245" s="153">
        <v>64</v>
      </c>
      <c r="AJ245" s="153">
        <v>148320</v>
      </c>
      <c r="AL245" s="254">
        <f>VLOOKUP(AA245,pgdp!$A$13:$C$90,3,FALSE)</f>
        <v>0.96224036736890672</v>
      </c>
      <c r="AM245" s="153" t="s">
        <v>14</v>
      </c>
      <c r="AN245" s="153">
        <v>2017</v>
      </c>
      <c r="AO245" s="153" t="s">
        <v>689</v>
      </c>
      <c r="AP245" s="255">
        <f t="shared" si="36"/>
        <v>35.926574245192157</v>
      </c>
      <c r="AQ245" s="255">
        <f t="shared" si="29"/>
        <v>47.721963822366895</v>
      </c>
      <c r="AR245" s="255">
        <f t="shared" si="30"/>
        <v>39.597174772644237</v>
      </c>
      <c r="AS245" s="255">
        <f t="shared" si="31"/>
        <v>28.411819881090782</v>
      </c>
      <c r="AT245" s="255">
        <f t="shared" si="32"/>
        <v>2.0670510897797856</v>
      </c>
      <c r="AU245" s="255">
        <f t="shared" si="33"/>
        <v>0.34918510113926998</v>
      </c>
      <c r="AV245" s="255">
        <f t="shared" si="34"/>
        <v>6.6511447836051438E-2</v>
      </c>
      <c r="AW245" s="255">
        <f t="shared" si="35"/>
        <v>154.14028036004919</v>
      </c>
    </row>
    <row r="246" spans="1:49" hidden="1">
      <c r="A246" s="153"/>
      <c r="B246" s="153"/>
      <c r="C246" s="153"/>
      <c r="D246" s="153"/>
      <c r="E246" s="153"/>
      <c r="F246" s="153"/>
      <c r="G246" s="153"/>
      <c r="H246" s="153"/>
      <c r="I246" s="153"/>
      <c r="J246" s="153"/>
      <c r="K246" s="153"/>
      <c r="M246" s="256"/>
      <c r="N246" s="153"/>
      <c r="O246" s="153"/>
      <c r="P246" s="153"/>
      <c r="Q246" s="255"/>
      <c r="R246" s="255"/>
      <c r="S246" s="255"/>
      <c r="T246" s="255"/>
      <c r="U246" s="255"/>
      <c r="V246" s="255"/>
      <c r="W246" s="255"/>
      <c r="Z246" s="153" t="s">
        <v>14</v>
      </c>
      <c r="AA246" s="153">
        <v>2017</v>
      </c>
      <c r="AB246" s="153" t="s">
        <v>718</v>
      </c>
      <c r="AC246" s="153">
        <v>915</v>
      </c>
      <c r="AD246" s="153">
        <v>12859</v>
      </c>
      <c r="AE246" s="153">
        <v>7604</v>
      </c>
      <c r="AF246" s="153">
        <v>387</v>
      </c>
      <c r="AG246" s="153">
        <v>203</v>
      </c>
      <c r="AH246" s="153">
        <v>0</v>
      </c>
      <c r="AI246" s="153">
        <v>0</v>
      </c>
      <c r="AJ246" s="153">
        <v>21968</v>
      </c>
      <c r="AL246" s="256">
        <f>VLOOKUP(AA246,pgdp!$A$13:$C$90,3,FALSE)</f>
        <v>0.96224036736890672</v>
      </c>
      <c r="AM246" s="153" t="s">
        <v>14</v>
      </c>
      <c r="AN246" s="153">
        <v>2017</v>
      </c>
      <c r="AO246" s="153" t="s">
        <v>718</v>
      </c>
      <c r="AP246" s="255">
        <f t="shared" si="36"/>
        <v>0.9509058557810478</v>
      </c>
      <c r="AQ246" s="255">
        <f t="shared" si="29"/>
        <v>13.363604808184146</v>
      </c>
      <c r="AR246" s="255">
        <f t="shared" si="30"/>
        <v>7.9023913960208603</v>
      </c>
      <c r="AS246" s="255">
        <f t="shared" si="31"/>
        <v>0.40218641113362341</v>
      </c>
      <c r="AT246" s="255">
        <f t="shared" si="32"/>
        <v>0.21096599860497561</v>
      </c>
      <c r="AU246" s="255">
        <f t="shared" si="33"/>
        <v>0</v>
      </c>
      <c r="AV246" s="255">
        <f t="shared" si="34"/>
        <v>0</v>
      </c>
      <c r="AW246" s="255">
        <f t="shared" si="35"/>
        <v>22.830054469724651</v>
      </c>
    </row>
    <row r="247" spans="1:49" hidden="1">
      <c r="A247" s="153"/>
      <c r="B247" s="153"/>
      <c r="C247" s="153"/>
      <c r="D247" s="153"/>
      <c r="E247" s="153"/>
      <c r="F247" s="153"/>
      <c r="G247" s="153"/>
      <c r="H247" s="153"/>
      <c r="I247" s="153"/>
      <c r="J247" s="153"/>
      <c r="K247" s="153"/>
      <c r="M247" s="254"/>
      <c r="N247" s="153"/>
      <c r="O247" s="153"/>
      <c r="P247" s="153"/>
      <c r="Q247" s="255"/>
      <c r="R247" s="255"/>
      <c r="S247" s="255"/>
      <c r="T247" s="255"/>
      <c r="U247" s="255"/>
      <c r="V247" s="255"/>
      <c r="W247" s="255"/>
      <c r="Z247" s="153" t="s">
        <v>14</v>
      </c>
      <c r="AA247" s="153">
        <v>2018</v>
      </c>
      <c r="AB247" s="153" t="s">
        <v>689</v>
      </c>
      <c r="AC247" s="153">
        <v>34693</v>
      </c>
      <c r="AD247" s="153">
        <v>45406</v>
      </c>
      <c r="AE247" s="153">
        <v>37853</v>
      </c>
      <c r="AF247" s="153">
        <v>27577</v>
      </c>
      <c r="AG247" s="153">
        <v>1976</v>
      </c>
      <c r="AH247" s="153">
        <v>334</v>
      </c>
      <c r="AI247" s="153">
        <v>64</v>
      </c>
      <c r="AJ247" s="153">
        <v>147901</v>
      </c>
      <c r="AL247" s="256">
        <f>VLOOKUP(AA247,pgdp!$A$13:$C$90,3,FALSE)</f>
        <v>0.9807153483309915</v>
      </c>
      <c r="AM247" s="153" t="s">
        <v>14</v>
      </c>
      <c r="AN247" s="153">
        <v>2018</v>
      </c>
      <c r="AO247" s="153" t="s">
        <v>689</v>
      </c>
      <c r="AP247" s="255">
        <f t="shared" si="36"/>
        <v>35.375198378450492</v>
      </c>
      <c r="AQ247" s="255">
        <f t="shared" si="29"/>
        <v>46.298857336405703</v>
      </c>
      <c r="AR247" s="255">
        <f t="shared" si="30"/>
        <v>38.597336183653375</v>
      </c>
      <c r="AS247" s="255">
        <f t="shared" si="31"/>
        <v>28.119270333569574</v>
      </c>
      <c r="AT247" s="255">
        <f t="shared" si="32"/>
        <v>2.0148557921142065</v>
      </c>
      <c r="AU247" s="255">
        <f t="shared" si="33"/>
        <v>0.34056773004359564</v>
      </c>
      <c r="AV247" s="255">
        <f t="shared" si="34"/>
        <v>6.5258487193982403E-2</v>
      </c>
      <c r="AW247" s="255">
        <f t="shared" si="35"/>
        <v>150.80930491370611</v>
      </c>
    </row>
    <row r="248" spans="1:49" hidden="1">
      <c r="A248" s="153"/>
      <c r="B248" s="153"/>
      <c r="C248" s="153"/>
      <c r="D248" s="153"/>
      <c r="E248" s="153"/>
      <c r="F248" s="153"/>
      <c r="G248" s="153"/>
      <c r="H248" s="153"/>
      <c r="I248" s="153"/>
      <c r="J248" s="153"/>
      <c r="K248" s="153"/>
      <c r="M248" s="256"/>
      <c r="N248" s="153"/>
      <c r="O248" s="153"/>
      <c r="P248" s="153"/>
      <c r="Q248" s="255"/>
      <c r="R248" s="255"/>
      <c r="S248" s="255"/>
      <c r="T248" s="255"/>
      <c r="U248" s="255"/>
      <c r="V248" s="255"/>
      <c r="W248" s="255"/>
      <c r="Z248" s="153" t="s">
        <v>14</v>
      </c>
      <c r="AA248" s="153">
        <v>2018</v>
      </c>
      <c r="AB248" s="153" t="s">
        <v>719</v>
      </c>
      <c r="AC248" s="153">
        <v>915</v>
      </c>
      <c r="AD248" s="153">
        <v>12767</v>
      </c>
      <c r="AE248" s="153">
        <v>7502</v>
      </c>
      <c r="AF248" s="153">
        <v>365</v>
      </c>
      <c r="AG248" s="153">
        <v>216</v>
      </c>
      <c r="AH248" s="153">
        <v>0</v>
      </c>
      <c r="AI248" s="153">
        <v>0</v>
      </c>
      <c r="AJ248" s="153">
        <v>21764</v>
      </c>
      <c r="AL248" s="256">
        <f>VLOOKUP(AA248,pgdp!$A$13:$C$90,3,FALSE)</f>
        <v>0.9807153483309915</v>
      </c>
      <c r="AM248" s="153" t="s">
        <v>14</v>
      </c>
      <c r="AN248" s="153">
        <v>2018</v>
      </c>
      <c r="AO248" s="153" t="s">
        <v>719</v>
      </c>
      <c r="AP248" s="255">
        <f t="shared" si="36"/>
        <v>0.93299243410146726</v>
      </c>
      <c r="AQ248" s="255">
        <f t="shared" si="29"/>
        <v>13.018048531337083</v>
      </c>
      <c r="AR248" s="255">
        <f t="shared" si="30"/>
        <v>7.6495182957696253</v>
      </c>
      <c r="AS248" s="255">
        <f t="shared" si="31"/>
        <v>0.37217730977818086</v>
      </c>
      <c r="AT248" s="255">
        <f t="shared" si="32"/>
        <v>0.22024739427969062</v>
      </c>
      <c r="AU248" s="255">
        <f t="shared" si="33"/>
        <v>0</v>
      </c>
      <c r="AV248" s="255">
        <f t="shared" si="34"/>
        <v>0</v>
      </c>
      <c r="AW248" s="255">
        <f t="shared" si="35"/>
        <v>22.19196430140364</v>
      </c>
    </row>
    <row r="249" spans="1:49" hidden="1">
      <c r="A249" s="153"/>
      <c r="B249" s="153"/>
      <c r="C249" s="153"/>
      <c r="D249" s="153"/>
      <c r="E249" s="153"/>
      <c r="F249" s="153"/>
      <c r="G249" s="153"/>
      <c r="H249" s="153"/>
      <c r="I249" s="153"/>
      <c r="J249" s="153"/>
      <c r="K249" s="153"/>
      <c r="M249" s="256"/>
      <c r="N249" s="153"/>
      <c r="O249" s="153"/>
      <c r="P249" s="153"/>
      <c r="Q249" s="255"/>
      <c r="R249" s="255"/>
      <c r="S249" s="255"/>
      <c r="T249" s="255"/>
      <c r="U249" s="255"/>
      <c r="V249" s="255"/>
      <c r="W249" s="255"/>
      <c r="Z249" s="153" t="s">
        <v>14</v>
      </c>
      <c r="AA249" s="153">
        <v>2018</v>
      </c>
      <c r="AB249" s="153" t="s">
        <v>720</v>
      </c>
      <c r="AC249" s="153">
        <v>0</v>
      </c>
      <c r="AD249" s="153">
        <v>19</v>
      </c>
      <c r="AE249" s="153">
        <v>300</v>
      </c>
      <c r="AF249" s="153">
        <v>256</v>
      </c>
      <c r="AG249" s="153">
        <v>0</v>
      </c>
      <c r="AH249" s="153">
        <v>0</v>
      </c>
      <c r="AI249" s="153">
        <v>0</v>
      </c>
      <c r="AJ249" s="153">
        <v>575</v>
      </c>
      <c r="AL249" s="254">
        <f>VLOOKUP(AA249,pgdp!$A$13:$C$90,3,FALSE)</f>
        <v>0.9807153483309915</v>
      </c>
      <c r="AM249" s="153" t="s">
        <v>14</v>
      </c>
      <c r="AN249" s="153">
        <v>2018</v>
      </c>
      <c r="AO249" s="153" t="s">
        <v>720</v>
      </c>
      <c r="AP249" s="255">
        <f t="shared" si="36"/>
        <v>0</v>
      </c>
      <c r="AQ249" s="255">
        <f t="shared" si="29"/>
        <v>1.9373613385713525E-2</v>
      </c>
      <c r="AR249" s="255">
        <f t="shared" si="30"/>
        <v>0.30589915872179252</v>
      </c>
      <c r="AS249" s="255">
        <f t="shared" si="31"/>
        <v>0.26103394877592961</v>
      </c>
      <c r="AT249" s="255">
        <f t="shared" si="32"/>
        <v>0</v>
      </c>
      <c r="AU249" s="255">
        <f t="shared" si="33"/>
        <v>0</v>
      </c>
      <c r="AV249" s="255">
        <f t="shared" si="34"/>
        <v>0</v>
      </c>
      <c r="AW249" s="255">
        <f t="shared" si="35"/>
        <v>0.58630672088343572</v>
      </c>
    </row>
    <row r="250" spans="1:49" hidden="1">
      <c r="A250" s="153"/>
      <c r="B250" s="153"/>
      <c r="C250" s="153"/>
      <c r="D250" s="153"/>
      <c r="E250" s="153"/>
      <c r="F250" s="153"/>
      <c r="G250" s="153"/>
      <c r="H250" s="153"/>
      <c r="I250" s="153"/>
      <c r="J250" s="153"/>
      <c r="K250" s="153"/>
      <c r="M250" s="254"/>
      <c r="N250" s="153"/>
      <c r="O250" s="153"/>
      <c r="P250" s="153"/>
      <c r="Q250" s="255"/>
      <c r="R250" s="255"/>
      <c r="S250" s="255"/>
      <c r="T250" s="255"/>
      <c r="U250" s="255"/>
      <c r="V250" s="255"/>
      <c r="W250" s="255"/>
      <c r="Z250" s="153" t="s">
        <v>14</v>
      </c>
      <c r="AA250" s="153">
        <v>2019</v>
      </c>
      <c r="AB250" s="153" t="s">
        <v>689</v>
      </c>
      <c r="AC250" s="153">
        <v>37963</v>
      </c>
      <c r="AD250" s="153">
        <v>52045</v>
      </c>
      <c r="AE250" s="153">
        <v>43881</v>
      </c>
      <c r="AF250" s="153">
        <v>40178</v>
      </c>
      <c r="AG250" s="153">
        <v>1958</v>
      </c>
      <c r="AH250" s="153">
        <v>396</v>
      </c>
      <c r="AI250" s="153">
        <v>69</v>
      </c>
      <c r="AJ250" s="153">
        <v>176491</v>
      </c>
      <c r="AL250" s="256">
        <f>VLOOKUP(AA250,pgdp!$A$13:$C$90,3,FALSE)</f>
        <v>1</v>
      </c>
      <c r="AM250" s="153" t="s">
        <v>14</v>
      </c>
      <c r="AN250" s="153">
        <v>2019</v>
      </c>
      <c r="AO250" s="153" t="s">
        <v>689</v>
      </c>
      <c r="AP250" s="255">
        <f t="shared" si="36"/>
        <v>37.963000000000001</v>
      </c>
      <c r="AQ250" s="255">
        <f t="shared" si="29"/>
        <v>52.045000000000002</v>
      </c>
      <c r="AR250" s="255">
        <f t="shared" si="30"/>
        <v>43.881</v>
      </c>
      <c r="AS250" s="255">
        <f t="shared" si="31"/>
        <v>40.177999999999997</v>
      </c>
      <c r="AT250" s="255">
        <f t="shared" si="32"/>
        <v>1.958</v>
      </c>
      <c r="AU250" s="255">
        <f t="shared" si="33"/>
        <v>0.39600000000000002</v>
      </c>
      <c r="AV250" s="255">
        <f t="shared" si="34"/>
        <v>6.9000000000000006E-2</v>
      </c>
      <c r="AW250" s="255">
        <f t="shared" si="35"/>
        <v>176.49100000000001</v>
      </c>
    </row>
    <row r="251" spans="1:49" hidden="1">
      <c r="A251" s="153"/>
      <c r="B251" s="153"/>
      <c r="C251" s="153"/>
      <c r="D251" s="153"/>
      <c r="E251" s="153"/>
      <c r="F251" s="153"/>
      <c r="G251" s="153"/>
      <c r="H251" s="153"/>
      <c r="I251" s="153"/>
      <c r="J251" s="153"/>
      <c r="K251" s="153"/>
      <c r="M251" s="256"/>
      <c r="N251" s="153"/>
      <c r="O251" s="153"/>
      <c r="P251" s="153"/>
      <c r="Q251" s="255"/>
      <c r="R251" s="255"/>
      <c r="S251" s="255"/>
      <c r="T251" s="255"/>
      <c r="U251" s="255"/>
      <c r="V251" s="255"/>
      <c r="W251" s="255"/>
      <c r="Z251" s="153" t="s">
        <v>14</v>
      </c>
      <c r="AA251" s="153">
        <v>2019</v>
      </c>
      <c r="AB251" s="153" t="s">
        <v>721</v>
      </c>
      <c r="AC251" s="153">
        <v>991</v>
      </c>
      <c r="AD251" s="153">
        <v>9362</v>
      </c>
      <c r="AE251" s="153">
        <v>6660</v>
      </c>
      <c r="AF251" s="153">
        <v>314</v>
      </c>
      <c r="AG251" s="153">
        <v>346</v>
      </c>
      <c r="AH251" s="153">
        <v>0</v>
      </c>
      <c r="AI251" s="153">
        <v>9</v>
      </c>
      <c r="AJ251" s="153">
        <v>17682</v>
      </c>
      <c r="AL251" s="256">
        <f>VLOOKUP(AA251,pgdp!$A$13:$C$90,3,FALSE)</f>
        <v>1</v>
      </c>
      <c r="AM251" s="153" t="s">
        <v>14</v>
      </c>
      <c r="AN251" s="153">
        <v>2019</v>
      </c>
      <c r="AO251" s="153" t="s">
        <v>721</v>
      </c>
      <c r="AP251" s="255">
        <f t="shared" si="36"/>
        <v>0.99099999999999999</v>
      </c>
      <c r="AQ251" s="255">
        <f t="shared" si="29"/>
        <v>9.3620000000000001</v>
      </c>
      <c r="AR251" s="255">
        <f t="shared" si="30"/>
        <v>6.66</v>
      </c>
      <c r="AS251" s="255">
        <f t="shared" si="31"/>
        <v>0.314</v>
      </c>
      <c r="AT251" s="255">
        <f t="shared" si="32"/>
        <v>0.34599999999999997</v>
      </c>
      <c r="AU251" s="255">
        <f t="shared" si="33"/>
        <v>0</v>
      </c>
      <c r="AV251" s="255">
        <f t="shared" si="34"/>
        <v>8.9999999999999993E-3</v>
      </c>
      <c r="AW251" s="255">
        <f t="shared" si="35"/>
        <v>17.681999999999999</v>
      </c>
    </row>
    <row r="252" spans="1:49" hidden="1">
      <c r="A252" s="153"/>
      <c r="B252" s="153"/>
      <c r="C252" s="153"/>
      <c r="D252" s="153"/>
      <c r="E252" s="153"/>
      <c r="F252" s="153"/>
      <c r="G252" s="153"/>
      <c r="H252" s="153"/>
      <c r="I252" s="153"/>
      <c r="J252" s="153"/>
      <c r="K252" s="153"/>
      <c r="M252" s="256"/>
      <c r="N252" s="153"/>
      <c r="O252" s="153"/>
      <c r="P252" s="153"/>
      <c r="Q252" s="255"/>
      <c r="R252" s="255"/>
      <c r="S252" s="255"/>
      <c r="T252" s="255"/>
      <c r="U252" s="255"/>
      <c r="V252" s="255"/>
      <c r="W252" s="255"/>
      <c r="Z252" s="153" t="s">
        <v>15</v>
      </c>
      <c r="AA252" s="153">
        <v>2001</v>
      </c>
      <c r="AB252" s="153" t="s">
        <v>689</v>
      </c>
      <c r="AC252" s="153">
        <v>0</v>
      </c>
      <c r="AD252" s="153">
        <v>16685</v>
      </c>
      <c r="AE252" s="153">
        <v>2475</v>
      </c>
      <c r="AF252" s="153">
        <v>11421</v>
      </c>
      <c r="AG252" s="153">
        <v>968</v>
      </c>
      <c r="AH252" s="153">
        <v>81</v>
      </c>
      <c r="AI252" s="153">
        <v>566</v>
      </c>
      <c r="AJ252" s="153">
        <v>32196</v>
      </c>
      <c r="AL252" s="254">
        <f>VLOOKUP(AA252,pgdp!$A$13:$C$90,3,FALSE)</f>
        <v>0.71033050332114134</v>
      </c>
      <c r="AM252" s="153" t="s">
        <v>15</v>
      </c>
      <c r="AN252" s="153">
        <v>2001</v>
      </c>
      <c r="AO252" s="153" t="s">
        <v>689</v>
      </c>
      <c r="AP252" s="255">
        <f t="shared" si="36"/>
        <v>0</v>
      </c>
      <c r="AQ252" s="255">
        <f t="shared" si="29"/>
        <v>23.489065895367709</v>
      </c>
      <c r="AR252" s="255">
        <f t="shared" si="30"/>
        <v>3.4842935625433071</v>
      </c>
      <c r="AS252" s="255">
        <f t="shared" si="31"/>
        <v>16.078431021336208</v>
      </c>
      <c r="AT252" s="255">
        <f t="shared" si="32"/>
        <v>1.3627459266836044</v>
      </c>
      <c r="AU252" s="255">
        <f t="shared" si="33"/>
        <v>0.11403142568323552</v>
      </c>
      <c r="AV252" s="255">
        <f t="shared" si="34"/>
        <v>0.79681218440384316</v>
      </c>
      <c r="AW252" s="255">
        <f t="shared" si="35"/>
        <v>45.32538001601791</v>
      </c>
    </row>
    <row r="253" spans="1:49" hidden="1">
      <c r="A253" s="153"/>
      <c r="B253" s="153"/>
      <c r="C253" s="153"/>
      <c r="D253" s="153"/>
      <c r="E253" s="153"/>
      <c r="F253" s="153"/>
      <c r="G253" s="153"/>
      <c r="H253" s="153"/>
      <c r="I253" s="153"/>
      <c r="J253" s="153"/>
      <c r="K253" s="153"/>
      <c r="M253" s="254"/>
      <c r="N253" s="153"/>
      <c r="O253" s="153"/>
      <c r="P253" s="153"/>
      <c r="Q253" s="255"/>
      <c r="R253" s="255"/>
      <c r="S253" s="255"/>
      <c r="T253" s="255"/>
      <c r="U253" s="255"/>
      <c r="V253" s="255"/>
      <c r="W253" s="255"/>
      <c r="Z253" s="153" t="s">
        <v>15</v>
      </c>
      <c r="AA253" s="153">
        <v>2001</v>
      </c>
      <c r="AB253" s="153" t="s">
        <v>690</v>
      </c>
      <c r="AC253" s="153"/>
      <c r="AD253" s="153">
        <v>21769</v>
      </c>
      <c r="AE253" s="153"/>
      <c r="AF253" s="153"/>
      <c r="AG253" s="153"/>
      <c r="AH253" s="153"/>
      <c r="AI253" s="153"/>
      <c r="AJ253" s="153">
        <v>21769</v>
      </c>
      <c r="AL253" s="256">
        <f>VLOOKUP(AA253,pgdp!$A$13:$C$90,3,FALSE)</f>
        <v>0.71033050332114134</v>
      </c>
      <c r="AM253" s="153" t="s">
        <v>15</v>
      </c>
      <c r="AN253" s="153">
        <v>2001</v>
      </c>
      <c r="AO253" s="153" t="s">
        <v>690</v>
      </c>
      <c r="AP253" s="255">
        <f t="shared" si="36"/>
        <v>0</v>
      </c>
      <c r="AQ253" s="255">
        <f t="shared" si="29"/>
        <v>30.646297601214243</v>
      </c>
      <c r="AR253" s="255">
        <f t="shared" si="30"/>
        <v>0</v>
      </c>
      <c r="AS253" s="255">
        <f t="shared" si="31"/>
        <v>0</v>
      </c>
      <c r="AT253" s="255">
        <f t="shared" si="32"/>
        <v>0</v>
      </c>
      <c r="AU253" s="255">
        <f t="shared" si="33"/>
        <v>0</v>
      </c>
      <c r="AV253" s="255">
        <f t="shared" si="34"/>
        <v>0</v>
      </c>
      <c r="AW253" s="255">
        <f t="shared" si="35"/>
        <v>30.646297601214243</v>
      </c>
    </row>
    <row r="254" spans="1:49" hidden="1">
      <c r="A254" s="153"/>
      <c r="B254" s="153"/>
      <c r="C254" s="153"/>
      <c r="D254" s="153"/>
      <c r="E254" s="153"/>
      <c r="F254" s="153"/>
      <c r="G254" s="153"/>
      <c r="H254" s="153"/>
      <c r="I254" s="153"/>
      <c r="J254" s="153"/>
      <c r="K254" s="153"/>
      <c r="M254" s="256"/>
      <c r="N254" s="153"/>
      <c r="O254" s="153"/>
      <c r="P254" s="153"/>
      <c r="Q254" s="255"/>
      <c r="R254" s="255"/>
      <c r="S254" s="255"/>
      <c r="T254" s="255"/>
      <c r="U254" s="255"/>
      <c r="V254" s="255"/>
      <c r="W254" s="255"/>
      <c r="Z254" s="153" t="s">
        <v>15</v>
      </c>
      <c r="AA254" s="153">
        <v>2001</v>
      </c>
      <c r="AB254" s="153" t="s">
        <v>691</v>
      </c>
      <c r="AC254" s="153"/>
      <c r="AD254" s="153">
        <v>1568</v>
      </c>
      <c r="AE254" s="153">
        <v>-79</v>
      </c>
      <c r="AF254" s="153">
        <v>77</v>
      </c>
      <c r="AG254" s="153">
        <v>-5</v>
      </c>
      <c r="AH254" s="153"/>
      <c r="AI254" s="153">
        <v>178</v>
      </c>
      <c r="AJ254" s="153">
        <v>1739</v>
      </c>
      <c r="AL254" s="254">
        <f>VLOOKUP(AA254,pgdp!$A$13:$C$90,3,FALSE)</f>
        <v>0.71033050332114134</v>
      </c>
      <c r="AM254" s="153" t="s">
        <v>15</v>
      </c>
      <c r="AN254" s="153">
        <v>2001</v>
      </c>
      <c r="AO254" s="153" t="s">
        <v>691</v>
      </c>
      <c r="AP254" s="255">
        <f t="shared" si="36"/>
        <v>0</v>
      </c>
      <c r="AQ254" s="255">
        <f t="shared" si="29"/>
        <v>2.2074231539668303</v>
      </c>
      <c r="AR254" s="255">
        <f t="shared" si="30"/>
        <v>-0.11121583492562474</v>
      </c>
      <c r="AS254" s="255">
        <f t="shared" si="31"/>
        <v>0.108400244168014</v>
      </c>
      <c r="AT254" s="255">
        <f t="shared" si="32"/>
        <v>-7.0389768940268826E-3</v>
      </c>
      <c r="AU254" s="255">
        <f t="shared" si="33"/>
        <v>0</v>
      </c>
      <c r="AV254" s="255">
        <f t="shared" si="34"/>
        <v>0.25058757742735704</v>
      </c>
      <c r="AW254" s="255">
        <f t="shared" si="35"/>
        <v>2.4481561637425497</v>
      </c>
    </row>
    <row r="255" spans="1:49" hidden="1">
      <c r="A255" s="153"/>
      <c r="B255" s="153"/>
      <c r="C255" s="153"/>
      <c r="D255" s="153"/>
      <c r="E255" s="153"/>
      <c r="F255" s="153"/>
      <c r="G255" s="153"/>
      <c r="H255" s="153"/>
      <c r="I255" s="153"/>
      <c r="J255" s="153"/>
      <c r="K255" s="153"/>
      <c r="M255" s="256"/>
      <c r="N255" s="153"/>
      <c r="O255" s="153"/>
      <c r="P255" s="153"/>
      <c r="Q255" s="255"/>
      <c r="R255" s="255"/>
      <c r="S255" s="255"/>
      <c r="T255" s="255"/>
      <c r="U255" s="255"/>
      <c r="V255" s="255"/>
      <c r="W255" s="255"/>
      <c r="Z255" s="153" t="s">
        <v>15</v>
      </c>
      <c r="AA255" s="153">
        <v>2002</v>
      </c>
      <c r="AB255" s="153" t="s">
        <v>689</v>
      </c>
      <c r="AC255" s="153">
        <v>0</v>
      </c>
      <c r="AD255" s="153">
        <v>20089</v>
      </c>
      <c r="AE255" s="153">
        <v>3456</v>
      </c>
      <c r="AF255" s="153">
        <v>15748</v>
      </c>
      <c r="AG255" s="153">
        <v>935</v>
      </c>
      <c r="AH255" s="153">
        <v>69</v>
      </c>
      <c r="AI255" s="153">
        <v>1721</v>
      </c>
      <c r="AJ255" s="153">
        <v>42018</v>
      </c>
      <c r="AL255" s="256">
        <f>VLOOKUP(AA255,pgdp!$A$13:$C$90,3,FALSE)</f>
        <v>0.72177029812501559</v>
      </c>
      <c r="AM255" s="153" t="s">
        <v>15</v>
      </c>
      <c r="AN255" s="153">
        <v>2002</v>
      </c>
      <c r="AO255" s="153" t="s">
        <v>689</v>
      </c>
      <c r="AP255" s="255">
        <f t="shared" si="36"/>
        <v>0</v>
      </c>
      <c r="AQ255" s="255">
        <f t="shared" si="29"/>
        <v>27.832954684040551</v>
      </c>
      <c r="AR255" s="255">
        <f t="shared" si="30"/>
        <v>4.7882269594327314</v>
      </c>
      <c r="AS255" s="255">
        <f t="shared" si="31"/>
        <v>21.818575855655865</v>
      </c>
      <c r="AT255" s="255">
        <f t="shared" si="32"/>
        <v>1.2954259858418995</v>
      </c>
      <c r="AU255" s="255">
        <f t="shared" si="33"/>
        <v>9.5598281308118788E-2</v>
      </c>
      <c r="AV255" s="255">
        <f t="shared" si="34"/>
        <v>2.384415103351774</v>
      </c>
      <c r="AW255" s="255">
        <f t="shared" si="35"/>
        <v>58.215196869630944</v>
      </c>
    </row>
    <row r="256" spans="1:49" hidden="1">
      <c r="A256" s="153"/>
      <c r="B256" s="153"/>
      <c r="C256" s="153"/>
      <c r="D256" s="153"/>
      <c r="E256" s="153"/>
      <c r="F256" s="153"/>
      <c r="G256" s="153"/>
      <c r="H256" s="153"/>
      <c r="I256" s="153"/>
      <c r="J256" s="153"/>
      <c r="K256" s="153"/>
      <c r="M256" s="256"/>
      <c r="N256" s="153"/>
      <c r="O256" s="153"/>
      <c r="P256" s="153"/>
      <c r="Q256" s="255"/>
      <c r="R256" s="255"/>
      <c r="S256" s="255"/>
      <c r="T256" s="255"/>
      <c r="U256" s="255"/>
      <c r="V256" s="255"/>
      <c r="W256" s="255"/>
      <c r="Z256" s="153" t="s">
        <v>15</v>
      </c>
      <c r="AA256" s="153">
        <v>2002</v>
      </c>
      <c r="AB256" s="153" t="s">
        <v>692</v>
      </c>
      <c r="AC256" s="153"/>
      <c r="AD256" s="153">
        <v>15194</v>
      </c>
      <c r="AE256" s="153">
        <v>63</v>
      </c>
      <c r="AF256" s="153">
        <v>34</v>
      </c>
      <c r="AG256" s="153"/>
      <c r="AH256" s="153"/>
      <c r="AI256" s="153"/>
      <c r="AJ256" s="153">
        <v>15291</v>
      </c>
      <c r="AL256" s="256">
        <f>VLOOKUP(AA256,pgdp!$A$13:$C$90,3,FALSE)</f>
        <v>0.72177029812501559</v>
      </c>
      <c r="AM256" s="153" t="s">
        <v>15</v>
      </c>
      <c r="AN256" s="153">
        <v>2002</v>
      </c>
      <c r="AO256" s="153" t="s">
        <v>692</v>
      </c>
      <c r="AP256" s="255">
        <f t="shared" si="36"/>
        <v>0</v>
      </c>
      <c r="AQ256" s="255">
        <f t="shared" si="29"/>
        <v>21.051018640515313</v>
      </c>
      <c r="AR256" s="255">
        <f t="shared" si="30"/>
        <v>8.7285387281325857E-2</v>
      </c>
      <c r="AS256" s="255">
        <f t="shared" si="31"/>
        <v>4.7106399485159982E-2</v>
      </c>
      <c r="AT256" s="255">
        <f t="shared" si="32"/>
        <v>0</v>
      </c>
      <c r="AU256" s="255">
        <f t="shared" si="33"/>
        <v>0</v>
      </c>
      <c r="AV256" s="255">
        <f t="shared" si="34"/>
        <v>0</v>
      </c>
      <c r="AW256" s="255">
        <f t="shared" si="35"/>
        <v>21.185410427281802</v>
      </c>
    </row>
    <row r="257" spans="1:49" hidden="1">
      <c r="A257" s="153"/>
      <c r="B257" s="153"/>
      <c r="C257" s="153"/>
      <c r="D257" s="153"/>
      <c r="E257" s="153"/>
      <c r="F257" s="153"/>
      <c r="G257" s="153"/>
      <c r="H257" s="153"/>
      <c r="I257" s="153"/>
      <c r="J257" s="153"/>
      <c r="K257" s="153"/>
      <c r="M257" s="254"/>
      <c r="N257" s="153"/>
      <c r="O257" s="153"/>
      <c r="P257" s="153"/>
      <c r="Q257" s="255"/>
      <c r="R257" s="255"/>
      <c r="S257" s="255"/>
      <c r="T257" s="255"/>
      <c r="U257" s="255"/>
      <c r="V257" s="255"/>
      <c r="W257" s="255"/>
      <c r="Z257" s="153" t="s">
        <v>15</v>
      </c>
      <c r="AA257" s="153">
        <v>2003</v>
      </c>
      <c r="AB257" s="153" t="s">
        <v>689</v>
      </c>
      <c r="AC257" s="153">
        <v>0</v>
      </c>
      <c r="AD257" s="153">
        <v>22348</v>
      </c>
      <c r="AE257" s="153">
        <v>4107</v>
      </c>
      <c r="AF257" s="153">
        <v>17554</v>
      </c>
      <c r="AG257" s="153">
        <v>1207</v>
      </c>
      <c r="AH257" s="153">
        <v>91</v>
      </c>
      <c r="AI257" s="153">
        <v>2176</v>
      </c>
      <c r="AJ257" s="153">
        <v>47482</v>
      </c>
      <c r="AL257" s="256">
        <f>VLOOKUP(AA257,pgdp!$A$13:$C$90,3,FALSE)</f>
        <v>0.73558157581522121</v>
      </c>
      <c r="AM257" s="153" t="s">
        <v>15</v>
      </c>
      <c r="AN257" s="153">
        <v>2003</v>
      </c>
      <c r="AO257" s="153" t="s">
        <v>689</v>
      </c>
      <c r="AP257" s="255">
        <f t="shared" si="36"/>
        <v>0</v>
      </c>
      <c r="AQ257" s="255">
        <f t="shared" si="29"/>
        <v>30.381402600020856</v>
      </c>
      <c r="AR257" s="255">
        <f t="shared" si="30"/>
        <v>5.583337232785289</v>
      </c>
      <c r="AS257" s="255">
        <f t="shared" si="31"/>
        <v>23.864110490458479</v>
      </c>
      <c r="AT257" s="255">
        <f t="shared" si="32"/>
        <v>1.6408785098543572</v>
      </c>
      <c r="AU257" s="255">
        <f t="shared" si="33"/>
        <v>0.12371163578852237</v>
      </c>
      <c r="AV257" s="255">
        <f t="shared" si="34"/>
        <v>2.9582035107233482</v>
      </c>
      <c r="AW257" s="255">
        <f t="shared" si="35"/>
        <v>64.550284511105701</v>
      </c>
    </row>
    <row r="258" spans="1:49" hidden="1">
      <c r="A258" s="153"/>
      <c r="B258" s="153"/>
      <c r="C258" s="153"/>
      <c r="D258" s="153"/>
      <c r="E258" s="153"/>
      <c r="F258" s="153"/>
      <c r="G258" s="153"/>
      <c r="H258" s="153"/>
      <c r="I258" s="153"/>
      <c r="J258" s="153"/>
      <c r="K258" s="153"/>
      <c r="M258" s="256"/>
      <c r="N258" s="153"/>
      <c r="O258" s="153"/>
      <c r="P258" s="153"/>
      <c r="Q258" s="255"/>
      <c r="R258" s="255"/>
      <c r="S258" s="255"/>
      <c r="T258" s="255"/>
      <c r="U258" s="255"/>
      <c r="V258" s="255"/>
      <c r="W258" s="255"/>
      <c r="Z258" s="153" t="s">
        <v>15</v>
      </c>
      <c r="AA258" s="153">
        <v>2003</v>
      </c>
      <c r="AB258" s="153" t="s">
        <v>693</v>
      </c>
      <c r="AC258" s="153"/>
      <c r="AD258" s="153">
        <v>19065</v>
      </c>
      <c r="AE258" s="153">
        <v>484</v>
      </c>
      <c r="AF258" s="153">
        <v>486</v>
      </c>
      <c r="AG258" s="153"/>
      <c r="AH258" s="153"/>
      <c r="AI258" s="153"/>
      <c r="AJ258" s="153">
        <v>20036</v>
      </c>
      <c r="AL258" s="254">
        <f>VLOOKUP(AA258,pgdp!$A$13:$C$90,3,FALSE)</f>
        <v>0.73558157581522121</v>
      </c>
      <c r="AM258" s="153" t="s">
        <v>15</v>
      </c>
      <c r="AN258" s="153">
        <v>2003</v>
      </c>
      <c r="AO258" s="153" t="s">
        <v>693</v>
      </c>
      <c r="AP258" s="255">
        <f t="shared" si="36"/>
        <v>0</v>
      </c>
      <c r="AQ258" s="255">
        <f t="shared" si="29"/>
        <v>25.918267431958011</v>
      </c>
      <c r="AR258" s="255">
        <f t="shared" si="30"/>
        <v>0.6579827661719212</v>
      </c>
      <c r="AS258" s="255">
        <f t="shared" si="31"/>
        <v>0.66070170322221844</v>
      </c>
      <c r="AT258" s="255">
        <f t="shared" si="32"/>
        <v>0</v>
      </c>
      <c r="AU258" s="255">
        <f t="shared" si="33"/>
        <v>0</v>
      </c>
      <c r="AV258" s="255">
        <f t="shared" si="34"/>
        <v>0</v>
      </c>
      <c r="AW258" s="255">
        <f t="shared" si="35"/>
        <v>27.238311369877298</v>
      </c>
    </row>
    <row r="259" spans="1:49" hidden="1">
      <c r="A259" s="153"/>
      <c r="B259" s="153"/>
      <c r="C259" s="153"/>
      <c r="D259" s="153"/>
      <c r="E259" s="153"/>
      <c r="F259" s="153"/>
      <c r="G259" s="153"/>
      <c r="H259" s="153"/>
      <c r="I259" s="153"/>
      <c r="J259" s="153"/>
      <c r="K259" s="153"/>
      <c r="M259" s="256"/>
      <c r="N259" s="153"/>
      <c r="O259" s="153"/>
      <c r="P259" s="153"/>
      <c r="Q259" s="255"/>
      <c r="R259" s="255"/>
      <c r="S259" s="255"/>
      <c r="T259" s="255"/>
      <c r="U259" s="255"/>
      <c r="V259" s="255"/>
      <c r="W259" s="255"/>
      <c r="Z259" s="153" t="s">
        <v>15</v>
      </c>
      <c r="AA259" s="153">
        <v>2004</v>
      </c>
      <c r="AB259" s="153" t="s">
        <v>689</v>
      </c>
      <c r="AC259" s="153">
        <v>0</v>
      </c>
      <c r="AD259" s="153">
        <v>27788</v>
      </c>
      <c r="AE259" s="153">
        <v>4176</v>
      </c>
      <c r="AF259" s="153">
        <v>18951</v>
      </c>
      <c r="AG259" s="153">
        <v>1023</v>
      </c>
      <c r="AH259" s="153">
        <v>58</v>
      </c>
      <c r="AI259" s="153">
        <v>1300</v>
      </c>
      <c r="AJ259" s="153">
        <v>53297</v>
      </c>
      <c r="AL259" s="256">
        <f>VLOOKUP(AA259,pgdp!$A$13:$C$90,3,FALSE)</f>
        <v>0.75378638244667995</v>
      </c>
      <c r="AM259" s="153" t="s">
        <v>15</v>
      </c>
      <c r="AN259" s="153">
        <v>2004</v>
      </c>
      <c r="AO259" s="153" t="s">
        <v>689</v>
      </c>
      <c r="AP259" s="255">
        <f t="shared" si="36"/>
        <v>0</v>
      </c>
      <c r="AQ259" s="255">
        <f t="shared" si="29"/>
        <v>36.864555591737052</v>
      </c>
      <c r="AR259" s="255">
        <f t="shared" si="30"/>
        <v>5.5400310979953193</v>
      </c>
      <c r="AS259" s="255">
        <f t="shared" si="31"/>
        <v>25.141075033072148</v>
      </c>
      <c r="AT259" s="255">
        <f t="shared" si="32"/>
        <v>1.3571484227129338</v>
      </c>
      <c r="AU259" s="255">
        <f t="shared" si="33"/>
        <v>7.6944876361046105E-2</v>
      </c>
      <c r="AV259" s="255">
        <f t="shared" si="34"/>
        <v>1.7246265391268953</v>
      </c>
      <c r="AW259" s="255">
        <f t="shared" si="35"/>
        <v>70.705708196804721</v>
      </c>
    </row>
    <row r="260" spans="1:49" hidden="1">
      <c r="A260" s="153"/>
      <c r="B260" s="153"/>
      <c r="C260" s="153"/>
      <c r="D260" s="153"/>
      <c r="E260" s="153"/>
      <c r="F260" s="153"/>
      <c r="G260" s="153"/>
      <c r="H260" s="153"/>
      <c r="I260" s="153"/>
      <c r="J260" s="153"/>
      <c r="K260" s="153"/>
      <c r="M260" s="254"/>
      <c r="N260" s="153"/>
      <c r="O260" s="153"/>
      <c r="P260" s="153"/>
      <c r="Q260" s="255"/>
      <c r="R260" s="255"/>
      <c r="S260" s="255"/>
      <c r="T260" s="255"/>
      <c r="U260" s="255"/>
      <c r="V260" s="255"/>
      <c r="W260" s="255"/>
      <c r="Z260" s="153" t="s">
        <v>15</v>
      </c>
      <c r="AA260" s="153">
        <v>2004</v>
      </c>
      <c r="AB260" s="153" t="s">
        <v>694</v>
      </c>
      <c r="AC260" s="153"/>
      <c r="AD260" s="153">
        <v>11998</v>
      </c>
      <c r="AE260" s="153">
        <v>519</v>
      </c>
      <c r="AF260" s="153">
        <v>261</v>
      </c>
      <c r="AG260" s="153"/>
      <c r="AH260" s="153"/>
      <c r="AI260" s="153">
        <v>2078</v>
      </c>
      <c r="AJ260" s="153">
        <v>14855</v>
      </c>
      <c r="AL260" s="256">
        <f>VLOOKUP(AA260,pgdp!$A$13:$C$90,3,FALSE)</f>
        <v>0.75378638244667995</v>
      </c>
      <c r="AM260" s="153" t="s">
        <v>15</v>
      </c>
      <c r="AN260" s="153">
        <v>2004</v>
      </c>
      <c r="AO260" s="153" t="s">
        <v>694</v>
      </c>
      <c r="AP260" s="255">
        <f t="shared" si="36"/>
        <v>0</v>
      </c>
      <c r="AQ260" s="255">
        <f t="shared" si="29"/>
        <v>15.916976320341915</v>
      </c>
      <c r="AR260" s="255">
        <f t="shared" si="30"/>
        <v>0.68852397985142977</v>
      </c>
      <c r="AS260" s="255">
        <f t="shared" si="31"/>
        <v>0.34625194362470746</v>
      </c>
      <c r="AT260" s="255">
        <f t="shared" si="32"/>
        <v>0</v>
      </c>
      <c r="AU260" s="255">
        <f t="shared" si="33"/>
        <v>0</v>
      </c>
      <c r="AV260" s="255">
        <f t="shared" si="34"/>
        <v>2.756749191004376</v>
      </c>
      <c r="AW260" s="255">
        <f t="shared" si="35"/>
        <v>19.7071747990231</v>
      </c>
    </row>
    <row r="261" spans="1:49" hidden="1">
      <c r="A261" s="153"/>
      <c r="B261" s="153"/>
      <c r="C261" s="153"/>
      <c r="D261" s="153"/>
      <c r="E261" s="153"/>
      <c r="F261" s="153"/>
      <c r="G261" s="153"/>
      <c r="H261" s="153"/>
      <c r="I261" s="153"/>
      <c r="J261" s="153"/>
      <c r="K261" s="153"/>
      <c r="M261" s="256"/>
      <c r="N261" s="153"/>
      <c r="O261" s="153"/>
      <c r="P261" s="153"/>
      <c r="Q261" s="255"/>
      <c r="R261" s="255"/>
      <c r="S261" s="255"/>
      <c r="T261" s="255"/>
      <c r="U261" s="255"/>
      <c r="V261" s="255"/>
      <c r="W261" s="255"/>
      <c r="Z261" s="153" t="s">
        <v>15</v>
      </c>
      <c r="AA261" s="153">
        <v>2004</v>
      </c>
      <c r="AB261" s="153" t="s">
        <v>695</v>
      </c>
      <c r="AC261" s="153"/>
      <c r="AD261" s="153"/>
      <c r="AE261" s="153"/>
      <c r="AF261" s="153"/>
      <c r="AG261" s="153"/>
      <c r="AH261" s="153"/>
      <c r="AI261" s="153"/>
      <c r="AJ261" s="153">
        <v>0</v>
      </c>
      <c r="AL261" s="254">
        <f>VLOOKUP(AA261,pgdp!$A$13:$C$90,3,FALSE)</f>
        <v>0.75378638244667995</v>
      </c>
      <c r="AM261" s="153" t="s">
        <v>15</v>
      </c>
      <c r="AN261" s="153">
        <v>2004</v>
      </c>
      <c r="AO261" s="153" t="s">
        <v>695</v>
      </c>
      <c r="AP261" s="255">
        <f t="shared" si="36"/>
        <v>0</v>
      </c>
      <c r="AQ261" s="255">
        <f t="shared" si="29"/>
        <v>0</v>
      </c>
      <c r="AR261" s="255">
        <f t="shared" si="30"/>
        <v>0</v>
      </c>
      <c r="AS261" s="255">
        <f t="shared" si="31"/>
        <v>0</v>
      </c>
      <c r="AT261" s="255">
        <f t="shared" si="32"/>
        <v>0</v>
      </c>
      <c r="AU261" s="255">
        <f t="shared" si="33"/>
        <v>0</v>
      </c>
      <c r="AV261" s="255">
        <f t="shared" si="34"/>
        <v>0</v>
      </c>
      <c r="AW261" s="255">
        <f t="shared" si="35"/>
        <v>0</v>
      </c>
    </row>
    <row r="262" spans="1:49" hidden="1">
      <c r="A262" s="153"/>
      <c r="B262" s="153"/>
      <c r="C262" s="153"/>
      <c r="D262" s="153"/>
      <c r="E262" s="153"/>
      <c r="F262" s="153"/>
      <c r="G262" s="153"/>
      <c r="H262" s="153"/>
      <c r="I262" s="153"/>
      <c r="J262" s="153"/>
      <c r="K262" s="153"/>
      <c r="M262" s="254"/>
      <c r="N262" s="153"/>
      <c r="O262" s="153"/>
      <c r="P262" s="153"/>
      <c r="Q262" s="255"/>
      <c r="R262" s="255"/>
      <c r="S262" s="255"/>
      <c r="T262" s="255"/>
      <c r="U262" s="255"/>
      <c r="V262" s="255"/>
      <c r="W262" s="255"/>
      <c r="Z262" s="153" t="s">
        <v>15</v>
      </c>
      <c r="AA262" s="153">
        <v>2005</v>
      </c>
      <c r="AB262" s="153" t="s">
        <v>689</v>
      </c>
      <c r="AC262" s="153">
        <v>0</v>
      </c>
      <c r="AD262" s="153">
        <v>34830</v>
      </c>
      <c r="AE262" s="153">
        <v>3076</v>
      </c>
      <c r="AF262" s="153">
        <v>20658</v>
      </c>
      <c r="AG262" s="153">
        <v>838</v>
      </c>
      <c r="AH262" s="153">
        <v>175</v>
      </c>
      <c r="AI262" s="153">
        <v>762</v>
      </c>
      <c r="AJ262" s="153">
        <v>60340</v>
      </c>
      <c r="AL262" s="256">
        <f>VLOOKUP(AA262,pgdp!$A$13:$C$90,3,FALSE)</f>
        <v>0.77750760344715164</v>
      </c>
      <c r="AM262" s="153" t="s">
        <v>15</v>
      </c>
      <c r="AN262" s="153">
        <v>2005</v>
      </c>
      <c r="AO262" s="153" t="s">
        <v>689</v>
      </c>
      <c r="AP262" s="255">
        <f t="shared" si="36"/>
        <v>0</v>
      </c>
      <c r="AQ262" s="255">
        <f t="shared" si="29"/>
        <v>44.796989567147619</v>
      </c>
      <c r="AR262" s="255">
        <f t="shared" si="30"/>
        <v>3.9562314070785551</v>
      </c>
      <c r="AS262" s="255">
        <f t="shared" si="31"/>
        <v>26.569515086940438</v>
      </c>
      <c r="AT262" s="255">
        <f t="shared" si="32"/>
        <v>1.0778029646072267</v>
      </c>
      <c r="AU262" s="255">
        <f t="shared" si="33"/>
        <v>0.22507818473301272</v>
      </c>
      <c r="AV262" s="255">
        <f t="shared" si="34"/>
        <v>0.98005472438031827</v>
      </c>
      <c r="AW262" s="255">
        <f t="shared" si="35"/>
        <v>77.606958095942787</v>
      </c>
    </row>
    <row r="263" spans="1:49" hidden="1">
      <c r="A263" s="153"/>
      <c r="B263" s="153"/>
      <c r="C263" s="153"/>
      <c r="D263" s="153"/>
      <c r="E263" s="153"/>
      <c r="F263" s="153"/>
      <c r="G263" s="153"/>
      <c r="H263" s="153"/>
      <c r="I263" s="153"/>
      <c r="J263" s="153"/>
      <c r="K263" s="153"/>
      <c r="M263" s="256"/>
      <c r="N263" s="153"/>
      <c r="O263" s="153"/>
      <c r="P263" s="153"/>
      <c r="Q263" s="255"/>
      <c r="R263" s="255"/>
      <c r="S263" s="255"/>
      <c r="T263" s="255"/>
      <c r="U263" s="255"/>
      <c r="V263" s="255"/>
      <c r="W263" s="255"/>
      <c r="Z263" s="153" t="s">
        <v>15</v>
      </c>
      <c r="AA263" s="153">
        <v>2005</v>
      </c>
      <c r="AB263" s="153" t="s">
        <v>696</v>
      </c>
      <c r="AC263" s="153"/>
      <c r="AD263" s="153">
        <v>3449</v>
      </c>
      <c r="AE263" s="153">
        <v>646</v>
      </c>
      <c r="AF263" s="153">
        <v>254</v>
      </c>
      <c r="AG263" s="153"/>
      <c r="AH263" s="153"/>
      <c r="AI263" s="153">
        <v>1511</v>
      </c>
      <c r="AJ263" s="153">
        <v>5859</v>
      </c>
      <c r="AL263" s="254">
        <f>VLOOKUP(AA263,pgdp!$A$13:$C$90,3,FALSE)</f>
        <v>0.77750760344715164</v>
      </c>
      <c r="AM263" s="153" t="s">
        <v>15</v>
      </c>
      <c r="AN263" s="153">
        <v>2005</v>
      </c>
      <c r="AO263" s="153" t="s">
        <v>696</v>
      </c>
      <c r="AP263" s="255">
        <f t="shared" si="36"/>
        <v>0</v>
      </c>
      <c r="AQ263" s="255">
        <f t="shared" si="29"/>
        <v>4.4359694808237764</v>
      </c>
      <c r="AR263" s="255">
        <f t="shared" si="30"/>
        <v>0.8308600419287212</v>
      </c>
      <c r="AS263" s="255">
        <f t="shared" si="31"/>
        <v>0.32668490812677276</v>
      </c>
      <c r="AT263" s="255">
        <f t="shared" si="32"/>
        <v>0</v>
      </c>
      <c r="AU263" s="255">
        <f t="shared" si="33"/>
        <v>0</v>
      </c>
      <c r="AV263" s="255">
        <f t="shared" si="34"/>
        <v>1.9433893550376129</v>
      </c>
      <c r="AW263" s="255">
        <f t="shared" si="35"/>
        <v>7.5356176248612661</v>
      </c>
    </row>
    <row r="264" spans="1:49" hidden="1">
      <c r="A264" s="153"/>
      <c r="B264" s="153"/>
      <c r="C264" s="153"/>
      <c r="D264" s="153"/>
      <c r="E264" s="153"/>
      <c r="F264" s="153"/>
      <c r="G264" s="153"/>
      <c r="H264" s="153"/>
      <c r="I264" s="153"/>
      <c r="J264" s="153"/>
      <c r="K264" s="153"/>
      <c r="M264" s="256"/>
      <c r="N264" s="153"/>
      <c r="O264" s="153"/>
      <c r="P264" s="153"/>
      <c r="Q264" s="255"/>
      <c r="R264" s="255"/>
      <c r="S264" s="255"/>
      <c r="T264" s="255"/>
      <c r="U264" s="255"/>
      <c r="V264" s="255"/>
      <c r="W264" s="255"/>
      <c r="Z264" s="153" t="s">
        <v>15</v>
      </c>
      <c r="AA264" s="153">
        <v>2005</v>
      </c>
      <c r="AB264" s="153" t="s">
        <v>697</v>
      </c>
      <c r="AC264" s="153"/>
      <c r="AD264" s="153">
        <v>2077</v>
      </c>
      <c r="AE264" s="153">
        <v>140</v>
      </c>
      <c r="AF264" s="153">
        <v>6</v>
      </c>
      <c r="AG264" s="153"/>
      <c r="AH264" s="153"/>
      <c r="AI264" s="153">
        <v>4</v>
      </c>
      <c r="AJ264" s="153">
        <v>2227</v>
      </c>
      <c r="AL264" s="256">
        <f>VLOOKUP(AA264,pgdp!$A$13:$C$90,3,FALSE)</f>
        <v>0.77750760344715164</v>
      </c>
      <c r="AM264" s="153" t="s">
        <v>15</v>
      </c>
      <c r="AN264" s="153">
        <v>2005</v>
      </c>
      <c r="AO264" s="153" t="s">
        <v>697</v>
      </c>
      <c r="AP264" s="255">
        <f t="shared" si="36"/>
        <v>0</v>
      </c>
      <c r="AQ264" s="255">
        <f t="shared" si="29"/>
        <v>2.6713565125169567</v>
      </c>
      <c r="AR264" s="255">
        <f t="shared" si="30"/>
        <v>0.1800625477864102</v>
      </c>
      <c r="AS264" s="255">
        <f t="shared" si="31"/>
        <v>7.7169663337032937E-3</v>
      </c>
      <c r="AT264" s="255">
        <f t="shared" si="32"/>
        <v>0</v>
      </c>
      <c r="AU264" s="255">
        <f t="shared" si="33"/>
        <v>0</v>
      </c>
      <c r="AV264" s="255">
        <f t="shared" si="34"/>
        <v>5.1446442224688622E-3</v>
      </c>
      <c r="AW264" s="255">
        <f t="shared" si="35"/>
        <v>2.864280670859539</v>
      </c>
    </row>
    <row r="265" spans="1:49" hidden="1">
      <c r="A265" s="153"/>
      <c r="B265" s="153"/>
      <c r="C265" s="153"/>
      <c r="D265" s="153"/>
      <c r="E265" s="153"/>
      <c r="F265" s="153"/>
      <c r="G265" s="153"/>
      <c r="H265" s="153"/>
      <c r="I265" s="153"/>
      <c r="J265" s="153"/>
      <c r="K265" s="153"/>
      <c r="M265" s="256"/>
      <c r="N265" s="153"/>
      <c r="O265" s="153"/>
      <c r="P265" s="153"/>
      <c r="Q265" s="255"/>
      <c r="R265" s="255"/>
      <c r="S265" s="255"/>
      <c r="T265" s="255"/>
      <c r="U265" s="255"/>
      <c r="V265" s="255"/>
      <c r="W265" s="255"/>
      <c r="Z265" s="153" t="s">
        <v>15</v>
      </c>
      <c r="AA265" s="153">
        <v>2006</v>
      </c>
      <c r="AB265" s="153" t="s">
        <v>689</v>
      </c>
      <c r="AC265" s="153">
        <v>0</v>
      </c>
      <c r="AD265" s="153">
        <v>33444</v>
      </c>
      <c r="AE265" s="153">
        <v>2868</v>
      </c>
      <c r="AF265" s="153">
        <v>19765</v>
      </c>
      <c r="AG265" s="153">
        <v>1298</v>
      </c>
      <c r="AH265" s="153">
        <v>276</v>
      </c>
      <c r="AI265" s="153">
        <v>-1281</v>
      </c>
      <c r="AJ265" s="153">
        <v>56371</v>
      </c>
      <c r="AL265" s="254">
        <f>VLOOKUP(AA265,pgdp!$A$13:$C$90,3,FALSE)</f>
        <v>0.80275228380407149</v>
      </c>
      <c r="AM265" s="153" t="s">
        <v>15</v>
      </c>
      <c r="AN265" s="153">
        <v>2006</v>
      </c>
      <c r="AO265" s="153" t="s">
        <v>689</v>
      </c>
      <c r="AP265" s="255">
        <f t="shared" si="36"/>
        <v>0</v>
      </c>
      <c r="AQ265" s="255">
        <f t="shared" si="29"/>
        <v>41.661669078680205</v>
      </c>
      <c r="AR265" s="255">
        <f t="shared" si="30"/>
        <v>3.5727086149280836</v>
      </c>
      <c r="AS265" s="255">
        <f t="shared" si="31"/>
        <v>24.621543156922446</v>
      </c>
      <c r="AT265" s="255">
        <f t="shared" si="32"/>
        <v>1.6169371625441604</v>
      </c>
      <c r="AU265" s="255">
        <f t="shared" si="33"/>
        <v>0.34381714704328836</v>
      </c>
      <c r="AV265" s="255">
        <f t="shared" si="34"/>
        <v>-1.5957600194291754</v>
      </c>
      <c r="AW265" s="255">
        <f t="shared" si="35"/>
        <v>70.22216085498988</v>
      </c>
    </row>
    <row r="266" spans="1:49" hidden="1">
      <c r="A266" s="153"/>
      <c r="B266" s="153"/>
      <c r="C266" s="153"/>
      <c r="D266" s="153"/>
      <c r="E266" s="153"/>
      <c r="F266" s="153"/>
      <c r="G266" s="153"/>
      <c r="H266" s="153"/>
      <c r="I266" s="153"/>
      <c r="J266" s="153"/>
      <c r="K266" s="153"/>
      <c r="M266" s="254"/>
      <c r="N266" s="153"/>
      <c r="O266" s="153"/>
      <c r="P266" s="153"/>
      <c r="Q266" s="255"/>
      <c r="R266" s="255"/>
      <c r="S266" s="255"/>
      <c r="T266" s="255"/>
      <c r="U266" s="255"/>
      <c r="V266" s="255"/>
      <c r="W266" s="255"/>
      <c r="Z266" s="153" t="s">
        <v>15</v>
      </c>
      <c r="AA266" s="153">
        <v>2006</v>
      </c>
      <c r="AB266" s="153" t="s">
        <v>698</v>
      </c>
      <c r="AC266" s="153"/>
      <c r="AD266" s="153">
        <v>11634</v>
      </c>
      <c r="AE266" s="153">
        <v>1513</v>
      </c>
      <c r="AF266" s="153">
        <v>174</v>
      </c>
      <c r="AG266" s="153">
        <v>21</v>
      </c>
      <c r="AH266" s="153"/>
      <c r="AI266" s="153">
        <v>3033</v>
      </c>
      <c r="AJ266" s="153">
        <v>16374</v>
      </c>
      <c r="AL266" s="256">
        <f>VLOOKUP(AA266,pgdp!$A$13:$C$90,3,FALSE)</f>
        <v>0.80275228380407149</v>
      </c>
      <c r="AM266" s="153" t="s">
        <v>15</v>
      </c>
      <c r="AN266" s="153">
        <v>2006</v>
      </c>
      <c r="AO266" s="153" t="s">
        <v>698</v>
      </c>
      <c r="AP266" s="255">
        <f t="shared" si="36"/>
        <v>0</v>
      </c>
      <c r="AQ266" s="255">
        <f t="shared" si="29"/>
        <v>14.492640176455133</v>
      </c>
      <c r="AR266" s="255">
        <f t="shared" si="30"/>
        <v>1.8847657372336788</v>
      </c>
      <c r="AS266" s="255">
        <f t="shared" si="31"/>
        <v>0.21675428835337746</v>
      </c>
      <c r="AT266" s="255">
        <f t="shared" si="32"/>
        <v>2.6160000318511071E-2</v>
      </c>
      <c r="AU266" s="255">
        <f t="shared" si="33"/>
        <v>0</v>
      </c>
      <c r="AV266" s="255">
        <f t="shared" si="34"/>
        <v>3.7782514745735276</v>
      </c>
      <c r="AW266" s="255">
        <f t="shared" si="35"/>
        <v>20.397325962633346</v>
      </c>
    </row>
    <row r="267" spans="1:49" hidden="1">
      <c r="A267" s="153"/>
      <c r="B267" s="153"/>
      <c r="C267" s="153"/>
      <c r="D267" s="153"/>
      <c r="E267" s="153"/>
      <c r="F267" s="153"/>
      <c r="G267" s="153"/>
      <c r="H267" s="153"/>
      <c r="I267" s="153"/>
      <c r="J267" s="153"/>
      <c r="K267" s="153"/>
      <c r="M267" s="256"/>
      <c r="N267" s="153"/>
      <c r="O267" s="153"/>
      <c r="P267" s="153"/>
      <c r="Q267" s="255"/>
      <c r="R267" s="255"/>
      <c r="S267" s="255"/>
      <c r="T267" s="255"/>
      <c r="U267" s="255"/>
      <c r="V267" s="255"/>
      <c r="W267" s="255"/>
      <c r="Z267" s="153" t="s">
        <v>15</v>
      </c>
      <c r="AA267" s="153">
        <v>2006</v>
      </c>
      <c r="AB267" s="153" t="s">
        <v>699</v>
      </c>
      <c r="AC267" s="153"/>
      <c r="AD267" s="153">
        <v>974</v>
      </c>
      <c r="AE267" s="153">
        <v>29</v>
      </c>
      <c r="AF267" s="153">
        <v>29</v>
      </c>
      <c r="AG267" s="153">
        <v>45</v>
      </c>
      <c r="AH267" s="153"/>
      <c r="AI267" s="153">
        <v>56</v>
      </c>
      <c r="AJ267" s="153">
        <v>1133</v>
      </c>
      <c r="AL267" s="256">
        <f>VLOOKUP(AA267,pgdp!$A$13:$C$90,3,FALSE)</f>
        <v>0.80275228380407149</v>
      </c>
      <c r="AM267" s="153" t="s">
        <v>15</v>
      </c>
      <c r="AN267" s="153">
        <v>2006</v>
      </c>
      <c r="AO267" s="153" t="s">
        <v>699</v>
      </c>
      <c r="AP267" s="255">
        <f t="shared" si="36"/>
        <v>0</v>
      </c>
      <c r="AQ267" s="255">
        <f t="shared" si="29"/>
        <v>1.2133257290585611</v>
      </c>
      <c r="AR267" s="255">
        <f t="shared" si="30"/>
        <v>3.6125714725562905E-2</v>
      </c>
      <c r="AS267" s="255">
        <f t="shared" si="31"/>
        <v>3.6125714725562905E-2</v>
      </c>
      <c r="AT267" s="255">
        <f t="shared" si="32"/>
        <v>5.6057143539666586E-2</v>
      </c>
      <c r="AU267" s="255">
        <f t="shared" si="33"/>
        <v>0</v>
      </c>
      <c r="AV267" s="255">
        <f t="shared" si="34"/>
        <v>6.976000084936286E-2</v>
      </c>
      <c r="AW267" s="255">
        <f t="shared" si="35"/>
        <v>1.4113943028987164</v>
      </c>
    </row>
    <row r="268" spans="1:49" hidden="1">
      <c r="A268" s="153"/>
      <c r="B268" s="153"/>
      <c r="C268" s="153"/>
      <c r="D268" s="153"/>
      <c r="E268" s="153"/>
      <c r="F268" s="153"/>
      <c r="G268" s="153"/>
      <c r="H268" s="153"/>
      <c r="I268" s="153"/>
      <c r="J268" s="153"/>
      <c r="K268" s="153"/>
      <c r="M268" s="256"/>
      <c r="N268" s="153"/>
      <c r="O268" s="153"/>
      <c r="P268" s="153"/>
      <c r="Q268" s="255"/>
      <c r="R268" s="255"/>
      <c r="S268" s="255"/>
      <c r="T268" s="255"/>
      <c r="U268" s="255"/>
      <c r="V268" s="255"/>
      <c r="W268" s="255"/>
      <c r="Z268" s="153" t="s">
        <v>15</v>
      </c>
      <c r="AA268" s="153">
        <v>2006</v>
      </c>
      <c r="AB268" s="153" t="s">
        <v>700</v>
      </c>
      <c r="AC268" s="153"/>
      <c r="AD268" s="153">
        <v>130</v>
      </c>
      <c r="AE268" s="153"/>
      <c r="AF268" s="153"/>
      <c r="AG268" s="153"/>
      <c r="AH268" s="153"/>
      <c r="AI268" s="153"/>
      <c r="AJ268" s="153">
        <v>130</v>
      </c>
      <c r="AL268" s="254">
        <f>VLOOKUP(AA268,pgdp!$A$13:$C$90,3,FALSE)</f>
        <v>0.80275228380407149</v>
      </c>
      <c r="AM268" s="153" t="s">
        <v>15</v>
      </c>
      <c r="AN268" s="153">
        <v>2006</v>
      </c>
      <c r="AO268" s="153" t="s">
        <v>700</v>
      </c>
      <c r="AP268" s="255">
        <f t="shared" si="36"/>
        <v>0</v>
      </c>
      <c r="AQ268" s="255">
        <f t="shared" si="29"/>
        <v>0.16194285911459236</v>
      </c>
      <c r="AR268" s="255">
        <f t="shared" si="30"/>
        <v>0</v>
      </c>
      <c r="AS268" s="255">
        <f t="shared" si="31"/>
        <v>0</v>
      </c>
      <c r="AT268" s="255">
        <f t="shared" si="32"/>
        <v>0</v>
      </c>
      <c r="AU268" s="255">
        <f t="shared" si="33"/>
        <v>0</v>
      </c>
      <c r="AV268" s="255">
        <f t="shared" si="34"/>
        <v>0</v>
      </c>
      <c r="AW268" s="255">
        <f t="shared" si="35"/>
        <v>0.16194285911459236</v>
      </c>
    </row>
    <row r="269" spans="1:49" hidden="1">
      <c r="A269" s="153"/>
      <c r="B269" s="153"/>
      <c r="C269" s="153"/>
      <c r="D269" s="153"/>
      <c r="E269" s="153"/>
      <c r="F269" s="153"/>
      <c r="G269" s="153"/>
      <c r="H269" s="153"/>
      <c r="I269" s="153"/>
      <c r="J269" s="153"/>
      <c r="K269" s="153"/>
      <c r="M269" s="254"/>
      <c r="N269" s="153"/>
      <c r="O269" s="153"/>
      <c r="P269" s="153"/>
      <c r="Q269" s="255"/>
      <c r="R269" s="255"/>
      <c r="S269" s="255"/>
      <c r="T269" s="255"/>
      <c r="U269" s="255"/>
      <c r="V269" s="255"/>
      <c r="W269" s="255"/>
      <c r="Z269" s="153" t="s">
        <v>15</v>
      </c>
      <c r="AA269" s="153">
        <v>2007</v>
      </c>
      <c r="AB269" s="153" t="s">
        <v>689</v>
      </c>
      <c r="AC269" s="153">
        <v>0</v>
      </c>
      <c r="AD269" s="153">
        <v>41710</v>
      </c>
      <c r="AE269" s="153">
        <v>2771</v>
      </c>
      <c r="AF269" s="153">
        <v>21314</v>
      </c>
      <c r="AG269" s="153">
        <v>-1490</v>
      </c>
      <c r="AH269" s="153">
        <v>235</v>
      </c>
      <c r="AI269" s="153">
        <v>456</v>
      </c>
      <c r="AJ269" s="153">
        <v>64997</v>
      </c>
      <c r="AL269" s="256">
        <f>VLOOKUP(AA269,pgdp!$A$13:$C$90,3,FALSE)</f>
        <v>0.82459421647952613</v>
      </c>
      <c r="AM269" s="153" t="s">
        <v>15</v>
      </c>
      <c r="AN269" s="153">
        <v>2007</v>
      </c>
      <c r="AO269" s="153" t="s">
        <v>689</v>
      </c>
      <c r="AP269" s="255">
        <f t="shared" si="36"/>
        <v>0</v>
      </c>
      <c r="AQ269" s="255">
        <f t="shared" si="29"/>
        <v>50.582455183925752</v>
      </c>
      <c r="AR269" s="255">
        <f t="shared" si="30"/>
        <v>3.3604407411809696</v>
      </c>
      <c r="AS269" s="255">
        <f t="shared" si="31"/>
        <v>25.847865015348681</v>
      </c>
      <c r="AT269" s="255">
        <f t="shared" si="32"/>
        <v>-1.8069493700323511</v>
      </c>
      <c r="AU269" s="255">
        <f t="shared" si="33"/>
        <v>0.28498865903194803</v>
      </c>
      <c r="AV269" s="255">
        <f t="shared" si="34"/>
        <v>0.55299927029177998</v>
      </c>
      <c r="AW269" s="255">
        <f t="shared" si="35"/>
        <v>78.823012217444784</v>
      </c>
    </row>
    <row r="270" spans="1:49" hidden="1">
      <c r="A270" s="153"/>
      <c r="B270" s="153"/>
      <c r="C270" s="153"/>
      <c r="D270" s="153"/>
      <c r="E270" s="153"/>
      <c r="F270" s="153"/>
      <c r="G270" s="153"/>
      <c r="H270" s="153"/>
      <c r="I270" s="153"/>
      <c r="J270" s="153"/>
      <c r="K270" s="153"/>
      <c r="M270" s="256"/>
      <c r="N270" s="153"/>
      <c r="O270" s="153"/>
      <c r="P270" s="153"/>
      <c r="Q270" s="255"/>
      <c r="R270" s="255"/>
      <c r="S270" s="255"/>
      <c r="T270" s="255"/>
      <c r="U270" s="255"/>
      <c r="V270" s="255"/>
      <c r="W270" s="255"/>
      <c r="Z270" s="153" t="s">
        <v>15</v>
      </c>
      <c r="AA270" s="153">
        <v>2007</v>
      </c>
      <c r="AB270" s="153" t="s">
        <v>701</v>
      </c>
      <c r="AC270" s="153"/>
      <c r="AD270" s="153">
        <v>9252</v>
      </c>
      <c r="AE270" s="153">
        <v>2741</v>
      </c>
      <c r="AF270" s="153">
        <v>652</v>
      </c>
      <c r="AG270" s="153"/>
      <c r="AH270" s="153"/>
      <c r="AI270" s="153">
        <v>1116</v>
      </c>
      <c r="AJ270" s="153">
        <v>13760</v>
      </c>
      <c r="AL270" s="256">
        <f>VLOOKUP(AA270,pgdp!$A$13:$C$90,3,FALSE)</f>
        <v>0.82459421647952613</v>
      </c>
      <c r="AM270" s="153" t="s">
        <v>15</v>
      </c>
      <c r="AN270" s="153">
        <v>2007</v>
      </c>
      <c r="AO270" s="153" t="s">
        <v>701</v>
      </c>
      <c r="AP270" s="255">
        <f t="shared" si="36"/>
        <v>0</v>
      </c>
      <c r="AQ270" s="255">
        <f t="shared" si="29"/>
        <v>11.220064141972694</v>
      </c>
      <c r="AR270" s="255">
        <f t="shared" si="30"/>
        <v>3.3240592102407214</v>
      </c>
      <c r="AS270" s="255">
        <f t="shared" si="31"/>
        <v>0.79069193910140467</v>
      </c>
      <c r="AT270" s="255">
        <f t="shared" si="32"/>
        <v>0</v>
      </c>
      <c r="AU270" s="255">
        <f t="shared" si="33"/>
        <v>0</v>
      </c>
      <c r="AV270" s="255">
        <f t="shared" si="34"/>
        <v>1.3533929509772511</v>
      </c>
      <c r="AW270" s="255">
        <f t="shared" si="35"/>
        <v>16.68699552459406</v>
      </c>
    </row>
    <row r="271" spans="1:49" hidden="1">
      <c r="A271" s="153"/>
      <c r="B271" s="153"/>
      <c r="C271" s="153"/>
      <c r="D271" s="153"/>
      <c r="E271" s="153"/>
      <c r="F271" s="153"/>
      <c r="G271" s="153"/>
      <c r="H271" s="153"/>
      <c r="I271" s="153"/>
      <c r="J271" s="153"/>
      <c r="K271" s="153"/>
      <c r="M271" s="254"/>
      <c r="N271" s="153"/>
      <c r="O271" s="153"/>
      <c r="P271" s="153"/>
      <c r="Q271" s="255"/>
      <c r="R271" s="255"/>
      <c r="S271" s="255"/>
      <c r="T271" s="255"/>
      <c r="U271" s="255"/>
      <c r="V271" s="255"/>
      <c r="W271" s="255"/>
      <c r="Z271" s="153" t="s">
        <v>15</v>
      </c>
      <c r="AA271" s="153">
        <v>2007</v>
      </c>
      <c r="AB271" s="153" t="s">
        <v>702</v>
      </c>
      <c r="AC271" s="153"/>
      <c r="AD271" s="153"/>
      <c r="AE271" s="153"/>
      <c r="AF271" s="153"/>
      <c r="AG271" s="153">
        <v>3137</v>
      </c>
      <c r="AH271" s="153"/>
      <c r="AI271" s="153"/>
      <c r="AJ271" s="153">
        <v>3137</v>
      </c>
      <c r="AL271" s="254">
        <f>VLOOKUP(AA271,pgdp!$A$13:$C$90,3,FALSE)</f>
        <v>0.82459421647952613</v>
      </c>
      <c r="AM271" s="153" t="s">
        <v>15</v>
      </c>
      <c r="AN271" s="153">
        <v>2007</v>
      </c>
      <c r="AO271" s="153" t="s">
        <v>702</v>
      </c>
      <c r="AP271" s="255">
        <f t="shared" si="36"/>
        <v>0</v>
      </c>
      <c r="AQ271" s="255">
        <f t="shared" si="29"/>
        <v>0</v>
      </c>
      <c r="AR271" s="255">
        <f t="shared" si="30"/>
        <v>0</v>
      </c>
      <c r="AS271" s="255">
        <f t="shared" si="31"/>
        <v>0</v>
      </c>
      <c r="AT271" s="255">
        <f t="shared" si="32"/>
        <v>3.8042954186520039</v>
      </c>
      <c r="AU271" s="255">
        <f t="shared" si="33"/>
        <v>0</v>
      </c>
      <c r="AV271" s="255">
        <f t="shared" si="34"/>
        <v>0</v>
      </c>
      <c r="AW271" s="255">
        <f t="shared" si="35"/>
        <v>3.8042954186520039</v>
      </c>
    </row>
    <row r="272" spans="1:49" hidden="1">
      <c r="A272" s="153"/>
      <c r="B272" s="153"/>
      <c r="C272" s="153"/>
      <c r="D272" s="153"/>
      <c r="E272" s="153"/>
      <c r="F272" s="153"/>
      <c r="G272" s="153"/>
      <c r="H272" s="153"/>
      <c r="I272" s="153"/>
      <c r="J272" s="153"/>
      <c r="K272" s="153"/>
      <c r="M272" s="256"/>
      <c r="N272" s="153"/>
      <c r="O272" s="153"/>
      <c r="P272" s="153"/>
      <c r="Q272" s="255"/>
      <c r="R272" s="255"/>
      <c r="S272" s="255"/>
      <c r="T272" s="255"/>
      <c r="U272" s="255"/>
      <c r="V272" s="255"/>
      <c r="W272" s="255"/>
      <c r="Z272" s="153" t="s">
        <v>15</v>
      </c>
      <c r="AA272" s="153">
        <v>2008</v>
      </c>
      <c r="AB272" s="153" t="s">
        <v>689</v>
      </c>
      <c r="AC272" s="153"/>
      <c r="AD272" s="153">
        <v>43886</v>
      </c>
      <c r="AE272" s="153">
        <v>-11616</v>
      </c>
      <c r="AF272" s="153">
        <v>21300</v>
      </c>
      <c r="AG272" s="153">
        <v>4081</v>
      </c>
      <c r="AH272" s="153">
        <v>108</v>
      </c>
      <c r="AI272" s="153">
        <v>951</v>
      </c>
      <c r="AJ272" s="153">
        <v>58709</v>
      </c>
      <c r="AL272" s="256">
        <f>VLOOKUP(AA272,pgdp!$A$13:$C$90,3,FALSE)</f>
        <v>0.84165483055935886</v>
      </c>
      <c r="AM272" s="153" t="s">
        <v>15</v>
      </c>
      <c r="AN272" s="153">
        <v>2008</v>
      </c>
      <c r="AO272" s="153" t="s">
        <v>689</v>
      </c>
      <c r="AP272" s="255">
        <f t="shared" si="36"/>
        <v>0</v>
      </c>
      <c r="AQ272" s="255">
        <f t="shared" si="29"/>
        <v>52.142515442861082</v>
      </c>
      <c r="AR272" s="255">
        <f t="shared" si="30"/>
        <v>-13.801382203533572</v>
      </c>
      <c r="AS272" s="255">
        <f t="shared" si="31"/>
        <v>25.307286581892658</v>
      </c>
      <c r="AT272" s="255">
        <f t="shared" si="32"/>
        <v>4.8487810582490107</v>
      </c>
      <c r="AU272" s="255">
        <f t="shared" si="33"/>
        <v>0.12831863618987824</v>
      </c>
      <c r="AV272" s="255">
        <f t="shared" si="34"/>
        <v>1.1299168797830945</v>
      </c>
      <c r="AW272" s="255">
        <f t="shared" si="35"/>
        <v>69.75424825992188</v>
      </c>
    </row>
    <row r="273" spans="1:49" hidden="1">
      <c r="A273" s="153"/>
      <c r="B273" s="153"/>
      <c r="C273" s="153"/>
      <c r="D273" s="153"/>
      <c r="E273" s="153"/>
      <c r="F273" s="153"/>
      <c r="G273" s="153"/>
      <c r="H273" s="153"/>
      <c r="I273" s="153"/>
      <c r="J273" s="153"/>
      <c r="K273" s="153"/>
      <c r="M273" s="254"/>
      <c r="N273" s="153"/>
      <c r="O273" s="153"/>
      <c r="P273" s="153"/>
      <c r="Q273" s="255"/>
      <c r="R273" s="255"/>
      <c r="S273" s="255"/>
      <c r="T273" s="255"/>
      <c r="U273" s="255"/>
      <c r="V273" s="255"/>
      <c r="W273" s="255"/>
      <c r="Z273" s="153" t="s">
        <v>15</v>
      </c>
      <c r="AA273" s="153">
        <v>2008</v>
      </c>
      <c r="AB273" s="153" t="s">
        <v>703</v>
      </c>
      <c r="AC273" s="153"/>
      <c r="AD273" s="153">
        <v>11888</v>
      </c>
      <c r="AE273" s="153">
        <v>18241</v>
      </c>
      <c r="AF273" s="153">
        <v>753</v>
      </c>
      <c r="AG273" s="153">
        <v>1307</v>
      </c>
      <c r="AH273" s="153"/>
      <c r="AI273" s="153">
        <v>575</v>
      </c>
      <c r="AJ273" s="153">
        <v>32763</v>
      </c>
      <c r="AL273" s="256">
        <f>VLOOKUP(AA273,pgdp!$A$13:$C$90,3,FALSE)</f>
        <v>0.84165483055935886</v>
      </c>
      <c r="AM273" s="153" t="s">
        <v>15</v>
      </c>
      <c r="AN273" s="153">
        <v>2008</v>
      </c>
      <c r="AO273" s="153" t="s">
        <v>703</v>
      </c>
      <c r="AP273" s="255">
        <f t="shared" si="36"/>
        <v>0</v>
      </c>
      <c r="AQ273" s="255">
        <f t="shared" si="29"/>
        <v>14.124555065048822</v>
      </c>
      <c r="AR273" s="255">
        <f t="shared" si="30"/>
        <v>21.672780025366386</v>
      </c>
      <c r="AS273" s="255">
        <f t="shared" si="31"/>
        <v>0.89466604676831785</v>
      </c>
      <c r="AT273" s="255">
        <f t="shared" si="32"/>
        <v>1.5528931250015823</v>
      </c>
      <c r="AU273" s="255">
        <f t="shared" si="33"/>
        <v>0</v>
      </c>
      <c r="AV273" s="255">
        <f t="shared" si="34"/>
        <v>0.68317792415907408</v>
      </c>
      <c r="AW273" s="255">
        <f t="shared" si="35"/>
        <v>38.926884050823901</v>
      </c>
    </row>
    <row r="274" spans="1:49" hidden="1">
      <c r="A274" s="153"/>
      <c r="B274" s="153"/>
      <c r="C274" s="153"/>
      <c r="D274" s="153"/>
      <c r="E274" s="153"/>
      <c r="F274" s="153"/>
      <c r="G274" s="153"/>
      <c r="H274" s="153"/>
      <c r="I274" s="153"/>
      <c r="J274" s="153"/>
      <c r="K274" s="153"/>
      <c r="M274" s="256"/>
      <c r="N274" s="153"/>
      <c r="O274" s="153"/>
      <c r="P274" s="153"/>
      <c r="Q274" s="255"/>
      <c r="R274" s="255"/>
      <c r="S274" s="255"/>
      <c r="T274" s="255"/>
      <c r="U274" s="255"/>
      <c r="V274" s="255"/>
      <c r="W274" s="255"/>
      <c r="Z274" s="153" t="s">
        <v>15</v>
      </c>
      <c r="AA274" s="153">
        <v>2009</v>
      </c>
      <c r="AB274" s="153" t="s">
        <v>689</v>
      </c>
      <c r="AC274" s="153">
        <v>0</v>
      </c>
      <c r="AD274" s="153">
        <v>52126</v>
      </c>
      <c r="AE274" s="153">
        <v>-1155</v>
      </c>
      <c r="AF274" s="153">
        <v>21218</v>
      </c>
      <c r="AG274" s="153">
        <v>4534</v>
      </c>
      <c r="AH274" s="153">
        <v>115</v>
      </c>
      <c r="AI274" s="153">
        <v>1324</v>
      </c>
      <c r="AJ274" s="153">
        <v>78163</v>
      </c>
      <c r="AL274" s="254">
        <f>VLOOKUP(AA274,pgdp!$A$13:$C$90,3,FALSE)</f>
        <v>0.85147741466177274</v>
      </c>
      <c r="AM274" s="153" t="s">
        <v>15</v>
      </c>
      <c r="AN274" s="153">
        <v>2009</v>
      </c>
      <c r="AO274" s="153" t="s">
        <v>689</v>
      </c>
      <c r="AP274" s="255">
        <f t="shared" si="36"/>
        <v>0</v>
      </c>
      <c r="AQ274" s="255">
        <f t="shared" si="29"/>
        <v>61.218300218457003</v>
      </c>
      <c r="AR274" s="255">
        <f t="shared" si="30"/>
        <v>-1.3564658088538892</v>
      </c>
      <c r="AS274" s="255">
        <f t="shared" si="31"/>
        <v>24.919040287672576</v>
      </c>
      <c r="AT274" s="255">
        <f t="shared" si="32"/>
        <v>5.3248623180463488</v>
      </c>
      <c r="AU274" s="255">
        <f t="shared" si="33"/>
        <v>0.13505936624952145</v>
      </c>
      <c r="AV274" s="255">
        <f t="shared" si="34"/>
        <v>1.554944355777099</v>
      </c>
      <c r="AW274" s="255">
        <f t="shared" si="35"/>
        <v>91.79691516662038</v>
      </c>
    </row>
    <row r="275" spans="1:49" hidden="1">
      <c r="A275" s="153"/>
      <c r="B275" s="153"/>
      <c r="C275" s="153"/>
      <c r="D275" s="153"/>
      <c r="E275" s="153"/>
      <c r="F275" s="153"/>
      <c r="G275" s="153"/>
      <c r="H275" s="153"/>
      <c r="I275" s="153"/>
      <c r="J275" s="153"/>
      <c r="K275" s="153"/>
      <c r="M275" s="256"/>
      <c r="N275" s="153"/>
      <c r="O275" s="153"/>
      <c r="P275" s="153"/>
      <c r="Q275" s="255"/>
      <c r="R275" s="255"/>
      <c r="S275" s="255"/>
      <c r="T275" s="255"/>
      <c r="U275" s="255"/>
      <c r="V275" s="255"/>
      <c r="W275" s="255"/>
      <c r="Z275" s="153" t="s">
        <v>15</v>
      </c>
      <c r="AA275" s="153">
        <v>2009</v>
      </c>
      <c r="AB275" s="153" t="s">
        <v>704</v>
      </c>
      <c r="AC275" s="153">
        <v>0</v>
      </c>
      <c r="AD275" s="153">
        <v>415</v>
      </c>
      <c r="AE275" s="153">
        <v>0</v>
      </c>
      <c r="AF275" s="153">
        <v>75</v>
      </c>
      <c r="AG275" s="153">
        <v>1450</v>
      </c>
      <c r="AH275" s="153">
        <v>555</v>
      </c>
      <c r="AI275" s="153">
        <v>0</v>
      </c>
      <c r="AJ275" s="153">
        <v>2495</v>
      </c>
      <c r="AL275" s="256">
        <f>VLOOKUP(AA275,pgdp!$A$13:$C$90,3,FALSE)</f>
        <v>0.85147741466177274</v>
      </c>
      <c r="AM275" s="153" t="s">
        <v>15</v>
      </c>
      <c r="AN275" s="153">
        <v>2009</v>
      </c>
      <c r="AO275" s="153" t="s">
        <v>704</v>
      </c>
      <c r="AP275" s="255">
        <f t="shared" si="36"/>
        <v>0</v>
      </c>
      <c r="AQ275" s="255">
        <f t="shared" si="29"/>
        <v>0.48738814777001216</v>
      </c>
      <c r="AR275" s="255">
        <f t="shared" si="30"/>
        <v>0</v>
      </c>
      <c r="AS275" s="255">
        <f t="shared" si="31"/>
        <v>8.8082195380122685E-2</v>
      </c>
      <c r="AT275" s="255">
        <f t="shared" si="32"/>
        <v>1.7029224440157051</v>
      </c>
      <c r="AU275" s="255">
        <f t="shared" si="33"/>
        <v>0.65180824581290775</v>
      </c>
      <c r="AV275" s="255">
        <f t="shared" si="34"/>
        <v>0</v>
      </c>
      <c r="AW275" s="255">
        <f t="shared" si="35"/>
        <v>2.9302010329787476</v>
      </c>
    </row>
    <row r="276" spans="1:49" hidden="1">
      <c r="A276" s="153"/>
      <c r="B276" s="153"/>
      <c r="C276" s="153"/>
      <c r="D276" s="153"/>
      <c r="E276" s="153"/>
      <c r="F276" s="153"/>
      <c r="G276" s="153"/>
      <c r="H276" s="153"/>
      <c r="I276" s="153"/>
      <c r="J276" s="153"/>
      <c r="K276" s="153"/>
      <c r="M276" s="254"/>
      <c r="N276" s="153"/>
      <c r="O276" s="153"/>
      <c r="P276" s="153"/>
      <c r="Q276" s="255"/>
      <c r="R276" s="255"/>
      <c r="S276" s="255"/>
      <c r="T276" s="255"/>
      <c r="U276" s="255"/>
      <c r="V276" s="255"/>
      <c r="W276" s="255"/>
      <c r="Z276" s="153" t="s">
        <v>15</v>
      </c>
      <c r="AA276" s="153">
        <v>2009</v>
      </c>
      <c r="AB276" s="153" t="s">
        <v>705</v>
      </c>
      <c r="AC276" s="153">
        <v>0</v>
      </c>
      <c r="AD276" s="153">
        <v>3937</v>
      </c>
      <c r="AE276" s="153">
        <v>1877</v>
      </c>
      <c r="AF276" s="153">
        <v>33</v>
      </c>
      <c r="AG276" s="153">
        <v>0</v>
      </c>
      <c r="AH276" s="153">
        <v>0</v>
      </c>
      <c r="AI276" s="153">
        <v>0</v>
      </c>
      <c r="AJ276" s="153">
        <v>5847</v>
      </c>
      <c r="AL276" s="254">
        <f>VLOOKUP(AA276,pgdp!$A$13:$C$90,3,FALSE)</f>
        <v>0.85147741466177274</v>
      </c>
      <c r="AM276" s="153" t="s">
        <v>15</v>
      </c>
      <c r="AN276" s="153">
        <v>2009</v>
      </c>
      <c r="AO276" s="153" t="s">
        <v>705</v>
      </c>
      <c r="AP276" s="255">
        <f t="shared" si="36"/>
        <v>0</v>
      </c>
      <c r="AQ276" s="255">
        <f t="shared" si="29"/>
        <v>4.6237280428205727</v>
      </c>
      <c r="AR276" s="255">
        <f t="shared" si="30"/>
        <v>2.2044037430465369</v>
      </c>
      <c r="AS276" s="255">
        <f t="shared" si="31"/>
        <v>3.875616596725398E-2</v>
      </c>
      <c r="AT276" s="255">
        <f t="shared" si="32"/>
        <v>0</v>
      </c>
      <c r="AU276" s="255">
        <f t="shared" si="33"/>
        <v>0</v>
      </c>
      <c r="AV276" s="255">
        <f t="shared" si="34"/>
        <v>0</v>
      </c>
      <c r="AW276" s="255">
        <f t="shared" si="35"/>
        <v>6.8668879518343635</v>
      </c>
    </row>
    <row r="277" spans="1:49" hidden="1">
      <c r="A277" s="153"/>
      <c r="B277" s="153"/>
      <c r="C277" s="153"/>
      <c r="D277" s="153"/>
      <c r="E277" s="153"/>
      <c r="F277" s="153"/>
      <c r="G277" s="153"/>
      <c r="H277" s="153"/>
      <c r="I277" s="153"/>
      <c r="J277" s="153"/>
      <c r="K277" s="153"/>
      <c r="M277" s="256"/>
      <c r="N277" s="153"/>
      <c r="O277" s="153"/>
      <c r="P277" s="153"/>
      <c r="Q277" s="255"/>
      <c r="R277" s="255"/>
      <c r="S277" s="255"/>
      <c r="T277" s="255"/>
      <c r="U277" s="255"/>
      <c r="V277" s="255"/>
      <c r="W277" s="255"/>
      <c r="Z277" s="153" t="s">
        <v>15</v>
      </c>
      <c r="AA277" s="153">
        <v>2009</v>
      </c>
      <c r="AB277" s="153" t="s">
        <v>706</v>
      </c>
      <c r="AC277" s="153">
        <v>0</v>
      </c>
      <c r="AD277" s="153">
        <v>6554</v>
      </c>
      <c r="AE277" s="153">
        <v>5274</v>
      </c>
      <c r="AF277" s="153">
        <v>483</v>
      </c>
      <c r="AG277" s="153">
        <v>1025</v>
      </c>
      <c r="AH277" s="153">
        <v>0</v>
      </c>
      <c r="AI277" s="153">
        <v>404</v>
      </c>
      <c r="AJ277" s="153">
        <v>13740</v>
      </c>
      <c r="AL277" s="256">
        <f>VLOOKUP(AA277,pgdp!$A$13:$C$90,3,FALSE)</f>
        <v>0.85147741466177274</v>
      </c>
      <c r="AM277" s="153" t="s">
        <v>15</v>
      </c>
      <c r="AN277" s="153">
        <v>2009</v>
      </c>
      <c r="AO277" s="153" t="s">
        <v>706</v>
      </c>
      <c r="AP277" s="255">
        <f t="shared" si="36"/>
        <v>0</v>
      </c>
      <c r="AQ277" s="255">
        <f t="shared" si="29"/>
        <v>7.6972094469509873</v>
      </c>
      <c r="AR277" s="255">
        <f t="shared" si="30"/>
        <v>6.193939979130227</v>
      </c>
      <c r="AS277" s="255">
        <f t="shared" si="31"/>
        <v>0.56724933824799006</v>
      </c>
      <c r="AT277" s="255">
        <f t="shared" si="32"/>
        <v>1.2037900035283433</v>
      </c>
      <c r="AU277" s="255">
        <f t="shared" si="33"/>
        <v>0</v>
      </c>
      <c r="AV277" s="255">
        <f t="shared" si="34"/>
        <v>0.47446942578092749</v>
      </c>
      <c r="AW277" s="255">
        <f t="shared" si="35"/>
        <v>16.136658193638475</v>
      </c>
    </row>
    <row r="278" spans="1:49" hidden="1">
      <c r="A278" s="153"/>
      <c r="B278" s="153"/>
      <c r="C278" s="153"/>
      <c r="D278" s="153"/>
      <c r="E278" s="153"/>
      <c r="F278" s="153"/>
      <c r="G278" s="153"/>
      <c r="H278" s="153"/>
      <c r="I278" s="153"/>
      <c r="J278" s="153"/>
      <c r="K278" s="153"/>
      <c r="M278" s="256"/>
      <c r="N278" s="153"/>
      <c r="O278" s="153"/>
      <c r="P278" s="153"/>
      <c r="Q278" s="255"/>
      <c r="R278" s="255"/>
      <c r="S278" s="255"/>
      <c r="T278" s="255"/>
      <c r="U278" s="255"/>
      <c r="V278" s="255"/>
      <c r="W278" s="255"/>
      <c r="Z278" s="153" t="s">
        <v>15</v>
      </c>
      <c r="AA278" s="153">
        <v>2010</v>
      </c>
      <c r="AB278" s="153" t="s">
        <v>689</v>
      </c>
      <c r="AC278" s="153">
        <v>0</v>
      </c>
      <c r="AD278" s="153">
        <v>59352</v>
      </c>
      <c r="AE278" s="153">
        <v>4338</v>
      </c>
      <c r="AF278" s="153">
        <v>20395</v>
      </c>
      <c r="AG278" s="153">
        <v>5528</v>
      </c>
      <c r="AH278" s="153">
        <v>491</v>
      </c>
      <c r="AI278" s="153">
        <v>1348</v>
      </c>
      <c r="AJ278" s="153">
        <v>91452</v>
      </c>
      <c r="AL278" s="256">
        <f>VLOOKUP(AA278,pgdp!$A$13:$C$90,3,FALSE)</f>
        <v>0.85894343086456204</v>
      </c>
      <c r="AM278" s="153" t="s">
        <v>15</v>
      </c>
      <c r="AN278" s="153">
        <v>2010</v>
      </c>
      <c r="AO278" s="153" t="s">
        <v>689</v>
      </c>
      <c r="AP278" s="255">
        <f t="shared" si="36"/>
        <v>0</v>
      </c>
      <c r="AQ278" s="255">
        <f t="shared" si="29"/>
        <v>69.098846172279082</v>
      </c>
      <c r="AR278" s="255">
        <f t="shared" si="30"/>
        <v>5.050390798883722</v>
      </c>
      <c r="AS278" s="255">
        <f t="shared" si="31"/>
        <v>23.744287769302328</v>
      </c>
      <c r="AT278" s="255">
        <f t="shared" si="32"/>
        <v>6.4358138165581407</v>
      </c>
      <c r="AU278" s="255">
        <f t="shared" si="33"/>
        <v>0.57163252241860474</v>
      </c>
      <c r="AV278" s="255">
        <f t="shared" si="34"/>
        <v>1.5693699393488374</v>
      </c>
      <c r="AW278" s="255">
        <f t="shared" si="35"/>
        <v>106.47034101879072</v>
      </c>
    </row>
    <row r="279" spans="1:49" hidden="1">
      <c r="A279" s="153"/>
      <c r="B279" s="153"/>
      <c r="C279" s="153"/>
      <c r="D279" s="153"/>
      <c r="E279" s="153"/>
      <c r="F279" s="153"/>
      <c r="G279" s="153"/>
      <c r="H279" s="153"/>
      <c r="I279" s="153"/>
      <c r="J279" s="153"/>
      <c r="K279" s="153"/>
      <c r="M279" s="254"/>
      <c r="N279" s="153"/>
      <c r="O279" s="153"/>
      <c r="P279" s="153"/>
      <c r="Q279" s="255"/>
      <c r="R279" s="255"/>
      <c r="S279" s="255"/>
      <c r="T279" s="255"/>
      <c r="U279" s="255"/>
      <c r="V279" s="255"/>
      <c r="W279" s="255"/>
      <c r="Z279" s="153" t="s">
        <v>15</v>
      </c>
      <c r="AA279" s="153">
        <v>2010</v>
      </c>
      <c r="AB279" s="153" t="s">
        <v>707</v>
      </c>
      <c r="AC279" s="153">
        <v>0</v>
      </c>
      <c r="AD279" s="153">
        <v>10692</v>
      </c>
      <c r="AE279" s="153">
        <v>3098</v>
      </c>
      <c r="AF279" s="153">
        <v>391</v>
      </c>
      <c r="AG279" s="153">
        <v>0</v>
      </c>
      <c r="AH279" s="153">
        <v>0</v>
      </c>
      <c r="AI279" s="153">
        <v>469</v>
      </c>
      <c r="AJ279" s="153">
        <v>14650</v>
      </c>
      <c r="AL279" s="256">
        <f>VLOOKUP(AA279,pgdp!$A$13:$C$90,3,FALSE)</f>
        <v>0.85894343086456204</v>
      </c>
      <c r="AM279" s="153" t="s">
        <v>15</v>
      </c>
      <c r="AN279" s="153">
        <v>2010</v>
      </c>
      <c r="AO279" s="153" t="s">
        <v>707</v>
      </c>
      <c r="AP279" s="255">
        <f t="shared" si="36"/>
        <v>0</v>
      </c>
      <c r="AQ279" s="255">
        <f t="shared" si="29"/>
        <v>12.447851180651163</v>
      </c>
      <c r="AR279" s="255">
        <f t="shared" si="30"/>
        <v>3.606756730046512</v>
      </c>
      <c r="AS279" s="255">
        <f t="shared" si="31"/>
        <v>0.45521042009302326</v>
      </c>
      <c r="AT279" s="255">
        <f t="shared" si="32"/>
        <v>0</v>
      </c>
      <c r="AU279" s="255">
        <f t="shared" si="33"/>
        <v>0</v>
      </c>
      <c r="AV279" s="255">
        <f t="shared" si="34"/>
        <v>0.54601965990697676</v>
      </c>
      <c r="AW279" s="255">
        <f t="shared" si="35"/>
        <v>17.055837990697675</v>
      </c>
    </row>
    <row r="280" spans="1:49" hidden="1">
      <c r="A280" s="153"/>
      <c r="B280" s="153"/>
      <c r="C280" s="153"/>
      <c r="D280" s="153"/>
      <c r="E280" s="153"/>
      <c r="F280" s="153"/>
      <c r="G280" s="153"/>
      <c r="H280" s="153"/>
      <c r="I280" s="153"/>
      <c r="J280" s="153"/>
      <c r="K280" s="153"/>
      <c r="M280" s="256"/>
      <c r="N280" s="153"/>
      <c r="O280" s="153"/>
      <c r="P280" s="153"/>
      <c r="Q280" s="255"/>
      <c r="R280" s="255"/>
      <c r="S280" s="255"/>
      <c r="T280" s="255"/>
      <c r="U280" s="255"/>
      <c r="V280" s="255"/>
      <c r="W280" s="255"/>
      <c r="Z280" s="153" t="s">
        <v>15</v>
      </c>
      <c r="AA280" s="153">
        <v>2010</v>
      </c>
      <c r="AB280" s="153" t="s">
        <v>708</v>
      </c>
      <c r="AC280" s="153">
        <v>0</v>
      </c>
      <c r="AD280" s="153">
        <v>0</v>
      </c>
      <c r="AE280" s="153">
        <v>0</v>
      </c>
      <c r="AF280" s="153">
        <v>0</v>
      </c>
      <c r="AG280" s="153">
        <v>0</v>
      </c>
      <c r="AH280" s="153">
        <v>0</v>
      </c>
      <c r="AI280" s="153">
        <v>0</v>
      </c>
      <c r="AJ280" s="153">
        <v>0</v>
      </c>
      <c r="AL280" s="256">
        <f>VLOOKUP(AA280,pgdp!$A$13:$C$90,3,FALSE)</f>
        <v>0.85894343086456204</v>
      </c>
      <c r="AM280" s="153" t="s">
        <v>15</v>
      </c>
      <c r="AN280" s="153">
        <v>2010</v>
      </c>
      <c r="AO280" s="153" t="s">
        <v>708</v>
      </c>
      <c r="AP280" s="255">
        <f t="shared" si="36"/>
        <v>0</v>
      </c>
      <c r="AQ280" s="255">
        <f t="shared" si="29"/>
        <v>0</v>
      </c>
      <c r="AR280" s="255">
        <f t="shared" si="30"/>
        <v>0</v>
      </c>
      <c r="AS280" s="255">
        <f t="shared" si="31"/>
        <v>0</v>
      </c>
      <c r="AT280" s="255">
        <f t="shared" si="32"/>
        <v>0</v>
      </c>
      <c r="AU280" s="255">
        <f t="shared" si="33"/>
        <v>0</v>
      </c>
      <c r="AV280" s="255">
        <f t="shared" si="34"/>
        <v>0</v>
      </c>
      <c r="AW280" s="255">
        <f t="shared" si="35"/>
        <v>0</v>
      </c>
    </row>
    <row r="281" spans="1:49" hidden="1">
      <c r="A281" s="153"/>
      <c r="B281" s="153"/>
      <c r="C281" s="153"/>
      <c r="D281" s="153"/>
      <c r="E281" s="153"/>
      <c r="F281" s="153"/>
      <c r="G281" s="153"/>
      <c r="H281" s="153"/>
      <c r="I281" s="153"/>
      <c r="J281" s="153"/>
      <c r="K281" s="153"/>
      <c r="M281" s="256"/>
      <c r="N281" s="153"/>
      <c r="O281" s="153"/>
      <c r="P281" s="153"/>
      <c r="Q281" s="255"/>
      <c r="R281" s="255"/>
      <c r="S281" s="255"/>
      <c r="T281" s="255"/>
      <c r="U281" s="255"/>
      <c r="V281" s="255"/>
      <c r="W281" s="255"/>
      <c r="Z281" s="153" t="s">
        <v>15</v>
      </c>
      <c r="AA281" s="153">
        <v>2011</v>
      </c>
      <c r="AB281" s="153" t="s">
        <v>689</v>
      </c>
      <c r="AC281" s="153"/>
      <c r="AD281" s="153">
        <v>61029</v>
      </c>
      <c r="AE281" s="153">
        <v>4003</v>
      </c>
      <c r="AF281" s="153">
        <v>21014</v>
      </c>
      <c r="AG281" s="153">
        <v>3823</v>
      </c>
      <c r="AH281" s="153">
        <v>68</v>
      </c>
      <c r="AI281" s="153">
        <v>807</v>
      </c>
      <c r="AJ281" s="153">
        <v>90744</v>
      </c>
      <c r="AL281" s="256">
        <f>VLOOKUP(AA281,pgdp!$A$13:$C$90,3,FALSE)</f>
        <v>0.87638757317399019</v>
      </c>
      <c r="AM281" s="153" t="s">
        <v>15</v>
      </c>
      <c r="AN281" s="153">
        <v>2011</v>
      </c>
      <c r="AO281" s="153" t="s">
        <v>689</v>
      </c>
      <c r="AP281" s="255">
        <f t="shared" si="36"/>
        <v>0</v>
      </c>
      <c r="AQ281" s="255">
        <f t="shared" si="29"/>
        <v>69.636998364745011</v>
      </c>
      <c r="AR281" s="255">
        <f t="shared" si="30"/>
        <v>4.5676138303769402</v>
      </c>
      <c r="AS281" s="255">
        <f t="shared" si="31"/>
        <v>23.977975776053214</v>
      </c>
      <c r="AT281" s="255">
        <f t="shared" si="32"/>
        <v>4.3622252494456761</v>
      </c>
      <c r="AU281" s="255">
        <f t="shared" si="33"/>
        <v>7.7591241685144127E-2</v>
      </c>
      <c r="AV281" s="255">
        <f t="shared" si="34"/>
        <v>0.92082547117516633</v>
      </c>
      <c r="AW281" s="255">
        <f t="shared" si="35"/>
        <v>103.54322993348116</v>
      </c>
    </row>
    <row r="282" spans="1:49" hidden="1">
      <c r="A282" s="153"/>
      <c r="B282" s="153"/>
      <c r="C282" s="153"/>
      <c r="D282" s="153"/>
      <c r="E282" s="153"/>
      <c r="F282" s="153"/>
      <c r="G282" s="153"/>
      <c r="H282" s="153"/>
      <c r="I282" s="153"/>
      <c r="J282" s="153"/>
      <c r="K282" s="153"/>
      <c r="M282" s="254"/>
      <c r="N282" s="153"/>
      <c r="O282" s="153"/>
      <c r="P282" s="153"/>
      <c r="Q282" s="255"/>
      <c r="R282" s="255"/>
      <c r="S282" s="255"/>
      <c r="T282" s="255"/>
      <c r="U282" s="255"/>
      <c r="V282" s="255"/>
      <c r="W282" s="255"/>
      <c r="Z282" s="153" t="s">
        <v>15</v>
      </c>
      <c r="AA282" s="153">
        <v>2011</v>
      </c>
      <c r="AB282" s="153" t="s">
        <v>709</v>
      </c>
      <c r="AC282" s="153"/>
      <c r="AD282" s="153">
        <v>11219</v>
      </c>
      <c r="AE282" s="153">
        <v>2922</v>
      </c>
      <c r="AF282" s="153">
        <v>308</v>
      </c>
      <c r="AG282" s="153">
        <v>47</v>
      </c>
      <c r="AH282" s="153">
        <v>0</v>
      </c>
      <c r="AI282" s="153">
        <v>468</v>
      </c>
      <c r="AJ282" s="153">
        <v>14965</v>
      </c>
      <c r="AL282" s="256">
        <f>VLOOKUP(AA282,pgdp!$A$13:$C$90,3,FALSE)</f>
        <v>0.87638757317399019</v>
      </c>
      <c r="AM282" s="153" t="s">
        <v>15</v>
      </c>
      <c r="AN282" s="153">
        <v>2011</v>
      </c>
      <c r="AO282" s="153" t="s">
        <v>709</v>
      </c>
      <c r="AP282" s="255">
        <f t="shared" si="36"/>
        <v>0</v>
      </c>
      <c r="AQ282" s="255">
        <f t="shared" si="29"/>
        <v>12.801413830376939</v>
      </c>
      <c r="AR282" s="255">
        <f t="shared" si="30"/>
        <v>3.3341412971175162</v>
      </c>
      <c r="AS282" s="255">
        <f t="shared" si="31"/>
        <v>0.35144268292682929</v>
      </c>
      <c r="AT282" s="255">
        <f t="shared" si="32"/>
        <v>5.3629240576496671E-2</v>
      </c>
      <c r="AU282" s="255">
        <f t="shared" si="33"/>
        <v>0</v>
      </c>
      <c r="AV282" s="255">
        <f t="shared" si="34"/>
        <v>0.53401031042128599</v>
      </c>
      <c r="AW282" s="255">
        <f t="shared" si="35"/>
        <v>17.075778409090908</v>
      </c>
    </row>
    <row r="283" spans="1:49" hidden="1">
      <c r="A283" s="153"/>
      <c r="B283" s="153"/>
      <c r="C283" s="153"/>
      <c r="D283" s="153"/>
      <c r="E283" s="153"/>
      <c r="F283" s="153"/>
      <c r="G283" s="153"/>
      <c r="H283" s="153"/>
      <c r="I283" s="153"/>
      <c r="J283" s="153"/>
      <c r="K283" s="153"/>
      <c r="M283" s="256"/>
      <c r="N283" s="153"/>
      <c r="O283" s="153"/>
      <c r="P283" s="153"/>
      <c r="Q283" s="255"/>
      <c r="R283" s="255"/>
      <c r="S283" s="255"/>
      <c r="T283" s="255"/>
      <c r="U283" s="255"/>
      <c r="V283" s="255"/>
      <c r="W283" s="255"/>
      <c r="Z283" s="153" t="s">
        <v>15</v>
      </c>
      <c r="AA283" s="153">
        <v>2012</v>
      </c>
      <c r="AB283" s="153" t="s">
        <v>689</v>
      </c>
      <c r="AC283" s="153"/>
      <c r="AD283" s="153">
        <v>62971</v>
      </c>
      <c r="AE283" s="153">
        <v>2906</v>
      </c>
      <c r="AF283" s="153">
        <v>19462</v>
      </c>
      <c r="AG283" s="153">
        <v>3548</v>
      </c>
      <c r="AH283" s="153">
        <v>54</v>
      </c>
      <c r="AI283" s="153">
        <v>1459</v>
      </c>
      <c r="AJ283" s="153">
        <v>90400</v>
      </c>
      <c r="AL283" s="256">
        <f>VLOOKUP(AA283,pgdp!$A$13:$C$90,3,FALSE)</f>
        <v>0.89246166741880806</v>
      </c>
      <c r="AM283" s="153" t="s">
        <v>15</v>
      </c>
      <c r="AN283" s="153">
        <v>2012</v>
      </c>
      <c r="AO283" s="153" t="s">
        <v>689</v>
      </c>
      <c r="AP283" s="255">
        <f t="shared" si="36"/>
        <v>0</v>
      </c>
      <c r="AQ283" s="255">
        <f t="shared" si="29"/>
        <v>70.558772772981655</v>
      </c>
      <c r="AR283" s="255">
        <f t="shared" si="30"/>
        <v>3.2561622600607372</v>
      </c>
      <c r="AS283" s="255">
        <f t="shared" si="31"/>
        <v>21.807099072712344</v>
      </c>
      <c r="AT283" s="255">
        <f t="shared" si="32"/>
        <v>3.9755208873694063</v>
      </c>
      <c r="AU283" s="255">
        <f t="shared" si="33"/>
        <v>6.0506800427832005E-2</v>
      </c>
      <c r="AV283" s="255">
        <f t="shared" si="34"/>
        <v>1.6348041078556832</v>
      </c>
      <c r="AW283" s="255">
        <f t="shared" si="35"/>
        <v>101.29286590140765</v>
      </c>
    </row>
    <row r="284" spans="1:49" hidden="1">
      <c r="A284" s="153"/>
      <c r="B284" s="153"/>
      <c r="C284" s="153"/>
      <c r="D284" s="153"/>
      <c r="E284" s="153"/>
      <c r="F284" s="153"/>
      <c r="G284" s="153"/>
      <c r="H284" s="153"/>
      <c r="I284" s="153"/>
      <c r="J284" s="153"/>
      <c r="K284" s="153"/>
      <c r="M284" s="254"/>
      <c r="N284" s="153"/>
      <c r="O284" s="153"/>
      <c r="P284" s="153"/>
      <c r="Q284" s="255"/>
      <c r="R284" s="255"/>
      <c r="S284" s="255"/>
      <c r="T284" s="255"/>
      <c r="U284" s="255"/>
      <c r="V284" s="255"/>
      <c r="W284" s="255"/>
      <c r="Z284" s="153" t="s">
        <v>15</v>
      </c>
      <c r="AA284" s="153">
        <v>2012</v>
      </c>
      <c r="AB284" s="153" t="s">
        <v>710</v>
      </c>
      <c r="AC284" s="153"/>
      <c r="AD284" s="153">
        <v>10578</v>
      </c>
      <c r="AE284" s="153">
        <v>4006</v>
      </c>
      <c r="AF284" s="153">
        <v>194</v>
      </c>
      <c r="AG284" s="153">
        <v>0</v>
      </c>
      <c r="AH284" s="153">
        <v>0</v>
      </c>
      <c r="AI284" s="153">
        <v>369</v>
      </c>
      <c r="AJ284" s="153">
        <v>15147</v>
      </c>
      <c r="AL284" s="256">
        <f>VLOOKUP(AA284,pgdp!$A$13:$C$90,3,FALSE)</f>
        <v>0.89246166741880806</v>
      </c>
      <c r="AM284" s="153" t="s">
        <v>15</v>
      </c>
      <c r="AN284" s="153">
        <v>2012</v>
      </c>
      <c r="AO284" s="153" t="s">
        <v>710</v>
      </c>
      <c r="AP284" s="255">
        <f t="shared" si="36"/>
        <v>0</v>
      </c>
      <c r="AQ284" s="255">
        <f t="shared" si="29"/>
        <v>11.852609906029759</v>
      </c>
      <c r="AR284" s="255">
        <f t="shared" si="30"/>
        <v>4.4887081947017595</v>
      </c>
      <c r="AS284" s="255">
        <f t="shared" si="31"/>
        <v>0.21737628301850756</v>
      </c>
      <c r="AT284" s="255">
        <f t="shared" si="32"/>
        <v>0</v>
      </c>
      <c r="AU284" s="255">
        <f t="shared" si="33"/>
        <v>0</v>
      </c>
      <c r="AV284" s="255">
        <f t="shared" si="34"/>
        <v>0.41346313625685199</v>
      </c>
      <c r="AW284" s="255">
        <f t="shared" si="35"/>
        <v>16.972157520006878</v>
      </c>
    </row>
    <row r="285" spans="1:49" hidden="1">
      <c r="A285" s="153"/>
      <c r="B285" s="153"/>
      <c r="C285" s="153"/>
      <c r="D285" s="153"/>
      <c r="E285" s="153"/>
      <c r="F285" s="153"/>
      <c r="G285" s="153"/>
      <c r="H285" s="153"/>
      <c r="I285" s="153"/>
      <c r="J285" s="153"/>
      <c r="K285" s="153"/>
      <c r="M285" s="256"/>
      <c r="N285" s="153"/>
      <c r="O285" s="153"/>
      <c r="P285" s="153"/>
      <c r="Q285" s="255"/>
      <c r="R285" s="255"/>
      <c r="S285" s="255"/>
      <c r="T285" s="255"/>
      <c r="U285" s="255"/>
      <c r="V285" s="255"/>
      <c r="W285" s="255"/>
      <c r="Z285" s="153" t="s">
        <v>15</v>
      </c>
      <c r="AA285" s="153">
        <v>2013</v>
      </c>
      <c r="AB285" s="153" t="s">
        <v>689</v>
      </c>
      <c r="AC285" s="153"/>
      <c r="AD285" s="153">
        <v>59689</v>
      </c>
      <c r="AE285" s="153">
        <v>4558</v>
      </c>
      <c r="AF285" s="153">
        <v>17382</v>
      </c>
      <c r="AG285" s="153">
        <v>3242</v>
      </c>
      <c r="AH285" s="153">
        <v>41</v>
      </c>
      <c r="AI285" s="153">
        <v>1600</v>
      </c>
      <c r="AJ285" s="153">
        <v>86512</v>
      </c>
      <c r="AL285" s="256">
        <f>VLOOKUP(AA285,pgdp!$A$13:$C$90,3,FALSE)</f>
        <v>0.9075385882666781</v>
      </c>
      <c r="AM285" s="153" t="s">
        <v>15</v>
      </c>
      <c r="AN285" s="153">
        <v>2013</v>
      </c>
      <c r="AO285" s="153" t="s">
        <v>689</v>
      </c>
      <c r="AP285" s="255">
        <f t="shared" si="36"/>
        <v>0</v>
      </c>
      <c r="AQ285" s="255">
        <f t="shared" si="29"/>
        <v>65.770206106608569</v>
      </c>
      <c r="AR285" s="255">
        <f t="shared" si="30"/>
        <v>5.0223759726904769</v>
      </c>
      <c r="AS285" s="255">
        <f t="shared" si="31"/>
        <v>19.15290459791704</v>
      </c>
      <c r="AT285" s="255">
        <f t="shared" si="32"/>
        <v>3.572299891062424</v>
      </c>
      <c r="AU285" s="255">
        <f t="shared" si="33"/>
        <v>4.5177142360752424E-2</v>
      </c>
      <c r="AV285" s="255">
        <f t="shared" si="34"/>
        <v>1.7630104335903387</v>
      </c>
      <c r="AW285" s="255">
        <f t="shared" si="35"/>
        <v>95.325974144229605</v>
      </c>
    </row>
    <row r="286" spans="1:49" hidden="1">
      <c r="A286" s="153"/>
      <c r="B286" s="153"/>
      <c r="C286" s="153"/>
      <c r="D286" s="153"/>
      <c r="E286" s="153"/>
      <c r="F286" s="153"/>
      <c r="G286" s="153"/>
      <c r="H286" s="153"/>
      <c r="I286" s="153"/>
      <c r="J286" s="153"/>
      <c r="K286" s="153"/>
      <c r="M286" s="256"/>
      <c r="N286" s="153"/>
      <c r="O286" s="153"/>
      <c r="P286" s="153"/>
      <c r="Q286" s="255"/>
      <c r="R286" s="255"/>
      <c r="S286" s="255"/>
      <c r="T286" s="255"/>
      <c r="U286" s="255"/>
      <c r="V286" s="255"/>
      <c r="W286" s="255"/>
      <c r="Z286" s="153" t="s">
        <v>15</v>
      </c>
      <c r="AA286" s="153">
        <v>2013</v>
      </c>
      <c r="AB286" s="153" t="s">
        <v>711</v>
      </c>
      <c r="AC286" s="153"/>
      <c r="AD286" s="153">
        <v>9078</v>
      </c>
      <c r="AE286" s="153">
        <v>1273</v>
      </c>
      <c r="AF286" s="153">
        <v>112</v>
      </c>
      <c r="AG286" s="153">
        <v>0</v>
      </c>
      <c r="AH286" s="153">
        <v>0</v>
      </c>
      <c r="AI286" s="153"/>
      <c r="AJ286" s="153">
        <v>10463</v>
      </c>
      <c r="AL286" s="256">
        <f>VLOOKUP(AA286,pgdp!$A$13:$C$90,3,FALSE)</f>
        <v>0.9075385882666781</v>
      </c>
      <c r="AM286" s="153" t="s">
        <v>15</v>
      </c>
      <c r="AN286" s="153">
        <v>2013</v>
      </c>
      <c r="AO286" s="153" t="s">
        <v>711</v>
      </c>
      <c r="AP286" s="255">
        <f t="shared" si="36"/>
        <v>0</v>
      </c>
      <c r="AQ286" s="255">
        <f t="shared" si="29"/>
        <v>10.002880447583184</v>
      </c>
      <c r="AR286" s="255">
        <f t="shared" si="30"/>
        <v>1.4026951762253133</v>
      </c>
      <c r="AS286" s="255">
        <f t="shared" si="31"/>
        <v>0.1234107303513237</v>
      </c>
      <c r="AT286" s="255">
        <f t="shared" si="32"/>
        <v>0</v>
      </c>
      <c r="AU286" s="255">
        <f t="shared" si="33"/>
        <v>0</v>
      </c>
      <c r="AV286" s="255">
        <f t="shared" si="34"/>
        <v>0</v>
      </c>
      <c r="AW286" s="255">
        <f t="shared" si="35"/>
        <v>11.528986354159821</v>
      </c>
    </row>
    <row r="287" spans="1:49" hidden="1">
      <c r="A287" s="153"/>
      <c r="B287" s="153"/>
      <c r="C287" s="153"/>
      <c r="D287" s="153"/>
      <c r="E287" s="153"/>
      <c r="F287" s="153"/>
      <c r="G287" s="153"/>
      <c r="H287" s="153"/>
      <c r="I287" s="153"/>
      <c r="J287" s="153"/>
      <c r="K287" s="153"/>
      <c r="M287" s="256"/>
      <c r="N287" s="153"/>
      <c r="O287" s="153"/>
      <c r="P287" s="153"/>
      <c r="Q287" s="255"/>
      <c r="R287" s="255"/>
      <c r="S287" s="255"/>
      <c r="T287" s="255"/>
      <c r="U287" s="255"/>
      <c r="V287" s="255"/>
      <c r="W287" s="255"/>
      <c r="Z287" s="153" t="s">
        <v>15</v>
      </c>
      <c r="AA287" s="153">
        <v>2013</v>
      </c>
      <c r="AB287" s="153" t="s">
        <v>712</v>
      </c>
      <c r="AC287" s="153"/>
      <c r="AD287" s="153">
        <v>0</v>
      </c>
      <c r="AE287" s="153">
        <v>0</v>
      </c>
      <c r="AF287" s="153">
        <v>0</v>
      </c>
      <c r="AG287" s="153">
        <v>0</v>
      </c>
      <c r="AH287" s="153">
        <v>0</v>
      </c>
      <c r="AI287" s="153">
        <v>0</v>
      </c>
      <c r="AJ287" s="153">
        <v>0</v>
      </c>
      <c r="AL287" s="256">
        <f>VLOOKUP(AA287,pgdp!$A$13:$C$90,3,FALSE)</f>
        <v>0.9075385882666781</v>
      </c>
      <c r="AM287" s="153" t="s">
        <v>15</v>
      </c>
      <c r="AN287" s="153">
        <v>2013</v>
      </c>
      <c r="AO287" s="153" t="s">
        <v>712</v>
      </c>
      <c r="AP287" s="255">
        <f t="shared" si="36"/>
        <v>0</v>
      </c>
      <c r="AQ287" s="255">
        <f t="shared" si="29"/>
        <v>0</v>
      </c>
      <c r="AR287" s="255">
        <f t="shared" si="30"/>
        <v>0</v>
      </c>
      <c r="AS287" s="255">
        <f t="shared" si="31"/>
        <v>0</v>
      </c>
      <c r="AT287" s="255">
        <f t="shared" si="32"/>
        <v>0</v>
      </c>
      <c r="AU287" s="255">
        <f t="shared" si="33"/>
        <v>0</v>
      </c>
      <c r="AV287" s="255">
        <f t="shared" si="34"/>
        <v>0</v>
      </c>
      <c r="AW287" s="255">
        <f t="shared" si="35"/>
        <v>0</v>
      </c>
    </row>
    <row r="288" spans="1:49" hidden="1">
      <c r="A288" s="153"/>
      <c r="B288" s="153"/>
      <c r="C288" s="153"/>
      <c r="D288" s="153"/>
      <c r="E288" s="153"/>
      <c r="F288" s="153"/>
      <c r="G288" s="153"/>
      <c r="H288" s="153"/>
      <c r="I288" s="153"/>
      <c r="J288" s="153"/>
      <c r="K288" s="153"/>
      <c r="M288" s="256"/>
      <c r="N288" s="153"/>
      <c r="O288" s="153"/>
      <c r="P288" s="153"/>
      <c r="Q288" s="255"/>
      <c r="R288" s="255"/>
      <c r="S288" s="255"/>
      <c r="T288" s="255"/>
      <c r="U288" s="255"/>
      <c r="V288" s="255"/>
      <c r="W288" s="255"/>
      <c r="Z288" s="153" t="s">
        <v>15</v>
      </c>
      <c r="AA288" s="153">
        <v>2014</v>
      </c>
      <c r="AB288" s="153" t="s">
        <v>689</v>
      </c>
      <c r="AC288" s="153"/>
      <c r="AD288" s="153">
        <v>64794</v>
      </c>
      <c r="AE288" s="153">
        <v>4279</v>
      </c>
      <c r="AF288" s="153">
        <v>17471</v>
      </c>
      <c r="AG288" s="153">
        <v>3631</v>
      </c>
      <c r="AH288" s="153">
        <v>-42</v>
      </c>
      <c r="AI288" s="153">
        <v>1544</v>
      </c>
      <c r="AJ288" s="153">
        <v>91676</v>
      </c>
      <c r="AL288" s="256">
        <f>VLOOKUP(AA288,pgdp!$A$13:$C$90,3,FALSE)</f>
        <v>0.9240281714268912</v>
      </c>
      <c r="AM288" s="153" t="s">
        <v>15</v>
      </c>
      <c r="AN288" s="153">
        <v>2014</v>
      </c>
      <c r="AO288" s="153" t="s">
        <v>689</v>
      </c>
      <c r="AP288" s="255">
        <f t="shared" si="36"/>
        <v>0</v>
      </c>
      <c r="AQ288" s="255">
        <f t="shared" si="29"/>
        <v>70.121238727975808</v>
      </c>
      <c r="AR288" s="255">
        <f t="shared" si="30"/>
        <v>4.6308111942002119</v>
      </c>
      <c r="AS288" s="255">
        <f t="shared" si="31"/>
        <v>18.90743219767981</v>
      </c>
      <c r="AT288" s="255">
        <f t="shared" si="32"/>
        <v>3.9295338738352346</v>
      </c>
      <c r="AU288" s="255">
        <f t="shared" si="33"/>
        <v>-4.5453159653285551E-2</v>
      </c>
      <c r="AV288" s="255">
        <f t="shared" si="34"/>
        <v>1.6709447263017356</v>
      </c>
      <c r="AW288" s="255">
        <f t="shared" si="35"/>
        <v>99.213425342252535</v>
      </c>
    </row>
    <row r="289" spans="1:50" hidden="1">
      <c r="A289" s="153"/>
      <c r="B289" s="153"/>
      <c r="C289" s="153"/>
      <c r="D289" s="153"/>
      <c r="E289" s="153"/>
      <c r="F289" s="153"/>
      <c r="G289" s="153"/>
      <c r="H289" s="153"/>
      <c r="I289" s="153"/>
      <c r="J289" s="153"/>
      <c r="K289" s="153"/>
      <c r="M289" s="256"/>
      <c r="N289" s="153"/>
      <c r="O289" s="153"/>
      <c r="P289" s="153"/>
      <c r="Q289" s="255"/>
      <c r="R289" s="255"/>
      <c r="S289" s="255"/>
      <c r="T289" s="255"/>
      <c r="U289" s="255"/>
      <c r="V289" s="255"/>
      <c r="W289" s="255"/>
      <c r="Z289" s="153" t="s">
        <v>15</v>
      </c>
      <c r="AA289" s="153">
        <v>2014</v>
      </c>
      <c r="AB289" s="153" t="s">
        <v>713</v>
      </c>
      <c r="AC289" s="153"/>
      <c r="AD289" s="153">
        <v>7839</v>
      </c>
      <c r="AE289" s="153">
        <v>1129</v>
      </c>
      <c r="AF289" s="153">
        <v>78</v>
      </c>
      <c r="AG289" s="153"/>
      <c r="AH289" s="153"/>
      <c r="AI289" s="153"/>
      <c r="AJ289" s="153">
        <v>9046</v>
      </c>
      <c r="AL289" s="256">
        <f>VLOOKUP(AA289,pgdp!$A$13:$C$90,3,FALSE)</f>
        <v>0.9240281714268912</v>
      </c>
      <c r="AM289" s="153" t="s">
        <v>15</v>
      </c>
      <c r="AN289" s="153">
        <v>2014</v>
      </c>
      <c r="AO289" s="153" t="s">
        <v>713</v>
      </c>
      <c r="AP289" s="255">
        <f t="shared" si="36"/>
        <v>0</v>
      </c>
      <c r="AQ289" s="255">
        <f t="shared" si="29"/>
        <v>8.4835075838596552</v>
      </c>
      <c r="AR289" s="255">
        <f t="shared" si="30"/>
        <v>1.221824220203795</v>
      </c>
      <c r="AS289" s="255">
        <f t="shared" si="31"/>
        <v>8.441301078467317E-2</v>
      </c>
      <c r="AT289" s="255">
        <f t="shared" si="32"/>
        <v>0</v>
      </c>
      <c r="AU289" s="255">
        <f t="shared" si="33"/>
        <v>0</v>
      </c>
      <c r="AV289" s="255">
        <f t="shared" si="34"/>
        <v>0</v>
      </c>
      <c r="AW289" s="255">
        <f t="shared" si="35"/>
        <v>9.7897448148481221</v>
      </c>
    </row>
    <row r="290" spans="1:50" hidden="1">
      <c r="A290" s="153"/>
      <c r="B290" s="153"/>
      <c r="C290" s="153"/>
      <c r="D290" s="153"/>
      <c r="E290" s="153"/>
      <c r="F290" s="153"/>
      <c r="G290" s="153"/>
      <c r="H290" s="153"/>
      <c r="I290" s="153"/>
      <c r="J290" s="153"/>
      <c r="K290" s="153"/>
      <c r="M290" s="256"/>
      <c r="N290" s="153"/>
      <c r="O290" s="153"/>
      <c r="P290" s="153"/>
      <c r="Q290" s="255"/>
      <c r="R290" s="255"/>
      <c r="S290" s="255"/>
      <c r="T290" s="255"/>
      <c r="U290" s="255"/>
      <c r="V290" s="255"/>
      <c r="W290" s="255"/>
      <c r="Z290" s="153" t="s">
        <v>15</v>
      </c>
      <c r="AA290" s="153">
        <v>2014</v>
      </c>
      <c r="AB290" s="153" t="s">
        <v>714</v>
      </c>
      <c r="AC290" s="153"/>
      <c r="AD290" s="153"/>
      <c r="AE290" s="153">
        <v>225</v>
      </c>
      <c r="AF290" s="153"/>
      <c r="AG290" s="153"/>
      <c r="AH290" s="153"/>
      <c r="AI290" s="153"/>
      <c r="AJ290" s="153">
        <v>225</v>
      </c>
      <c r="AL290" s="256">
        <f>VLOOKUP(AA290,pgdp!$A$13:$C$90,3,FALSE)</f>
        <v>0.9240281714268912</v>
      </c>
      <c r="AM290" s="153" t="s">
        <v>15</v>
      </c>
      <c r="AN290" s="153">
        <v>2014</v>
      </c>
      <c r="AO290" s="153" t="s">
        <v>714</v>
      </c>
      <c r="AP290" s="255">
        <f t="shared" si="36"/>
        <v>0</v>
      </c>
      <c r="AQ290" s="255">
        <f t="shared" si="29"/>
        <v>0</v>
      </c>
      <c r="AR290" s="255">
        <f t="shared" si="30"/>
        <v>0.24349906957117262</v>
      </c>
      <c r="AS290" s="255">
        <f t="shared" si="31"/>
        <v>0</v>
      </c>
      <c r="AT290" s="255">
        <f t="shared" si="32"/>
        <v>0</v>
      </c>
      <c r="AU290" s="255">
        <f t="shared" si="33"/>
        <v>0</v>
      </c>
      <c r="AV290" s="255">
        <f t="shared" si="34"/>
        <v>0</v>
      </c>
      <c r="AW290" s="255">
        <f t="shared" si="35"/>
        <v>0.24349906957117262</v>
      </c>
    </row>
    <row r="291" spans="1:50" hidden="1">
      <c r="A291" s="153"/>
      <c r="B291" s="153"/>
      <c r="C291" s="153"/>
      <c r="D291" s="153"/>
      <c r="E291" s="153"/>
      <c r="F291" s="153"/>
      <c r="G291" s="153"/>
      <c r="H291" s="153"/>
      <c r="I291" s="153"/>
      <c r="J291" s="153"/>
      <c r="K291" s="153"/>
      <c r="M291" s="256"/>
      <c r="N291" s="153"/>
      <c r="O291" s="153"/>
      <c r="P291" s="153"/>
      <c r="Q291" s="255"/>
      <c r="R291" s="255"/>
      <c r="S291" s="255"/>
      <c r="T291" s="255"/>
      <c r="U291" s="255"/>
      <c r="V291" s="255"/>
      <c r="W291" s="255"/>
      <c r="Z291" s="153" t="s">
        <v>15</v>
      </c>
      <c r="AA291" s="153">
        <v>2015</v>
      </c>
      <c r="AB291" s="153" t="s">
        <v>689</v>
      </c>
      <c r="AC291" s="153"/>
      <c r="AD291" s="153">
        <v>65292</v>
      </c>
      <c r="AE291" s="153">
        <v>4478</v>
      </c>
      <c r="AF291" s="153">
        <v>17363</v>
      </c>
      <c r="AG291" s="153">
        <v>2166</v>
      </c>
      <c r="AH291" s="153">
        <v>-1</v>
      </c>
      <c r="AI291" s="153">
        <v>1435</v>
      </c>
      <c r="AJ291" s="153">
        <v>90734</v>
      </c>
      <c r="AL291" s="256">
        <f>VLOOKUP(AA291,pgdp!$A$13:$C$90,3,FALSE)</f>
        <v>0.9351696664966358</v>
      </c>
      <c r="AM291" s="153" t="s">
        <v>15</v>
      </c>
      <c r="AN291" s="153">
        <v>2015</v>
      </c>
      <c r="AO291" s="153" t="s">
        <v>689</v>
      </c>
      <c r="AP291" s="255">
        <f t="shared" si="36"/>
        <v>0</v>
      </c>
      <c r="AQ291" s="255">
        <f t="shared" si="29"/>
        <v>69.818346701298708</v>
      </c>
      <c r="AR291" s="255">
        <f t="shared" si="30"/>
        <v>4.7884358961038958</v>
      </c>
      <c r="AS291" s="255">
        <f t="shared" si="31"/>
        <v>18.566684337662338</v>
      </c>
      <c r="AT291" s="255">
        <f t="shared" si="32"/>
        <v>2.3161572467532467</v>
      </c>
      <c r="AU291" s="255">
        <f t="shared" si="33"/>
        <v>-1.0693246753246755E-3</v>
      </c>
      <c r="AV291" s="255">
        <f t="shared" si="34"/>
        <v>1.5344809090909091</v>
      </c>
      <c r="AW291" s="255">
        <f t="shared" si="35"/>
        <v>97.024105090909103</v>
      </c>
    </row>
    <row r="292" spans="1:50" hidden="1">
      <c r="A292" s="153"/>
      <c r="B292" s="153"/>
      <c r="C292" s="153"/>
      <c r="D292" s="153"/>
      <c r="E292" s="153"/>
      <c r="F292" s="153"/>
      <c r="G292" s="153"/>
      <c r="H292" s="153"/>
      <c r="I292" s="153"/>
      <c r="J292" s="153"/>
      <c r="K292" s="153"/>
      <c r="M292" s="256"/>
      <c r="N292" s="153"/>
      <c r="O292" s="153"/>
      <c r="P292" s="153"/>
      <c r="Q292" s="255"/>
      <c r="R292" s="255"/>
      <c r="S292" s="255"/>
      <c r="T292" s="255"/>
      <c r="U292" s="255"/>
      <c r="V292" s="255"/>
      <c r="W292" s="255"/>
      <c r="Z292" s="153" t="s">
        <v>15</v>
      </c>
      <c r="AA292" s="153">
        <v>2015</v>
      </c>
      <c r="AB292" s="153" t="s">
        <v>715</v>
      </c>
      <c r="AC292" s="153"/>
      <c r="AD292" s="153">
        <v>6634</v>
      </c>
      <c r="AE292" s="153">
        <v>1500</v>
      </c>
      <c r="AF292" s="153">
        <v>199</v>
      </c>
      <c r="AG292" s="153">
        <v>51</v>
      </c>
      <c r="AH292" s="153">
        <v>0</v>
      </c>
      <c r="AI292" s="153">
        <v>0</v>
      </c>
      <c r="AJ292" s="153">
        <v>8384</v>
      </c>
      <c r="AL292" s="256">
        <f>VLOOKUP(AA292,pgdp!$A$13:$C$90,3,FALSE)</f>
        <v>0.9351696664966358</v>
      </c>
      <c r="AM292" s="153" t="s">
        <v>15</v>
      </c>
      <c r="AN292" s="153">
        <v>2015</v>
      </c>
      <c r="AO292" s="153" t="s">
        <v>715</v>
      </c>
      <c r="AP292" s="255">
        <f t="shared" si="36"/>
        <v>0</v>
      </c>
      <c r="AQ292" s="255">
        <f t="shared" si="29"/>
        <v>7.0938998961038964</v>
      </c>
      <c r="AR292" s="255">
        <f t="shared" si="30"/>
        <v>1.6039870129870131</v>
      </c>
      <c r="AS292" s="255">
        <f t="shared" si="31"/>
        <v>0.2127956103896104</v>
      </c>
      <c r="AT292" s="255">
        <f t="shared" si="32"/>
        <v>5.453555844155844E-2</v>
      </c>
      <c r="AU292" s="255">
        <f t="shared" si="33"/>
        <v>0</v>
      </c>
      <c r="AV292" s="255">
        <f t="shared" si="34"/>
        <v>0</v>
      </c>
      <c r="AW292" s="255">
        <f t="shared" si="35"/>
        <v>8.9652180779220778</v>
      </c>
    </row>
    <row r="293" spans="1:50" hidden="1">
      <c r="A293" s="153"/>
      <c r="B293" s="153"/>
      <c r="C293" s="153"/>
      <c r="D293" s="153"/>
      <c r="E293" s="153"/>
      <c r="F293" s="153"/>
      <c r="G293" s="153"/>
      <c r="H293" s="153"/>
      <c r="I293" s="153"/>
      <c r="J293" s="153"/>
      <c r="K293" s="153"/>
      <c r="M293" s="256"/>
      <c r="N293" s="153"/>
      <c r="O293" s="153"/>
      <c r="P293" s="153"/>
      <c r="Q293" s="255"/>
      <c r="R293" s="255"/>
      <c r="S293" s="255"/>
      <c r="T293" s="255"/>
      <c r="U293" s="255"/>
      <c r="V293" s="255"/>
      <c r="W293" s="255"/>
      <c r="Z293" s="153" t="s">
        <v>15</v>
      </c>
      <c r="AA293" s="153">
        <v>2015</v>
      </c>
      <c r="AB293" s="153" t="s">
        <v>716</v>
      </c>
      <c r="AC293" s="153"/>
      <c r="AD293" s="153">
        <v>0</v>
      </c>
      <c r="AE293" s="153">
        <v>17</v>
      </c>
      <c r="AF293" s="153">
        <v>95</v>
      </c>
      <c r="AG293" s="153">
        <v>0</v>
      </c>
      <c r="AH293" s="153">
        <v>0</v>
      </c>
      <c r="AI293" s="153">
        <v>0</v>
      </c>
      <c r="AJ293" s="153">
        <v>112</v>
      </c>
      <c r="AL293" s="256">
        <f>VLOOKUP(AA293,pgdp!$A$13:$C$90,3,FALSE)</f>
        <v>0.9351696664966358</v>
      </c>
      <c r="AM293" s="153" t="s">
        <v>15</v>
      </c>
      <c r="AN293" s="153">
        <v>2015</v>
      </c>
      <c r="AO293" s="153" t="s">
        <v>716</v>
      </c>
      <c r="AP293" s="255">
        <f t="shared" si="36"/>
        <v>0</v>
      </c>
      <c r="AQ293" s="255">
        <f t="shared" si="29"/>
        <v>0</v>
      </c>
      <c r="AR293" s="255">
        <f t="shared" si="30"/>
        <v>1.8178519480519479E-2</v>
      </c>
      <c r="AS293" s="255">
        <f t="shared" si="31"/>
        <v>0.10158584415584415</v>
      </c>
      <c r="AT293" s="255">
        <f t="shared" si="32"/>
        <v>0</v>
      </c>
      <c r="AU293" s="255">
        <f t="shared" si="33"/>
        <v>0</v>
      </c>
      <c r="AV293" s="255">
        <f t="shared" si="34"/>
        <v>0</v>
      </c>
      <c r="AW293" s="255">
        <f t="shared" si="35"/>
        <v>0.11976436363636364</v>
      </c>
    </row>
    <row r="294" spans="1:50" hidden="1">
      <c r="A294" s="153"/>
      <c r="B294" s="153"/>
      <c r="C294" s="153"/>
      <c r="D294" s="153"/>
      <c r="E294" s="153"/>
      <c r="F294" s="153"/>
      <c r="G294" s="153"/>
      <c r="H294" s="153"/>
      <c r="I294" s="153"/>
      <c r="J294" s="153"/>
      <c r="K294" s="153"/>
      <c r="M294" s="256"/>
      <c r="N294" s="153"/>
      <c r="O294" s="153"/>
      <c r="P294" s="153"/>
      <c r="Q294" s="255"/>
      <c r="R294" s="255"/>
      <c r="S294" s="255"/>
      <c r="T294" s="255"/>
      <c r="U294" s="255"/>
      <c r="V294" s="255"/>
      <c r="W294" s="255"/>
      <c r="Z294" s="153" t="s">
        <v>15</v>
      </c>
      <c r="AA294" s="153">
        <v>2016</v>
      </c>
      <c r="AB294" s="153" t="s">
        <v>689</v>
      </c>
      <c r="AC294" s="153"/>
      <c r="AD294" s="153">
        <v>64607</v>
      </c>
      <c r="AE294" s="153">
        <v>5347</v>
      </c>
      <c r="AF294" s="153">
        <v>18897</v>
      </c>
      <c r="AG294" s="153">
        <v>2244</v>
      </c>
      <c r="AH294" s="153">
        <v>-46</v>
      </c>
      <c r="AI294" s="153">
        <v>530</v>
      </c>
      <c r="AJ294" s="153">
        <v>91578</v>
      </c>
      <c r="AL294" s="256">
        <f>VLOOKUP(AA294,pgdp!$A$13:$C$90,3,FALSE)</f>
        <v>0.94602138468179731</v>
      </c>
      <c r="AM294" s="153" t="s">
        <v>15</v>
      </c>
      <c r="AN294" s="153">
        <v>2016</v>
      </c>
      <c r="AO294" s="153" t="s">
        <v>689</v>
      </c>
      <c r="AP294" s="255">
        <f t="shared" si="36"/>
        <v>0</v>
      </c>
      <c r="AQ294" s="255">
        <f t="shared" si="29"/>
        <v>68.293382206926694</v>
      </c>
      <c r="AR294" s="255">
        <f t="shared" si="30"/>
        <v>5.6520921055061679</v>
      </c>
      <c r="AS294" s="255">
        <f t="shared" si="31"/>
        <v>19.975235555965973</v>
      </c>
      <c r="AT294" s="255">
        <f t="shared" si="32"/>
        <v>2.3720394024230114</v>
      </c>
      <c r="AU294" s="255">
        <f t="shared" si="33"/>
        <v>-4.8624693632557267E-2</v>
      </c>
      <c r="AV294" s="255">
        <f t="shared" si="34"/>
        <v>0.56024103533163805</v>
      </c>
      <c r="AW294" s="255">
        <f t="shared" si="35"/>
        <v>96.803308553963674</v>
      </c>
    </row>
    <row r="295" spans="1:50" hidden="1">
      <c r="A295" s="153"/>
      <c r="B295" s="153"/>
      <c r="C295" s="153"/>
      <c r="D295" s="153"/>
      <c r="E295" s="153"/>
      <c r="F295" s="153"/>
      <c r="G295" s="153"/>
      <c r="H295" s="153"/>
      <c r="I295" s="153"/>
      <c r="J295" s="153"/>
      <c r="K295" s="153"/>
      <c r="M295" s="256"/>
      <c r="N295" s="153"/>
      <c r="O295" s="153"/>
      <c r="P295" s="153"/>
      <c r="Q295" s="255"/>
      <c r="R295" s="255"/>
      <c r="S295" s="255"/>
      <c r="T295" s="255"/>
      <c r="U295" s="255"/>
      <c r="V295" s="255"/>
      <c r="W295" s="255"/>
      <c r="Z295" s="153" t="s">
        <v>15</v>
      </c>
      <c r="AA295" s="153">
        <v>2016</v>
      </c>
      <c r="AB295" s="153" t="s">
        <v>717</v>
      </c>
      <c r="AC295" s="153"/>
      <c r="AD295" s="153">
        <v>7726</v>
      </c>
      <c r="AE295" s="153">
        <v>1191</v>
      </c>
      <c r="AF295" s="153">
        <v>188</v>
      </c>
      <c r="AG295" s="153">
        <v>0</v>
      </c>
      <c r="AH295" s="153">
        <v>0</v>
      </c>
      <c r="AI295" s="153">
        <v>0</v>
      </c>
      <c r="AJ295" s="153">
        <v>9105</v>
      </c>
      <c r="AL295" s="256">
        <f>VLOOKUP(AA295,pgdp!$A$13:$C$90,3,FALSE)</f>
        <v>0.94602138468179731</v>
      </c>
      <c r="AM295" s="153" t="s">
        <v>15</v>
      </c>
      <c r="AN295" s="153">
        <v>2016</v>
      </c>
      <c r="AO295" s="153" t="s">
        <v>717</v>
      </c>
      <c r="AP295" s="255">
        <f t="shared" si="36"/>
        <v>0</v>
      </c>
      <c r="AQ295" s="255">
        <f t="shared" si="29"/>
        <v>8.1668344131551613</v>
      </c>
      <c r="AR295" s="255">
        <f t="shared" si="30"/>
        <v>1.2589567416603415</v>
      </c>
      <c r="AS295" s="255">
        <f t="shared" si="31"/>
        <v>0.19872700875914712</v>
      </c>
      <c r="AT295" s="255">
        <f t="shared" si="32"/>
        <v>0</v>
      </c>
      <c r="AU295" s="255">
        <f t="shared" si="33"/>
        <v>0</v>
      </c>
      <c r="AV295" s="255">
        <f t="shared" si="34"/>
        <v>0</v>
      </c>
      <c r="AW295" s="255">
        <f t="shared" si="35"/>
        <v>9.6245181635746508</v>
      </c>
    </row>
    <row r="296" spans="1:50" hidden="1">
      <c r="A296" s="153"/>
      <c r="B296" s="153"/>
      <c r="C296" s="153"/>
      <c r="D296" s="153"/>
      <c r="E296" s="153"/>
      <c r="F296" s="153"/>
      <c r="G296" s="153"/>
      <c r="H296" s="153"/>
      <c r="I296" s="153"/>
      <c r="J296" s="153"/>
      <c r="K296" s="153"/>
      <c r="M296" s="256"/>
      <c r="N296" s="153"/>
      <c r="O296" s="153"/>
      <c r="P296" s="153"/>
      <c r="Q296" s="255"/>
      <c r="R296" s="255"/>
      <c r="S296" s="255"/>
      <c r="T296" s="255"/>
      <c r="U296" s="255"/>
      <c r="V296" s="255"/>
      <c r="W296" s="255"/>
      <c r="Z296" s="153" t="s">
        <v>15</v>
      </c>
      <c r="AA296" s="153">
        <v>2017</v>
      </c>
      <c r="AB296" s="153" t="s">
        <v>689</v>
      </c>
      <c r="AC296" s="153">
        <v>0</v>
      </c>
      <c r="AD296" s="153">
        <v>66333</v>
      </c>
      <c r="AE296" s="153">
        <v>5145</v>
      </c>
      <c r="AF296" s="153">
        <v>19193</v>
      </c>
      <c r="AG296" s="153">
        <v>2002</v>
      </c>
      <c r="AH296" s="153">
        <v>37</v>
      </c>
      <c r="AI296" s="153">
        <v>1251</v>
      </c>
      <c r="AJ296" s="153">
        <v>93961</v>
      </c>
      <c r="AL296" s="256">
        <f>VLOOKUP(AA296,pgdp!$A$13:$C$90,3,FALSE)</f>
        <v>0.96224036736890672</v>
      </c>
      <c r="AM296" s="153" t="s">
        <v>15</v>
      </c>
      <c r="AN296" s="153">
        <v>2017</v>
      </c>
      <c r="AO296" s="153" t="s">
        <v>689</v>
      </c>
      <c r="AP296" s="255">
        <f t="shared" si="36"/>
        <v>0</v>
      </c>
      <c r="AQ296" s="255">
        <f t="shared" si="29"/>
        <v>68.935997957949994</v>
      </c>
      <c r="AR296" s="255">
        <f t="shared" si="30"/>
        <v>5.3468968611950709</v>
      </c>
      <c r="AS296" s="255">
        <f t="shared" si="31"/>
        <v>19.946159661208359</v>
      </c>
      <c r="AT296" s="255">
        <f t="shared" si="32"/>
        <v>2.0805612276214838</v>
      </c>
      <c r="AU296" s="255">
        <f t="shared" si="33"/>
        <v>3.8451930780217233E-2</v>
      </c>
      <c r="AV296" s="255">
        <f t="shared" si="34"/>
        <v>1.3000909569203176</v>
      </c>
      <c r="AW296" s="255">
        <f t="shared" si="35"/>
        <v>97.64815859567544</v>
      </c>
    </row>
    <row r="297" spans="1:50" hidden="1">
      <c r="A297" s="153"/>
      <c r="B297" s="153"/>
      <c r="C297" s="153"/>
      <c r="D297" s="153"/>
      <c r="E297" s="153"/>
      <c r="F297" s="153"/>
      <c r="G297" s="153"/>
      <c r="H297" s="153"/>
      <c r="I297" s="153"/>
      <c r="J297" s="153"/>
      <c r="K297" s="153"/>
      <c r="M297" s="256"/>
      <c r="N297" s="153"/>
      <c r="O297" s="153"/>
      <c r="P297" s="153"/>
      <c r="Q297" s="255"/>
      <c r="R297" s="255"/>
      <c r="S297" s="255"/>
      <c r="T297" s="255"/>
      <c r="U297" s="255"/>
      <c r="V297" s="255"/>
      <c r="W297" s="255"/>
      <c r="Z297" s="153" t="s">
        <v>15</v>
      </c>
      <c r="AA297" s="153">
        <v>2017</v>
      </c>
      <c r="AB297" s="153" t="s">
        <v>718</v>
      </c>
      <c r="AC297" s="153">
        <v>0</v>
      </c>
      <c r="AD297" s="153">
        <v>9238</v>
      </c>
      <c r="AE297" s="153">
        <v>1786</v>
      </c>
      <c r="AF297" s="153">
        <v>463</v>
      </c>
      <c r="AG297" s="153">
        <v>5</v>
      </c>
      <c r="AH297" s="153">
        <v>0</v>
      </c>
      <c r="AI297" s="153">
        <v>378</v>
      </c>
      <c r="AJ297" s="153">
        <v>11869</v>
      </c>
      <c r="AL297" s="256">
        <f>VLOOKUP(AA297,pgdp!$A$13:$C$90,3,FALSE)</f>
        <v>0.96224036736890672</v>
      </c>
      <c r="AM297" s="153" t="s">
        <v>15</v>
      </c>
      <c r="AN297" s="153">
        <v>2017</v>
      </c>
      <c r="AO297" s="153" t="s">
        <v>718</v>
      </c>
      <c r="AP297" s="255">
        <f t="shared" si="36"/>
        <v>0</v>
      </c>
      <c r="AQ297" s="255">
        <f t="shared" si="29"/>
        <v>9.6005117985850479</v>
      </c>
      <c r="AR297" s="255">
        <f t="shared" si="30"/>
        <v>1.8560850911748101</v>
      </c>
      <c r="AS297" s="255">
        <f t="shared" si="31"/>
        <v>0.4811687554389345</v>
      </c>
      <c r="AT297" s="255">
        <f t="shared" si="32"/>
        <v>5.1962068621915171E-3</v>
      </c>
      <c r="AU297" s="255">
        <f t="shared" si="33"/>
        <v>0</v>
      </c>
      <c r="AV297" s="255">
        <f t="shared" si="34"/>
        <v>0.39283323878167875</v>
      </c>
      <c r="AW297" s="255">
        <f t="shared" si="35"/>
        <v>12.334755849470225</v>
      </c>
    </row>
    <row r="298" spans="1:50" hidden="1">
      <c r="A298" s="153"/>
      <c r="B298" s="153"/>
      <c r="C298" s="153"/>
      <c r="D298" s="153"/>
      <c r="E298" s="153"/>
      <c r="F298" s="153"/>
      <c r="G298" s="153"/>
      <c r="H298" s="153"/>
      <c r="I298" s="153"/>
      <c r="J298" s="153"/>
      <c r="K298" s="153"/>
      <c r="M298" s="256"/>
      <c r="N298" s="153"/>
      <c r="O298" s="153"/>
      <c r="P298" s="153"/>
      <c r="Q298" s="255"/>
      <c r="R298" s="255"/>
      <c r="S298" s="255"/>
      <c r="T298" s="255"/>
      <c r="U298" s="255"/>
      <c r="V298" s="255"/>
      <c r="W298" s="255"/>
      <c r="Z298" s="153" t="s">
        <v>15</v>
      </c>
      <c r="AA298" s="153">
        <v>2018</v>
      </c>
      <c r="AB298" s="153" t="s">
        <v>689</v>
      </c>
      <c r="AC298" s="153">
        <v>0</v>
      </c>
      <c r="AD298" s="153">
        <v>67617</v>
      </c>
      <c r="AE298" s="153">
        <v>4909</v>
      </c>
      <c r="AF298" s="153">
        <v>18824</v>
      </c>
      <c r="AG298" s="153">
        <v>2005</v>
      </c>
      <c r="AH298" s="153">
        <v>37</v>
      </c>
      <c r="AI298" s="153">
        <v>1243</v>
      </c>
      <c r="AJ298" s="153">
        <v>94635</v>
      </c>
      <c r="AL298" s="256">
        <f>VLOOKUP(AA298,pgdp!$A$13:$C$90,3,FALSE)</f>
        <v>0.9807153483309915</v>
      </c>
      <c r="AM298" s="153" t="s">
        <v>15</v>
      </c>
      <c r="AN298" s="153">
        <v>2018</v>
      </c>
      <c r="AO298" s="153" t="s">
        <v>689</v>
      </c>
      <c r="AP298" s="255">
        <f t="shared" si="36"/>
        <v>0</v>
      </c>
      <c r="AQ298" s="255">
        <f t="shared" si="29"/>
        <v>68.946611384304802</v>
      </c>
      <c r="AR298" s="255">
        <f t="shared" si="30"/>
        <v>5.0055299005509317</v>
      </c>
      <c r="AS298" s="255">
        <f t="shared" si="31"/>
        <v>19.194152545930077</v>
      </c>
      <c r="AT298" s="255">
        <f t="shared" si="32"/>
        <v>2.0444260441239797</v>
      </c>
      <c r="AU298" s="255">
        <f t="shared" si="33"/>
        <v>3.7727562909021073E-2</v>
      </c>
      <c r="AV298" s="255">
        <f t="shared" si="34"/>
        <v>1.2674421809706271</v>
      </c>
      <c r="AW298" s="255">
        <f t="shared" si="35"/>
        <v>96.495889618789448</v>
      </c>
    </row>
    <row r="299" spans="1:50" hidden="1">
      <c r="A299" s="153"/>
      <c r="B299" s="153"/>
      <c r="C299" s="153"/>
      <c r="D299" s="153"/>
      <c r="E299" s="153"/>
      <c r="F299" s="153"/>
      <c r="G299" s="153"/>
      <c r="H299" s="153"/>
      <c r="I299" s="153"/>
      <c r="J299" s="153"/>
      <c r="K299" s="153"/>
      <c r="M299" s="256"/>
      <c r="N299" s="153"/>
      <c r="O299" s="153"/>
      <c r="P299" s="153"/>
      <c r="Q299" s="255"/>
      <c r="R299" s="255"/>
      <c r="S299" s="255"/>
      <c r="T299" s="255"/>
      <c r="U299" s="255"/>
      <c r="V299" s="255"/>
      <c r="W299" s="255"/>
      <c r="Z299" s="153" t="s">
        <v>15</v>
      </c>
      <c r="AA299" s="153">
        <v>2018</v>
      </c>
      <c r="AB299" s="153" t="s">
        <v>719</v>
      </c>
      <c r="AC299" s="153">
        <v>0</v>
      </c>
      <c r="AD299" s="153">
        <v>10392</v>
      </c>
      <c r="AE299" s="153">
        <v>1932</v>
      </c>
      <c r="AF299" s="153">
        <v>445</v>
      </c>
      <c r="AG299" s="153">
        <v>5</v>
      </c>
      <c r="AH299" s="153">
        <v>0</v>
      </c>
      <c r="AI299" s="153">
        <v>378</v>
      </c>
      <c r="AJ299" s="153">
        <v>13151</v>
      </c>
      <c r="AL299" s="256">
        <f>VLOOKUP(AA299,pgdp!$A$13:$C$90,3,FALSE)</f>
        <v>0.9807153483309915</v>
      </c>
      <c r="AM299" s="153" t="s">
        <v>15</v>
      </c>
      <c r="AN299" s="153">
        <v>2018</v>
      </c>
      <c r="AO299" s="153" t="s">
        <v>719</v>
      </c>
      <c r="AP299" s="255">
        <f t="shared" si="36"/>
        <v>0</v>
      </c>
      <c r="AQ299" s="255">
        <f t="shared" si="29"/>
        <v>10.596346858122894</v>
      </c>
      <c r="AR299" s="255">
        <f t="shared" si="30"/>
        <v>1.9699905821683437</v>
      </c>
      <c r="AS299" s="255">
        <f t="shared" si="31"/>
        <v>0.45375041877065886</v>
      </c>
      <c r="AT299" s="255">
        <f t="shared" si="32"/>
        <v>5.0983193120298746E-3</v>
      </c>
      <c r="AU299" s="255">
        <f t="shared" si="33"/>
        <v>0</v>
      </c>
      <c r="AV299" s="255">
        <f t="shared" si="34"/>
        <v>0.3854329399894586</v>
      </c>
      <c r="AW299" s="255">
        <f t="shared" si="35"/>
        <v>13.409599454500977</v>
      </c>
    </row>
    <row r="300" spans="1:50" hidden="1">
      <c r="A300" s="153"/>
      <c r="B300" s="153"/>
      <c r="C300" s="153"/>
      <c r="D300" s="153"/>
      <c r="E300" s="153"/>
      <c r="F300" s="153"/>
      <c r="G300" s="153"/>
      <c r="H300" s="153"/>
      <c r="I300" s="153"/>
      <c r="J300" s="153"/>
      <c r="K300" s="153"/>
      <c r="M300" s="256"/>
      <c r="N300" s="153"/>
      <c r="O300" s="153"/>
      <c r="P300" s="153"/>
      <c r="Q300" s="255"/>
      <c r="R300" s="255"/>
      <c r="S300" s="255"/>
      <c r="T300" s="255"/>
      <c r="U300" s="255"/>
      <c r="V300" s="255"/>
      <c r="W300" s="255"/>
      <c r="Z300" s="153" t="s">
        <v>15</v>
      </c>
      <c r="AA300" s="153">
        <v>2018</v>
      </c>
      <c r="AB300" s="153" t="s">
        <v>720</v>
      </c>
      <c r="AC300" s="153">
        <v>0</v>
      </c>
      <c r="AD300" s="153">
        <v>24</v>
      </c>
      <c r="AE300" s="153">
        <v>1239</v>
      </c>
      <c r="AF300" s="153">
        <v>1010</v>
      </c>
      <c r="AG300" s="153">
        <v>200</v>
      </c>
      <c r="AH300" s="153">
        <v>0</v>
      </c>
      <c r="AI300" s="153">
        <v>0</v>
      </c>
      <c r="AJ300" s="153">
        <v>2473</v>
      </c>
      <c r="AL300" s="256">
        <f>VLOOKUP(AA300,pgdp!$A$13:$C$90,3,FALSE)</f>
        <v>0.9807153483309915</v>
      </c>
      <c r="AM300" s="153" t="s">
        <v>15</v>
      </c>
      <c r="AN300" s="153">
        <v>2018</v>
      </c>
      <c r="AO300" s="153" t="s">
        <v>720</v>
      </c>
      <c r="AP300" s="255">
        <f t="shared" si="36"/>
        <v>0</v>
      </c>
      <c r="AQ300" s="255">
        <f t="shared" si="29"/>
        <v>2.4471932697743403E-2</v>
      </c>
      <c r="AR300" s="255">
        <f t="shared" si="30"/>
        <v>1.2633635255210032</v>
      </c>
      <c r="AS300" s="255">
        <f t="shared" si="31"/>
        <v>1.0298605010300348</v>
      </c>
      <c r="AT300" s="255">
        <f t="shared" si="32"/>
        <v>0.20393277248119501</v>
      </c>
      <c r="AU300" s="255">
        <f t="shared" si="33"/>
        <v>0</v>
      </c>
      <c r="AV300" s="255">
        <f t="shared" si="34"/>
        <v>0</v>
      </c>
      <c r="AW300" s="255">
        <f t="shared" si="35"/>
        <v>2.5216287317299764</v>
      </c>
    </row>
    <row r="301" spans="1:50" hidden="1">
      <c r="A301" s="153"/>
      <c r="B301" s="153"/>
      <c r="C301" s="153"/>
      <c r="D301" s="153"/>
      <c r="E301" s="153"/>
      <c r="F301" s="153"/>
      <c r="G301" s="153"/>
      <c r="H301" s="153"/>
      <c r="I301" s="153"/>
      <c r="J301" s="153"/>
      <c r="K301" s="153"/>
      <c r="M301" s="256"/>
      <c r="N301" s="153"/>
      <c r="O301" s="153"/>
      <c r="P301" s="153"/>
      <c r="Q301" s="255"/>
      <c r="R301" s="255"/>
      <c r="S301" s="255"/>
      <c r="T301" s="255"/>
      <c r="U301" s="255"/>
      <c r="V301" s="255"/>
      <c r="W301" s="255"/>
      <c r="Z301" s="153" t="s">
        <v>15</v>
      </c>
      <c r="AA301" s="153">
        <v>2019</v>
      </c>
      <c r="AB301" s="153" t="s">
        <v>689</v>
      </c>
      <c r="AC301" s="153">
        <v>0</v>
      </c>
      <c r="AD301" s="153">
        <v>72193</v>
      </c>
      <c r="AE301" s="153">
        <v>6925</v>
      </c>
      <c r="AF301" s="153">
        <v>22238</v>
      </c>
      <c r="AG301" s="153">
        <v>2864</v>
      </c>
      <c r="AH301" s="153">
        <v>61</v>
      </c>
      <c r="AI301" s="153">
        <v>1314</v>
      </c>
      <c r="AJ301" s="153">
        <v>105595</v>
      </c>
      <c r="AL301" s="256">
        <f>VLOOKUP(AA301,pgdp!$A$13:$C$90,3,FALSE)</f>
        <v>1</v>
      </c>
      <c r="AM301" s="153" t="s">
        <v>15</v>
      </c>
      <c r="AN301" s="153">
        <v>2019</v>
      </c>
      <c r="AO301" s="153" t="s">
        <v>689</v>
      </c>
      <c r="AP301" s="255">
        <f t="shared" si="36"/>
        <v>0</v>
      </c>
      <c r="AQ301" s="255">
        <f t="shared" si="29"/>
        <v>72.192999999999998</v>
      </c>
      <c r="AR301" s="255">
        <f t="shared" si="30"/>
        <v>6.9249999999999998</v>
      </c>
      <c r="AS301" s="255">
        <f t="shared" si="31"/>
        <v>22.238</v>
      </c>
      <c r="AT301" s="255">
        <f t="shared" si="32"/>
        <v>2.8639999999999999</v>
      </c>
      <c r="AU301" s="255">
        <f t="shared" si="33"/>
        <v>6.0999999999999999E-2</v>
      </c>
      <c r="AV301" s="255">
        <f t="shared" si="34"/>
        <v>1.3140000000000001</v>
      </c>
      <c r="AW301" s="255">
        <f t="shared" si="35"/>
        <v>105.595</v>
      </c>
    </row>
    <row r="302" spans="1:50" hidden="1">
      <c r="A302" s="153"/>
      <c r="B302" s="153"/>
      <c r="C302" s="153"/>
      <c r="D302" s="153"/>
      <c r="E302" s="153"/>
      <c r="F302" s="153"/>
      <c r="G302" s="153"/>
      <c r="H302" s="153"/>
      <c r="I302" s="153"/>
      <c r="J302" s="153"/>
      <c r="K302" s="153"/>
      <c r="M302" s="256"/>
      <c r="N302" s="153"/>
      <c r="O302" s="153"/>
      <c r="P302" s="153"/>
      <c r="Q302" s="255"/>
      <c r="R302" s="255"/>
      <c r="S302" s="255"/>
      <c r="T302" s="255"/>
      <c r="U302" s="255"/>
      <c r="V302" s="255"/>
      <c r="W302" s="255"/>
      <c r="Z302" s="153" t="s">
        <v>15</v>
      </c>
      <c r="AA302" s="153">
        <v>2019</v>
      </c>
      <c r="AB302" s="153" t="s">
        <v>721</v>
      </c>
      <c r="AC302" s="153">
        <v>0</v>
      </c>
      <c r="AD302" s="153">
        <v>9080</v>
      </c>
      <c r="AE302" s="153">
        <v>572</v>
      </c>
      <c r="AF302" s="153">
        <v>501</v>
      </c>
      <c r="AG302" s="153">
        <v>87</v>
      </c>
      <c r="AH302" s="153">
        <v>0</v>
      </c>
      <c r="AI302" s="153">
        <v>0</v>
      </c>
      <c r="AJ302" s="153">
        <v>10239</v>
      </c>
      <c r="AL302" s="256">
        <f>VLOOKUP(AA302,pgdp!$A$13:$C$90,3,FALSE)</f>
        <v>1</v>
      </c>
      <c r="AM302" s="153" t="s">
        <v>15</v>
      </c>
      <c r="AN302" s="153">
        <v>2019</v>
      </c>
      <c r="AO302" s="153" t="s">
        <v>721</v>
      </c>
      <c r="AP302" s="255">
        <f t="shared" si="36"/>
        <v>0</v>
      </c>
      <c r="AQ302" s="255">
        <f t="shared" si="29"/>
        <v>9.08</v>
      </c>
      <c r="AR302" s="255">
        <f t="shared" si="30"/>
        <v>0.57199999999999995</v>
      </c>
      <c r="AS302" s="255">
        <f t="shared" si="31"/>
        <v>0.501</v>
      </c>
      <c r="AT302" s="255">
        <f t="shared" si="32"/>
        <v>8.6999999999999994E-2</v>
      </c>
      <c r="AU302" s="255">
        <f t="shared" si="33"/>
        <v>0</v>
      </c>
      <c r="AV302" s="255">
        <f t="shared" si="34"/>
        <v>0</v>
      </c>
      <c r="AW302" s="255">
        <f t="shared" si="35"/>
        <v>10.239000000000001</v>
      </c>
    </row>
    <row r="303" spans="1:50">
      <c r="A303" s="153"/>
      <c r="B303" s="153"/>
      <c r="C303" s="153"/>
      <c r="D303" s="153"/>
      <c r="E303" s="153"/>
      <c r="F303" s="153"/>
      <c r="G303" s="153"/>
      <c r="H303" s="153"/>
      <c r="I303" s="153"/>
      <c r="J303" s="153"/>
      <c r="K303" s="153"/>
      <c r="M303" s="256"/>
      <c r="N303" s="153"/>
      <c r="O303" s="153"/>
      <c r="P303" s="153"/>
      <c r="Q303" s="255"/>
      <c r="R303" s="255"/>
      <c r="S303" s="255"/>
      <c r="T303" s="255"/>
      <c r="U303" s="255"/>
      <c r="V303" s="255"/>
      <c r="W303" s="255"/>
    </row>
    <row r="304" spans="1:50">
      <c r="A304" s="153"/>
      <c r="B304" s="153"/>
      <c r="C304" s="153"/>
      <c r="D304" s="153"/>
      <c r="E304" s="153"/>
      <c r="F304" s="153"/>
      <c r="G304" s="153"/>
      <c r="H304" s="153"/>
      <c r="I304" s="153"/>
      <c r="J304" s="153"/>
      <c r="K304" s="153"/>
      <c r="M304" s="256"/>
      <c r="N304" s="153"/>
      <c r="O304" s="153"/>
      <c r="P304" s="153"/>
      <c r="Q304" s="255"/>
      <c r="R304" s="255"/>
      <c r="S304" s="255"/>
      <c r="T304" s="255"/>
      <c r="U304" s="255"/>
      <c r="V304" s="255"/>
      <c r="W304" s="255"/>
      <c r="AX304" s="259" t="s">
        <v>725</v>
      </c>
    </row>
    <row r="305" spans="1:50">
      <c r="A305" s="153"/>
      <c r="B305" s="153"/>
      <c r="C305" s="153"/>
      <c r="D305" s="153"/>
      <c r="E305" s="153"/>
      <c r="F305" s="153"/>
      <c r="G305" s="153"/>
      <c r="H305" s="153"/>
      <c r="I305" s="153"/>
      <c r="J305" s="153"/>
      <c r="K305" s="153"/>
      <c r="M305" s="256"/>
      <c r="N305" s="153"/>
      <c r="O305" s="153"/>
      <c r="P305" s="153"/>
      <c r="Q305" s="255"/>
      <c r="R305" s="255"/>
      <c r="S305" s="255"/>
      <c r="T305" s="255"/>
      <c r="U305" s="255"/>
      <c r="V305" s="255"/>
      <c r="W305" s="255"/>
      <c r="AX305" s="259" t="s">
        <v>726</v>
      </c>
    </row>
    <row r="306" spans="1:50" ht="24">
      <c r="A306" s="153"/>
      <c r="B306" s="153"/>
      <c r="C306" s="153"/>
      <c r="D306" s="153"/>
      <c r="E306" s="153"/>
      <c r="F306" s="153"/>
      <c r="G306" s="153"/>
      <c r="H306" s="153"/>
      <c r="I306" s="153"/>
      <c r="J306" s="153"/>
      <c r="K306" s="153"/>
      <c r="M306" s="256"/>
      <c r="N306" s="153"/>
      <c r="O306" s="153"/>
      <c r="P306" s="153"/>
      <c r="Q306" s="255"/>
      <c r="R306" s="255"/>
      <c r="S306" s="255"/>
      <c r="T306" s="255"/>
      <c r="U306" s="255"/>
      <c r="V306" s="255"/>
      <c r="W306" s="255"/>
      <c r="AX306" s="260" t="s">
        <v>727</v>
      </c>
    </row>
    <row r="307" spans="1:50">
      <c r="A307" s="153"/>
      <c r="B307" s="153"/>
      <c r="C307" s="153"/>
      <c r="D307" s="153"/>
      <c r="E307" s="153"/>
      <c r="F307" s="153"/>
      <c r="G307" s="153"/>
      <c r="H307" s="153"/>
      <c r="I307" s="153"/>
      <c r="J307" s="153"/>
      <c r="K307" s="153"/>
      <c r="M307" s="256"/>
      <c r="N307" s="153"/>
      <c r="O307" s="153"/>
      <c r="P307" s="153"/>
      <c r="Q307" s="255"/>
      <c r="R307" s="255"/>
      <c r="S307" s="255"/>
      <c r="T307" s="255"/>
      <c r="U307" s="255"/>
      <c r="V307" s="255"/>
      <c r="W307" s="255"/>
      <c r="AX307" s="260"/>
    </row>
    <row r="308" spans="1:50">
      <c r="A308" s="153"/>
      <c r="B308" s="153"/>
      <c r="C308" s="153"/>
      <c r="D308" s="153"/>
      <c r="E308" s="153"/>
      <c r="F308" s="153"/>
      <c r="G308" s="153"/>
      <c r="H308" s="153"/>
      <c r="I308" s="153"/>
      <c r="J308" s="153"/>
      <c r="K308" s="153"/>
      <c r="M308" s="256"/>
      <c r="N308" s="153"/>
      <c r="O308" s="153"/>
      <c r="P308" s="153"/>
      <c r="Q308" s="255"/>
      <c r="R308" s="255"/>
      <c r="S308" s="255"/>
      <c r="T308" s="255"/>
      <c r="U308" s="255"/>
      <c r="V308" s="255"/>
      <c r="W308" s="255"/>
      <c r="AX308" s="261" t="s">
        <v>728</v>
      </c>
    </row>
    <row r="309" spans="1:50">
      <c r="A309" s="153"/>
      <c r="B309" s="153"/>
      <c r="C309" s="153"/>
      <c r="D309" s="153"/>
      <c r="E309" s="153"/>
      <c r="F309" s="153"/>
      <c r="G309" s="153"/>
      <c r="H309" s="153"/>
      <c r="I309" s="153"/>
      <c r="J309" s="153"/>
      <c r="K309" s="153"/>
      <c r="M309" s="256"/>
      <c r="N309" s="153"/>
      <c r="O309" s="153"/>
      <c r="P309" s="153"/>
      <c r="Q309" s="255"/>
      <c r="R309" s="255"/>
      <c r="S309" s="255"/>
      <c r="T309" s="255"/>
      <c r="U309" s="255"/>
      <c r="V309" s="255"/>
      <c r="W309" s="255"/>
      <c r="AX309" s="259" t="s">
        <v>729</v>
      </c>
    </row>
    <row r="310" spans="1:50">
      <c r="A310" s="153"/>
      <c r="B310" s="153"/>
      <c r="C310" s="153"/>
      <c r="D310" s="153"/>
      <c r="E310" s="153"/>
      <c r="F310" s="153"/>
      <c r="G310" s="153"/>
      <c r="H310" s="153"/>
      <c r="I310" s="153"/>
      <c r="J310" s="153"/>
      <c r="K310" s="153"/>
      <c r="M310" s="256"/>
      <c r="N310" s="153"/>
      <c r="O310" s="153"/>
      <c r="P310" s="153"/>
      <c r="Q310" s="255"/>
      <c r="R310" s="255"/>
      <c r="S310" s="255"/>
      <c r="T310" s="255"/>
      <c r="U310" s="255"/>
      <c r="V310" s="255"/>
      <c r="W310" s="255"/>
      <c r="AX310" s="259" t="s">
        <v>730</v>
      </c>
    </row>
    <row r="311" spans="1:50">
      <c r="A311" s="20"/>
      <c r="AX311" s="259" t="s">
        <v>731</v>
      </c>
    </row>
    <row r="312" spans="1:50" ht="36">
      <c r="A312" s="20"/>
      <c r="AX312" s="260" t="s">
        <v>732</v>
      </c>
    </row>
    <row r="313" spans="1:50">
      <c r="A313" s="20"/>
      <c r="AX313" s="260"/>
    </row>
    <row r="314" spans="1:50">
      <c r="A314" s="20"/>
      <c r="AX314" s="260"/>
    </row>
    <row r="315" spans="1:50" ht="24">
      <c r="A315" s="20"/>
      <c r="AX315" s="260" t="s">
        <v>733</v>
      </c>
    </row>
    <row r="316" spans="1:50">
      <c r="A316" s="20"/>
      <c r="AX316" s="260"/>
    </row>
    <row r="317" spans="1:50">
      <c r="A317" s="20"/>
      <c r="AX317" s="259" t="s">
        <v>734</v>
      </c>
    </row>
    <row r="318" spans="1:50">
      <c r="A318" s="20"/>
      <c r="AX318" s="259" t="s">
        <v>735</v>
      </c>
    </row>
    <row r="319" spans="1:50" ht="24">
      <c r="A319" s="20"/>
      <c r="AX319" s="262" t="s">
        <v>736</v>
      </c>
    </row>
    <row r="320" spans="1:50">
      <c r="A320" s="20"/>
      <c r="AX320" s="262"/>
    </row>
    <row r="321" spans="1:50" ht="24">
      <c r="A321" s="20"/>
      <c r="AX321" s="260" t="s">
        <v>737</v>
      </c>
    </row>
    <row r="322" spans="1:50">
      <c r="A322" s="20"/>
      <c r="AX322" s="260"/>
    </row>
    <row r="323" spans="1:50">
      <c r="A323" s="20"/>
      <c r="AX323" s="259" t="s">
        <v>738</v>
      </c>
    </row>
    <row r="324" spans="1:50">
      <c r="A324" s="20"/>
      <c r="AX324" s="259" t="s">
        <v>739</v>
      </c>
    </row>
    <row r="325" spans="1:50">
      <c r="AX325" s="259" t="s">
        <v>740</v>
      </c>
    </row>
    <row r="326" spans="1:50">
      <c r="AX326" s="259" t="s">
        <v>741</v>
      </c>
    </row>
    <row r="327" spans="1:50">
      <c r="AX327" s="259" t="s">
        <v>742</v>
      </c>
    </row>
    <row r="328" spans="1:50">
      <c r="AX328" s="259" t="s">
        <v>743</v>
      </c>
    </row>
    <row r="329" spans="1:50">
      <c r="AX329" s="261" t="s">
        <v>744</v>
      </c>
    </row>
    <row r="330" spans="1:50" ht="24">
      <c r="AX330" s="260" t="s">
        <v>11</v>
      </c>
    </row>
    <row r="331" spans="1:50">
      <c r="AX331" s="260"/>
    </row>
    <row r="332" spans="1:50">
      <c r="AX332" s="259" t="s">
        <v>745</v>
      </c>
    </row>
    <row r="333" spans="1:50">
      <c r="AX333" s="263" t="s">
        <v>746</v>
      </c>
    </row>
    <row r="334" spans="1:50">
      <c r="AX334" s="263" t="s">
        <v>747</v>
      </c>
    </row>
    <row r="335" spans="1:50">
      <c r="AX335" s="263" t="s">
        <v>748</v>
      </c>
    </row>
    <row r="336" spans="1:50">
      <c r="AX336" s="263" t="s">
        <v>749</v>
      </c>
    </row>
    <row r="337" spans="50:50">
      <c r="AX337" s="263" t="s">
        <v>750</v>
      </c>
    </row>
    <row r="338" spans="50:50">
      <c r="AX338" s="263" t="s">
        <v>751</v>
      </c>
    </row>
    <row r="339" spans="50:50">
      <c r="AX339" s="263" t="s">
        <v>752</v>
      </c>
    </row>
    <row r="340" spans="50:50" ht="36">
      <c r="AX340" s="264" t="s">
        <v>753</v>
      </c>
    </row>
  </sheetData>
  <autoFilter ref="AM47:AO302" xr:uid="{C3CF14B1-39E4-8840-8B21-63D74B32B4C5}">
    <filterColumn colId="0">
      <filters>
        <filter val="Total Department of Defense"/>
      </filters>
    </filterColumn>
    <filterColumn colId="1">
      <filters>
        <filter val="2017"/>
      </filters>
    </filterColumn>
    <filterColumn colId="2">
      <filters>
        <filter val="Overseas Contingency Ops27"/>
      </filters>
    </filterColumn>
  </autoFilter>
  <mergeCells count="8">
    <mergeCell ref="A17:A21"/>
    <mergeCell ref="A12:A16"/>
    <mergeCell ref="A7:A11"/>
    <mergeCell ref="A2:A6"/>
    <mergeCell ref="A37:A41"/>
    <mergeCell ref="A32:A36"/>
    <mergeCell ref="A27:A31"/>
    <mergeCell ref="A22:A26"/>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7F7F-D9ED-3543-90B2-DF957B0DDA74}">
  <dimension ref="A1:CC114"/>
  <sheetViews>
    <sheetView workbookViewId="0">
      <pane xSplit="1" ySplit="4" topLeftCell="BM13" activePane="bottomRight" state="frozen"/>
      <selection pane="topRight" activeCell="D1" sqref="D1"/>
      <selection pane="bottomLeft" activeCell="A6" sqref="A6"/>
      <selection pane="bottomRight" activeCell="BZ30" sqref="BZ30"/>
    </sheetView>
  </sheetViews>
  <sheetFormatPr baseColWidth="10" defaultColWidth="7.6640625" defaultRowHeight="14"/>
  <cols>
    <col min="1" max="1" width="73.5" style="281" bestFit="1" customWidth="1"/>
    <col min="2" max="2" width="6.83203125" style="281" bestFit="1" customWidth="1"/>
    <col min="3" max="3" width="6" style="281" bestFit="1" customWidth="1"/>
    <col min="4" max="73" width="6.83203125" style="281" bestFit="1" customWidth="1"/>
    <col min="74" max="74" width="8" style="281" bestFit="1" customWidth="1"/>
    <col min="75" max="77" width="6.83203125" style="281" bestFit="1" customWidth="1"/>
    <col min="78" max="16384" width="7.6640625" style="281"/>
  </cols>
  <sheetData>
    <row r="1" spans="1:81">
      <c r="A1" s="280" t="s">
        <v>761</v>
      </c>
      <c r="B1" s="280"/>
      <c r="C1" s="280"/>
      <c r="D1" s="280"/>
      <c r="E1" s="280"/>
      <c r="F1" s="280"/>
      <c r="G1" s="280"/>
      <c r="H1" s="280"/>
      <c r="I1" s="280"/>
      <c r="J1" s="280"/>
      <c r="K1" s="280"/>
      <c r="L1" s="280"/>
    </row>
    <row r="2" spans="1:81">
      <c r="A2" s="282" t="s">
        <v>338</v>
      </c>
      <c r="B2" s="282"/>
      <c r="C2" s="282"/>
      <c r="D2" s="282"/>
      <c r="E2" s="282"/>
      <c r="F2" s="282"/>
      <c r="G2" s="282"/>
      <c r="H2" s="282"/>
      <c r="I2" s="282"/>
      <c r="J2" s="282"/>
      <c r="K2" s="282"/>
      <c r="L2" s="282"/>
    </row>
    <row r="3" spans="1:81" s="184" customFormat="1">
      <c r="A3" s="181" t="s">
        <v>330</v>
      </c>
      <c r="B3" s="182">
        <v>0.1155809367415855</v>
      </c>
      <c r="C3" s="182">
        <v>0.1155809367415855</v>
      </c>
      <c r="D3" s="182">
        <v>0.1154164285595575</v>
      </c>
      <c r="E3" s="182">
        <v>0.1216125401799088</v>
      </c>
      <c r="F3" s="182">
        <v>0.12647908727099641</v>
      </c>
      <c r="G3" s="182">
        <v>0.12878451807334171</v>
      </c>
      <c r="H3" s="182">
        <v>0.1303101081421765</v>
      </c>
      <c r="I3" s="182">
        <v>0.1313264579506041</v>
      </c>
      <c r="J3" s="182">
        <v>0.1347355977692293</v>
      </c>
      <c r="K3" s="182">
        <v>0.1397640790017016</v>
      </c>
      <c r="L3" s="182">
        <v>0.1439828895272503</v>
      </c>
      <c r="M3" s="182">
        <v>0.14619456898458341</v>
      </c>
      <c r="N3" s="182">
        <v>0.14822513788905209</v>
      </c>
      <c r="O3" s="182">
        <v>0.15026209893068071</v>
      </c>
      <c r="P3" s="182">
        <v>0.1518409568091815</v>
      </c>
      <c r="Q3" s="182">
        <v>0.15365845447498611</v>
      </c>
      <c r="R3" s="182">
        <v>0.15553774280000321</v>
      </c>
      <c r="S3" s="182">
        <v>0.1582501396681969</v>
      </c>
      <c r="T3" s="182">
        <v>0.16168484803546179</v>
      </c>
      <c r="U3" s="182">
        <v>0.1666089243609887</v>
      </c>
      <c r="V3" s="182">
        <v>0.1723682399420787</v>
      </c>
      <c r="W3" s="182">
        <v>0.18026466004696939</v>
      </c>
      <c r="X3" s="182">
        <v>0.18993383285754531</v>
      </c>
      <c r="Y3" s="182">
        <v>0.19956891426993481</v>
      </c>
      <c r="Z3" s="182">
        <v>0.20907402222673929</v>
      </c>
      <c r="AA3" s="182">
        <v>0.21811463488325611</v>
      </c>
      <c r="AB3" s="182">
        <v>0.23358786823504141</v>
      </c>
      <c r="AC3" s="182">
        <v>0.25771392458897491</v>
      </c>
      <c r="AD3" s="182">
        <v>0.275620431486304</v>
      </c>
      <c r="AE3" s="182">
        <v>0.29546162523070291</v>
      </c>
      <c r="AF3" s="182">
        <v>0.31533691037328798</v>
      </c>
      <c r="AG3" s="182">
        <v>0.34064764281419369</v>
      </c>
      <c r="AH3" s="233">
        <v>0.37031142066100659</v>
      </c>
      <c r="AI3" s="182">
        <v>0.40657401476924587</v>
      </c>
      <c r="AJ3" s="182">
        <v>0.43447569347230691</v>
      </c>
      <c r="AK3" s="182">
        <v>0.45358392215570131</v>
      </c>
      <c r="AL3" s="182">
        <v>0.46961327144039988</v>
      </c>
      <c r="AM3" s="182">
        <v>0.48516747186287762</v>
      </c>
      <c r="AN3" s="182">
        <v>0.49623226128670322</v>
      </c>
      <c r="AO3" s="182">
        <v>0.50731196569723513</v>
      </c>
      <c r="AP3" s="182">
        <v>0.52370140537527587</v>
      </c>
      <c r="AQ3" s="182">
        <v>0.54456321035287569</v>
      </c>
      <c r="AR3" s="182">
        <v>0.56428721491600942</v>
      </c>
      <c r="AS3" s="182">
        <v>0.5843159113504327</v>
      </c>
      <c r="AT3" s="182">
        <v>0.59862364502672549</v>
      </c>
      <c r="AU3" s="182">
        <v>0.6128333659332329</v>
      </c>
      <c r="AV3" s="182">
        <v>0.62616736404883078</v>
      </c>
      <c r="AW3" s="182">
        <v>0.63943531008044285</v>
      </c>
      <c r="AX3" s="182">
        <v>0.65140139084381743</v>
      </c>
      <c r="AY3" s="182">
        <v>0.66290084559451767</v>
      </c>
      <c r="AZ3" s="182">
        <v>0.67108065044683163</v>
      </c>
      <c r="BA3" s="182">
        <v>0.6795949771438482</v>
      </c>
      <c r="BB3" s="182">
        <v>0.69366194032045059</v>
      </c>
      <c r="BC3" s="182">
        <v>0.71033050332114134</v>
      </c>
      <c r="BD3" s="182">
        <v>0.72177029812501559</v>
      </c>
      <c r="BE3" s="182">
        <v>0.73558157581522121</v>
      </c>
      <c r="BF3" s="182">
        <v>0.75378638244667995</v>
      </c>
      <c r="BG3" s="182">
        <v>0.77750760344715164</v>
      </c>
      <c r="BH3" s="182">
        <v>0.80275228380407149</v>
      </c>
      <c r="BI3" s="182">
        <v>0.82459421647952613</v>
      </c>
      <c r="BJ3" s="182">
        <v>0.84165483055935886</v>
      </c>
      <c r="BK3" s="182">
        <v>0.85147741466177274</v>
      </c>
      <c r="BL3" s="182">
        <v>0.85894343086456204</v>
      </c>
      <c r="BM3" s="182">
        <v>0.87638757317399019</v>
      </c>
      <c r="BN3" s="182">
        <v>0.89246166741880806</v>
      </c>
      <c r="BO3" s="182">
        <v>0.9075385882666781</v>
      </c>
      <c r="BP3" s="182">
        <v>0.9240281714268912</v>
      </c>
      <c r="BQ3" s="182">
        <v>0.9351696664966358</v>
      </c>
      <c r="BR3" s="182">
        <v>0.94602138468179731</v>
      </c>
      <c r="BS3" s="182">
        <v>0.96224036736890672</v>
      </c>
      <c r="BT3" s="183">
        <v>0.9807153483309915</v>
      </c>
      <c r="BU3" s="182">
        <v>1</v>
      </c>
      <c r="BV3" s="182">
        <v>1.0210420632455099</v>
      </c>
      <c r="BW3" s="182">
        <v>1.043176968874127</v>
      </c>
      <c r="BX3" s="182">
        <v>1.065750801254393</v>
      </c>
      <c r="BY3" s="182">
        <v>1.0890130668067819</v>
      </c>
    </row>
    <row r="4" spans="1:81" s="290" customFormat="1" ht="17" customHeight="1">
      <c r="A4" s="283"/>
      <c r="B4" s="284">
        <v>1948</v>
      </c>
      <c r="C4" s="284">
        <v>1949</v>
      </c>
      <c r="D4" s="284">
        <v>1950</v>
      </c>
      <c r="E4" s="284">
        <v>1951</v>
      </c>
      <c r="F4" s="284">
        <v>1952</v>
      </c>
      <c r="G4" s="284">
        <v>1953</v>
      </c>
      <c r="H4" s="284">
        <v>1954</v>
      </c>
      <c r="I4" s="284">
        <v>1955</v>
      </c>
      <c r="J4" s="284">
        <v>1956</v>
      </c>
      <c r="K4" s="284">
        <v>1957</v>
      </c>
      <c r="L4" s="285">
        <v>1958</v>
      </c>
      <c r="M4" s="284">
        <v>1959</v>
      </c>
      <c r="N4" s="284">
        <v>1960</v>
      </c>
      <c r="O4" s="284">
        <v>1961</v>
      </c>
      <c r="P4" s="284">
        <v>1962</v>
      </c>
      <c r="Q4" s="284">
        <v>1963</v>
      </c>
      <c r="R4" s="284">
        <v>1964</v>
      </c>
      <c r="S4" s="284">
        <v>1965</v>
      </c>
      <c r="T4" s="284">
        <v>1966</v>
      </c>
      <c r="U4" s="284">
        <v>1967</v>
      </c>
      <c r="V4" s="284">
        <v>1968</v>
      </c>
      <c r="W4" s="285">
        <v>1969</v>
      </c>
      <c r="X4" s="284">
        <v>1970</v>
      </c>
      <c r="Y4" s="284">
        <v>1971</v>
      </c>
      <c r="Z4" s="284">
        <v>1972</v>
      </c>
      <c r="AA4" s="284">
        <v>1973</v>
      </c>
      <c r="AB4" s="284">
        <v>1974</v>
      </c>
      <c r="AC4" s="284">
        <v>1975</v>
      </c>
      <c r="AD4" s="284">
        <v>1976</v>
      </c>
      <c r="AE4" s="284">
        <v>1977</v>
      </c>
      <c r="AF4" s="284">
        <v>1978</v>
      </c>
      <c r="AG4" s="284">
        <v>1979</v>
      </c>
      <c r="AH4" s="286">
        <v>1980</v>
      </c>
      <c r="AI4" s="287">
        <v>1981</v>
      </c>
      <c r="AJ4" s="286">
        <v>1982</v>
      </c>
      <c r="AK4" s="287">
        <v>1983</v>
      </c>
      <c r="AL4" s="286">
        <v>1984</v>
      </c>
      <c r="AM4" s="287">
        <v>1985</v>
      </c>
      <c r="AN4" s="286">
        <v>1986</v>
      </c>
      <c r="AO4" s="287">
        <v>1987</v>
      </c>
      <c r="AP4" s="286">
        <v>1988</v>
      </c>
      <c r="AQ4" s="287">
        <v>1989</v>
      </c>
      <c r="AR4" s="286">
        <v>1990</v>
      </c>
      <c r="AS4" s="287">
        <v>1991</v>
      </c>
      <c r="AT4" s="286">
        <v>1992</v>
      </c>
      <c r="AU4" s="287">
        <v>1993</v>
      </c>
      <c r="AV4" s="286">
        <v>1994</v>
      </c>
      <c r="AW4" s="287">
        <v>1995</v>
      </c>
      <c r="AX4" s="286">
        <v>1996</v>
      </c>
      <c r="AY4" s="287">
        <v>1997</v>
      </c>
      <c r="AZ4" s="286">
        <v>1998</v>
      </c>
      <c r="BA4" s="287">
        <v>1999</v>
      </c>
      <c r="BB4" s="286">
        <v>2000</v>
      </c>
      <c r="BC4" s="287">
        <v>2001</v>
      </c>
      <c r="BD4" s="286">
        <v>2002</v>
      </c>
      <c r="BE4" s="287">
        <v>2003</v>
      </c>
      <c r="BF4" s="286">
        <v>2004</v>
      </c>
      <c r="BG4" s="287">
        <v>2005</v>
      </c>
      <c r="BH4" s="286">
        <v>2006</v>
      </c>
      <c r="BI4" s="287">
        <v>2007</v>
      </c>
      <c r="BJ4" s="286">
        <v>2008</v>
      </c>
      <c r="BK4" s="287">
        <v>2009</v>
      </c>
      <c r="BL4" s="286">
        <v>2010</v>
      </c>
      <c r="BM4" s="287">
        <v>2011</v>
      </c>
      <c r="BN4" s="286">
        <v>2012</v>
      </c>
      <c r="BO4" s="287">
        <v>2013</v>
      </c>
      <c r="BP4" s="286">
        <v>2014</v>
      </c>
      <c r="BQ4" s="287">
        <v>2015</v>
      </c>
      <c r="BR4" s="286">
        <v>2016</v>
      </c>
      <c r="BS4" s="286">
        <v>2017</v>
      </c>
      <c r="BT4" s="288">
        <v>2018</v>
      </c>
      <c r="BU4" s="289">
        <v>2019</v>
      </c>
      <c r="BV4" s="289">
        <v>2020</v>
      </c>
      <c r="BW4" s="289">
        <v>2021</v>
      </c>
      <c r="BX4" s="289">
        <v>2022</v>
      </c>
      <c r="BY4" s="289">
        <v>2023</v>
      </c>
    </row>
    <row r="5" spans="1:81" s="293" customFormat="1" ht="15" customHeight="1">
      <c r="A5" s="291" t="s">
        <v>773</v>
      </c>
      <c r="B5" s="292"/>
      <c r="C5" s="292"/>
      <c r="D5" s="292"/>
      <c r="E5" s="292"/>
      <c r="F5" s="292"/>
      <c r="G5" s="292"/>
      <c r="H5" s="292"/>
      <c r="I5" s="292"/>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2"/>
      <c r="AJ5" s="292"/>
      <c r="AK5" s="292"/>
      <c r="AL5" s="292"/>
      <c r="AM5" s="292"/>
      <c r="AN5" s="292"/>
      <c r="AO5" s="291"/>
      <c r="AP5" s="291"/>
      <c r="AQ5" s="291"/>
      <c r="AR5" s="291"/>
      <c r="AS5" s="291"/>
      <c r="AT5" s="291"/>
      <c r="AU5" s="291"/>
      <c r="AV5" s="291"/>
      <c r="AW5" s="291"/>
      <c r="AX5" s="291"/>
      <c r="AY5" s="291"/>
      <c r="AZ5" s="291"/>
      <c r="BA5" s="291"/>
      <c r="BB5" s="291"/>
      <c r="BC5" s="291"/>
      <c r="BD5" s="291"/>
      <c r="BE5" s="291"/>
      <c r="BF5" s="291"/>
      <c r="BG5" s="291"/>
      <c r="BH5" s="291"/>
      <c r="BI5" s="291"/>
      <c r="BJ5" s="291"/>
      <c r="BK5" s="291"/>
      <c r="BL5" s="291"/>
      <c r="BM5" s="291"/>
      <c r="BN5" s="291"/>
      <c r="BO5" s="291"/>
      <c r="BP5" s="291"/>
      <c r="BQ5" s="291"/>
      <c r="BR5" s="291"/>
      <c r="BS5" s="291"/>
      <c r="BT5" s="291"/>
      <c r="BU5" s="291"/>
      <c r="BV5" s="291"/>
      <c r="BW5" s="291"/>
    </row>
    <row r="6" spans="1:81" s="298" customFormat="1" ht="15.5" customHeight="1">
      <c r="A6" s="294" t="s">
        <v>372</v>
      </c>
      <c r="B6" s="295">
        <v>4301</v>
      </c>
      <c r="C6" s="295">
        <v>4507</v>
      </c>
      <c r="D6" s="295">
        <v>4891</v>
      </c>
      <c r="E6" s="295">
        <v>8709</v>
      </c>
      <c r="F6" s="295">
        <v>11152</v>
      </c>
      <c r="G6" s="295">
        <v>12130</v>
      </c>
      <c r="H6" s="295">
        <v>11559</v>
      </c>
      <c r="I6" s="295">
        <v>11140</v>
      </c>
      <c r="J6" s="295">
        <v>11058</v>
      </c>
      <c r="K6" s="295">
        <v>11038</v>
      </c>
      <c r="L6" s="295">
        <v>10415</v>
      </c>
      <c r="M6" s="295">
        <v>10823</v>
      </c>
      <c r="N6" s="295">
        <v>10881</v>
      </c>
      <c r="O6" s="295">
        <v>10989</v>
      </c>
      <c r="P6" s="295">
        <v>11790</v>
      </c>
      <c r="Q6" s="295">
        <v>11713</v>
      </c>
      <c r="R6" s="295">
        <v>12655</v>
      </c>
      <c r="S6" s="295">
        <v>13257</v>
      </c>
      <c r="T6" s="295">
        <v>15473</v>
      </c>
      <c r="U6" s="295">
        <v>18377</v>
      </c>
      <c r="V6" s="295">
        <v>20023</v>
      </c>
      <c r="W6" s="295">
        <v>21427</v>
      </c>
      <c r="X6" s="295">
        <v>22995</v>
      </c>
      <c r="Y6" s="295">
        <v>22643</v>
      </c>
      <c r="Z6" s="295">
        <v>22964</v>
      </c>
      <c r="AA6" s="295">
        <v>23727</v>
      </c>
      <c r="AB6" s="295">
        <v>24167</v>
      </c>
      <c r="AC6" s="295">
        <v>24963</v>
      </c>
      <c r="AD6" s="295">
        <v>25430</v>
      </c>
      <c r="AE6" s="295">
        <v>26118</v>
      </c>
      <c r="AF6" s="295">
        <v>27246</v>
      </c>
      <c r="AG6" s="295">
        <v>28703</v>
      </c>
      <c r="AH6" s="295">
        <v>31014</v>
      </c>
      <c r="AI6" s="295">
        <v>36909</v>
      </c>
      <c r="AJ6" s="295">
        <v>42875</v>
      </c>
      <c r="AK6" s="295">
        <v>45688</v>
      </c>
      <c r="AL6" s="295">
        <v>48363</v>
      </c>
      <c r="AM6" s="295">
        <v>67773</v>
      </c>
      <c r="AN6" s="295">
        <v>67794</v>
      </c>
      <c r="AO6" s="295">
        <v>74010</v>
      </c>
      <c r="AP6" s="295">
        <v>76584</v>
      </c>
      <c r="AQ6" s="295">
        <v>78477</v>
      </c>
      <c r="AR6" s="295">
        <v>78876</v>
      </c>
      <c r="AS6" s="295">
        <v>84213</v>
      </c>
      <c r="AT6" s="295">
        <v>81221</v>
      </c>
      <c r="AU6" s="295">
        <v>75974</v>
      </c>
      <c r="AV6" s="295">
        <v>71365</v>
      </c>
      <c r="AW6" s="295">
        <v>71557</v>
      </c>
      <c r="AX6" s="295">
        <v>69775</v>
      </c>
      <c r="AY6" s="295">
        <v>70338</v>
      </c>
      <c r="AZ6" s="295">
        <v>69821</v>
      </c>
      <c r="BA6" s="295">
        <v>70650</v>
      </c>
      <c r="BB6" s="295">
        <v>73838</v>
      </c>
      <c r="BC6" s="295">
        <v>76888</v>
      </c>
      <c r="BD6" s="295">
        <v>86957</v>
      </c>
      <c r="BE6" s="295">
        <v>109062</v>
      </c>
      <c r="BF6" s="295">
        <v>116111</v>
      </c>
      <c r="BG6" s="295">
        <v>121279</v>
      </c>
      <c r="BH6" s="295">
        <v>128483</v>
      </c>
      <c r="BI6" s="295">
        <v>131756</v>
      </c>
      <c r="BJ6" s="295">
        <v>139033</v>
      </c>
      <c r="BK6" s="295">
        <v>149290</v>
      </c>
      <c r="BL6" s="295">
        <v>157100</v>
      </c>
      <c r="BM6" s="295">
        <v>158389</v>
      </c>
      <c r="BN6" s="295">
        <v>158352</v>
      </c>
      <c r="BO6" s="295">
        <v>153531</v>
      </c>
      <c r="BP6" s="295">
        <v>150186</v>
      </c>
      <c r="BQ6" s="295">
        <v>145859</v>
      </c>
      <c r="BR6" s="295">
        <v>145446</v>
      </c>
      <c r="BS6" s="295">
        <v>146147</v>
      </c>
      <c r="BT6" s="295">
        <v>146641</v>
      </c>
      <c r="BU6" s="295">
        <v>161527</v>
      </c>
      <c r="BV6" s="295">
        <v>162604</v>
      </c>
      <c r="BW6" s="295">
        <v>168322</v>
      </c>
      <c r="BX6" s="295">
        <v>173284</v>
      </c>
      <c r="BY6" s="296">
        <v>177663</v>
      </c>
      <c r="BZ6" s="297"/>
    </row>
    <row r="7" spans="1:81" s="298" customFormat="1">
      <c r="A7" s="294" t="s">
        <v>373</v>
      </c>
      <c r="B7" s="299">
        <v>175</v>
      </c>
      <c r="C7" s="299">
        <v>193</v>
      </c>
      <c r="D7" s="299">
        <v>180</v>
      </c>
      <c r="E7" s="299">
        <v>342</v>
      </c>
      <c r="F7" s="299">
        <v>345</v>
      </c>
      <c r="G7" s="299">
        <v>357</v>
      </c>
      <c r="H7" s="299">
        <v>387</v>
      </c>
      <c r="I7" s="299">
        <v>424</v>
      </c>
      <c r="J7" s="299">
        <v>495</v>
      </c>
      <c r="K7" s="299">
        <v>515</v>
      </c>
      <c r="L7" s="299">
        <v>567</v>
      </c>
      <c r="M7" s="299">
        <v>640</v>
      </c>
      <c r="N7" s="299">
        <v>715</v>
      </c>
      <c r="O7" s="299">
        <v>790</v>
      </c>
      <c r="P7" s="299">
        <v>920</v>
      </c>
      <c r="Q7" s="299">
        <v>1026</v>
      </c>
      <c r="R7" s="299">
        <v>1228</v>
      </c>
      <c r="S7" s="299">
        <v>1399</v>
      </c>
      <c r="T7" s="299">
        <v>1600</v>
      </c>
      <c r="U7" s="299">
        <v>1839</v>
      </c>
      <c r="V7" s="299">
        <v>2095</v>
      </c>
      <c r="W7" s="299">
        <v>2450</v>
      </c>
      <c r="X7" s="299">
        <v>2858</v>
      </c>
      <c r="Y7" s="299">
        <v>3391</v>
      </c>
      <c r="Z7" s="299">
        <v>3901</v>
      </c>
      <c r="AA7" s="299">
        <v>4442</v>
      </c>
      <c r="AB7" s="299">
        <v>5151</v>
      </c>
      <c r="AC7" s="299">
        <v>6251</v>
      </c>
      <c r="AD7" s="299">
        <v>7326</v>
      </c>
      <c r="AE7" s="299">
        <v>8238</v>
      </c>
      <c r="AF7" s="299">
        <v>9180</v>
      </c>
      <c r="AG7" s="299">
        <v>10283</v>
      </c>
      <c r="AH7" s="299">
        <v>11965</v>
      </c>
      <c r="AI7" s="299">
        <v>13840</v>
      </c>
      <c r="AJ7" s="299">
        <v>14986</v>
      </c>
      <c r="AK7" s="299">
        <v>16155</v>
      </c>
      <c r="AL7" s="299">
        <v>16503</v>
      </c>
      <c r="AM7" s="299">
        <v>0</v>
      </c>
      <c r="AN7" s="299">
        <v>0</v>
      </c>
      <c r="AO7" s="299">
        <v>0</v>
      </c>
      <c r="AP7" s="299">
        <v>0</v>
      </c>
      <c r="AQ7" s="299">
        <v>0</v>
      </c>
      <c r="AR7" s="299">
        <v>0</v>
      </c>
      <c r="AS7" s="299">
        <v>0</v>
      </c>
      <c r="AT7" s="299"/>
      <c r="AU7" s="299"/>
      <c r="AV7" s="299"/>
      <c r="AW7" s="299"/>
      <c r="AX7" s="299"/>
      <c r="AY7" s="299"/>
      <c r="AZ7" s="299"/>
      <c r="BA7" s="299"/>
      <c r="BB7" s="299"/>
      <c r="BC7" s="299"/>
      <c r="BD7" s="299"/>
      <c r="BE7" s="299"/>
      <c r="BF7" s="299"/>
      <c r="BG7" s="299"/>
      <c r="BH7" s="299"/>
      <c r="BI7" s="299"/>
      <c r="BJ7" s="299"/>
      <c r="BK7" s="299"/>
      <c r="BL7" s="299"/>
      <c r="BM7" s="299"/>
      <c r="BN7" s="299"/>
      <c r="BO7" s="299"/>
      <c r="BP7" s="299"/>
      <c r="BQ7" s="299"/>
      <c r="BR7" s="299"/>
      <c r="BS7" s="299"/>
      <c r="BT7" s="299"/>
      <c r="BU7" s="299"/>
      <c r="BV7" s="299"/>
      <c r="BW7" s="299"/>
      <c r="BX7" s="299"/>
      <c r="BY7" s="300"/>
      <c r="BZ7" s="297"/>
    </row>
    <row r="8" spans="1:81" s="298" customFormat="1">
      <c r="A8" s="294" t="s">
        <v>374</v>
      </c>
      <c r="B8" s="299">
        <v>3858</v>
      </c>
      <c r="C8" s="299">
        <v>4191</v>
      </c>
      <c r="D8" s="299">
        <v>4332</v>
      </c>
      <c r="E8" s="299">
        <v>12116</v>
      </c>
      <c r="F8" s="299">
        <v>12948</v>
      </c>
      <c r="G8" s="299">
        <v>10628</v>
      </c>
      <c r="H8" s="299">
        <v>10295</v>
      </c>
      <c r="I8" s="299">
        <v>8036</v>
      </c>
      <c r="J8" s="299">
        <v>9009</v>
      </c>
      <c r="K8" s="299">
        <v>9526</v>
      </c>
      <c r="L8" s="299">
        <v>10108</v>
      </c>
      <c r="M8" s="299">
        <v>10276</v>
      </c>
      <c r="N8" s="299">
        <v>10317</v>
      </c>
      <c r="O8" s="299">
        <v>10702</v>
      </c>
      <c r="P8" s="299">
        <v>11503</v>
      </c>
      <c r="Q8" s="299">
        <v>11496</v>
      </c>
      <c r="R8" s="299">
        <v>11705</v>
      </c>
      <c r="S8" s="299">
        <v>12603</v>
      </c>
      <c r="T8" s="299">
        <v>15339</v>
      </c>
      <c r="U8" s="299">
        <v>19441</v>
      </c>
      <c r="V8" s="299">
        <v>20961</v>
      </c>
      <c r="W8" s="299">
        <v>22349</v>
      </c>
      <c r="X8" s="299">
        <v>21529</v>
      </c>
      <c r="Y8" s="299">
        <v>20437</v>
      </c>
      <c r="Z8" s="299">
        <v>20804</v>
      </c>
      <c r="AA8" s="299">
        <v>21735</v>
      </c>
      <c r="AB8" s="299">
        <v>23958</v>
      </c>
      <c r="AC8" s="299">
        <v>26109</v>
      </c>
      <c r="AD8" s="299">
        <v>28733</v>
      </c>
      <c r="AE8" s="299">
        <v>32111</v>
      </c>
      <c r="AF8" s="299">
        <v>34734</v>
      </c>
      <c r="AG8" s="299">
        <v>38038</v>
      </c>
      <c r="AH8" s="299">
        <v>46372</v>
      </c>
      <c r="AI8" s="299">
        <v>55551</v>
      </c>
      <c r="AJ8" s="299">
        <v>62469</v>
      </c>
      <c r="AK8" s="299">
        <v>66544</v>
      </c>
      <c r="AL8" s="299">
        <v>70953</v>
      </c>
      <c r="AM8" s="299">
        <v>77812</v>
      </c>
      <c r="AN8" s="299">
        <v>74890</v>
      </c>
      <c r="AO8" s="299">
        <v>79610</v>
      </c>
      <c r="AP8" s="299">
        <v>81629</v>
      </c>
      <c r="AQ8" s="299">
        <v>86221</v>
      </c>
      <c r="AR8" s="299">
        <v>88409</v>
      </c>
      <c r="AS8" s="299">
        <v>117234</v>
      </c>
      <c r="AT8" s="299">
        <v>93791</v>
      </c>
      <c r="AU8" s="299">
        <v>89172</v>
      </c>
      <c r="AV8" s="299">
        <v>88640</v>
      </c>
      <c r="AW8" s="299">
        <v>93751</v>
      </c>
      <c r="AX8" s="299">
        <v>93658</v>
      </c>
      <c r="AY8" s="299">
        <v>92353</v>
      </c>
      <c r="AZ8" s="299">
        <v>97215</v>
      </c>
      <c r="BA8" s="299">
        <v>104992</v>
      </c>
      <c r="BB8" s="299">
        <v>108776</v>
      </c>
      <c r="BC8" s="299">
        <v>125238</v>
      </c>
      <c r="BD8" s="299">
        <v>133851</v>
      </c>
      <c r="BE8" s="299">
        <v>178316</v>
      </c>
      <c r="BF8" s="299">
        <v>189763</v>
      </c>
      <c r="BG8" s="299">
        <v>179215</v>
      </c>
      <c r="BH8" s="299">
        <v>213532</v>
      </c>
      <c r="BI8" s="299">
        <v>240252</v>
      </c>
      <c r="BJ8" s="299">
        <v>256223</v>
      </c>
      <c r="BK8" s="299">
        <v>271564</v>
      </c>
      <c r="BL8" s="299">
        <v>293630</v>
      </c>
      <c r="BM8" s="299">
        <v>305235</v>
      </c>
      <c r="BN8" s="299">
        <v>286775</v>
      </c>
      <c r="BO8" s="299">
        <v>258353</v>
      </c>
      <c r="BP8" s="299">
        <v>262453</v>
      </c>
      <c r="BQ8" s="299">
        <v>246572</v>
      </c>
      <c r="BR8" s="299">
        <v>245150</v>
      </c>
      <c r="BS8" s="299">
        <v>258707</v>
      </c>
      <c r="BT8" s="299">
        <v>262425</v>
      </c>
      <c r="BU8" s="299">
        <v>284553</v>
      </c>
      <c r="BV8" s="299">
        <v>241938</v>
      </c>
      <c r="BW8" s="299">
        <v>250044</v>
      </c>
      <c r="BX8" s="299">
        <v>257481</v>
      </c>
      <c r="BY8" s="300">
        <v>261132</v>
      </c>
      <c r="BZ8" s="297"/>
    </row>
    <row r="9" spans="1:81" s="298" customFormat="1">
      <c r="A9" s="294" t="s">
        <v>375</v>
      </c>
      <c r="B9" s="299">
        <v>3695</v>
      </c>
      <c r="C9" s="299">
        <v>1745</v>
      </c>
      <c r="D9" s="299">
        <v>3728</v>
      </c>
      <c r="E9" s="299">
        <v>22257</v>
      </c>
      <c r="F9" s="299">
        <v>29367</v>
      </c>
      <c r="G9" s="299">
        <v>20766</v>
      </c>
      <c r="H9" s="299">
        <v>9648</v>
      </c>
      <c r="I9" s="299">
        <v>6762</v>
      </c>
      <c r="J9" s="299">
        <v>8016</v>
      </c>
      <c r="K9" s="299">
        <v>9405</v>
      </c>
      <c r="L9" s="299">
        <v>9477</v>
      </c>
      <c r="M9" s="299">
        <v>12709</v>
      </c>
      <c r="N9" s="299">
        <v>11596</v>
      </c>
      <c r="O9" s="299">
        <v>11716</v>
      </c>
      <c r="P9" s="299">
        <v>15746</v>
      </c>
      <c r="Q9" s="299">
        <v>16647</v>
      </c>
      <c r="R9" s="299">
        <v>15645</v>
      </c>
      <c r="S9" s="299">
        <v>13836</v>
      </c>
      <c r="T9" s="299">
        <v>20013</v>
      </c>
      <c r="U9" s="299">
        <v>22871</v>
      </c>
      <c r="V9" s="299">
        <v>23408</v>
      </c>
      <c r="W9" s="299">
        <v>20543</v>
      </c>
      <c r="X9" s="299">
        <v>17867</v>
      </c>
      <c r="Y9" s="299">
        <v>15702</v>
      </c>
      <c r="Z9" s="299">
        <v>17777</v>
      </c>
      <c r="AA9" s="299">
        <v>17473</v>
      </c>
      <c r="AB9" s="299">
        <v>17028</v>
      </c>
      <c r="AC9" s="299">
        <v>16698</v>
      </c>
      <c r="AD9" s="299">
        <v>20991</v>
      </c>
      <c r="AE9" s="299">
        <v>27922</v>
      </c>
      <c r="AF9" s="299">
        <v>29529</v>
      </c>
      <c r="AG9" s="299">
        <v>31428</v>
      </c>
      <c r="AH9" s="299">
        <v>35283</v>
      </c>
      <c r="AI9" s="299">
        <v>48025</v>
      </c>
      <c r="AJ9" s="299">
        <v>64462</v>
      </c>
      <c r="AK9" s="299">
        <v>80355</v>
      </c>
      <c r="AL9" s="299">
        <v>86161</v>
      </c>
      <c r="AM9" s="299">
        <v>96842</v>
      </c>
      <c r="AN9" s="299">
        <v>92506</v>
      </c>
      <c r="AO9" s="299">
        <v>80234</v>
      </c>
      <c r="AP9" s="299">
        <v>80053</v>
      </c>
      <c r="AQ9" s="299">
        <v>79390</v>
      </c>
      <c r="AR9" s="299">
        <v>81376</v>
      </c>
      <c r="AS9" s="299">
        <v>71740</v>
      </c>
      <c r="AT9" s="299">
        <v>62952</v>
      </c>
      <c r="AU9" s="299">
        <v>52789</v>
      </c>
      <c r="AV9" s="299">
        <v>44141</v>
      </c>
      <c r="AW9" s="299">
        <v>43647</v>
      </c>
      <c r="AX9" s="299">
        <v>42572</v>
      </c>
      <c r="AY9" s="299">
        <v>42963</v>
      </c>
      <c r="AZ9" s="299">
        <v>44818</v>
      </c>
      <c r="BA9" s="299">
        <v>51112</v>
      </c>
      <c r="BB9" s="299">
        <v>54973</v>
      </c>
      <c r="BC9" s="299">
        <v>62607</v>
      </c>
      <c r="BD9" s="299">
        <v>62740</v>
      </c>
      <c r="BE9" s="299">
        <v>78490</v>
      </c>
      <c r="BF9" s="299">
        <v>83073</v>
      </c>
      <c r="BG9" s="299">
        <v>96614</v>
      </c>
      <c r="BH9" s="299">
        <v>105371</v>
      </c>
      <c r="BI9" s="299">
        <v>133772</v>
      </c>
      <c r="BJ9" s="299">
        <v>165006</v>
      </c>
      <c r="BK9" s="299">
        <v>135438</v>
      </c>
      <c r="BL9" s="299">
        <v>135817</v>
      </c>
      <c r="BM9" s="299">
        <v>131898</v>
      </c>
      <c r="BN9" s="299">
        <v>118316</v>
      </c>
      <c r="BO9" s="299">
        <v>97763</v>
      </c>
      <c r="BP9" s="299">
        <v>100405</v>
      </c>
      <c r="BQ9" s="299">
        <v>102110</v>
      </c>
      <c r="BR9" s="299">
        <v>118895</v>
      </c>
      <c r="BS9" s="299">
        <v>124337</v>
      </c>
      <c r="BT9" s="299">
        <v>125609</v>
      </c>
      <c r="BU9" s="299">
        <v>144545</v>
      </c>
      <c r="BV9" s="299">
        <v>132139</v>
      </c>
      <c r="BW9" s="299">
        <v>137596</v>
      </c>
      <c r="BX9" s="299">
        <v>141495</v>
      </c>
      <c r="BY9" s="300">
        <v>150121</v>
      </c>
      <c r="BZ9" s="297"/>
    </row>
    <row r="10" spans="1:81" s="298" customFormat="1">
      <c r="A10" s="294" t="s">
        <v>376</v>
      </c>
      <c r="B10" s="299">
        <v>461</v>
      </c>
      <c r="C10" s="299">
        <v>242</v>
      </c>
      <c r="D10" s="299">
        <v>610</v>
      </c>
      <c r="E10" s="299">
        <v>1254</v>
      </c>
      <c r="F10" s="299">
        <v>1755</v>
      </c>
      <c r="G10" s="299">
        <v>2233</v>
      </c>
      <c r="H10" s="299">
        <v>2290</v>
      </c>
      <c r="I10" s="299">
        <v>2335</v>
      </c>
      <c r="J10" s="299">
        <v>3340</v>
      </c>
      <c r="K10" s="299">
        <v>4220</v>
      </c>
      <c r="L10" s="299">
        <v>3964</v>
      </c>
      <c r="M10" s="299">
        <v>5278</v>
      </c>
      <c r="N10" s="299">
        <v>5725</v>
      </c>
      <c r="O10" s="299">
        <v>6033</v>
      </c>
      <c r="P10" s="299">
        <v>6402</v>
      </c>
      <c r="Q10" s="299">
        <v>6993</v>
      </c>
      <c r="R10" s="299">
        <v>6984</v>
      </c>
      <c r="S10" s="299">
        <v>6483</v>
      </c>
      <c r="T10" s="299">
        <v>6746</v>
      </c>
      <c r="U10" s="299">
        <v>7172</v>
      </c>
      <c r="V10" s="299">
        <v>7285</v>
      </c>
      <c r="W10" s="299">
        <v>7629</v>
      </c>
      <c r="X10" s="299">
        <v>7406</v>
      </c>
      <c r="Y10" s="299">
        <v>7066</v>
      </c>
      <c r="Z10" s="299">
        <v>7519</v>
      </c>
      <c r="AA10" s="299">
        <v>7960</v>
      </c>
      <c r="AB10" s="299">
        <v>8176</v>
      </c>
      <c r="AC10" s="299">
        <v>8572</v>
      </c>
      <c r="AD10" s="299">
        <v>9451</v>
      </c>
      <c r="AE10" s="299">
        <v>10439</v>
      </c>
      <c r="AF10" s="299">
        <v>11371</v>
      </c>
      <c r="AG10" s="299">
        <v>12437</v>
      </c>
      <c r="AH10" s="299">
        <v>13561</v>
      </c>
      <c r="AI10" s="299">
        <v>16609</v>
      </c>
      <c r="AJ10" s="299">
        <v>20060</v>
      </c>
      <c r="AK10" s="299">
        <v>22798</v>
      </c>
      <c r="AL10" s="299">
        <v>26867</v>
      </c>
      <c r="AM10" s="299">
        <v>31327</v>
      </c>
      <c r="AN10" s="299">
        <v>33609</v>
      </c>
      <c r="AO10" s="299">
        <v>35644</v>
      </c>
      <c r="AP10" s="299">
        <v>36521</v>
      </c>
      <c r="AQ10" s="299">
        <v>37530</v>
      </c>
      <c r="AR10" s="299">
        <v>36459</v>
      </c>
      <c r="AS10" s="299">
        <v>36193</v>
      </c>
      <c r="AT10" s="299">
        <v>36623</v>
      </c>
      <c r="AU10" s="299">
        <v>37974</v>
      </c>
      <c r="AV10" s="299">
        <v>34567</v>
      </c>
      <c r="AW10" s="299">
        <v>34522</v>
      </c>
      <c r="AX10" s="299">
        <v>34972</v>
      </c>
      <c r="AY10" s="299">
        <v>36404</v>
      </c>
      <c r="AZ10" s="299">
        <v>37089</v>
      </c>
      <c r="BA10" s="299">
        <v>38290</v>
      </c>
      <c r="BB10" s="299">
        <v>38706</v>
      </c>
      <c r="BC10" s="299">
        <v>41594</v>
      </c>
      <c r="BD10" s="299">
        <v>48718</v>
      </c>
      <c r="BE10" s="299">
        <v>58103</v>
      </c>
      <c r="BF10" s="299">
        <v>64641</v>
      </c>
      <c r="BG10" s="299">
        <v>68825</v>
      </c>
      <c r="BH10" s="299">
        <v>72855</v>
      </c>
      <c r="BI10" s="299">
        <v>77549</v>
      </c>
      <c r="BJ10" s="299">
        <v>79567</v>
      </c>
      <c r="BK10" s="299">
        <v>80005</v>
      </c>
      <c r="BL10" s="299">
        <v>80234</v>
      </c>
      <c r="BM10" s="299">
        <v>76687</v>
      </c>
      <c r="BN10" s="299">
        <v>72034</v>
      </c>
      <c r="BO10" s="299">
        <v>63347</v>
      </c>
      <c r="BP10" s="299">
        <v>63483</v>
      </c>
      <c r="BQ10" s="299">
        <v>63869</v>
      </c>
      <c r="BR10" s="299">
        <v>69543</v>
      </c>
      <c r="BS10" s="299">
        <v>74129</v>
      </c>
      <c r="BT10" s="299">
        <v>74853</v>
      </c>
      <c r="BU10" s="299">
        <v>92634</v>
      </c>
      <c r="BV10" s="299">
        <v>89926</v>
      </c>
      <c r="BW10" s="299">
        <v>90722</v>
      </c>
      <c r="BX10" s="299">
        <v>87426</v>
      </c>
      <c r="BY10" s="300">
        <v>85640</v>
      </c>
      <c r="BZ10" s="297"/>
    </row>
    <row r="11" spans="1:81" s="298" customFormat="1">
      <c r="A11" s="294" t="s">
        <v>377</v>
      </c>
      <c r="B11" s="299">
        <v>253</v>
      </c>
      <c r="C11" s="299">
        <v>127</v>
      </c>
      <c r="D11" s="299">
        <v>388</v>
      </c>
      <c r="E11" s="299">
        <v>2471</v>
      </c>
      <c r="F11" s="299">
        <v>4037</v>
      </c>
      <c r="G11" s="299">
        <v>2336</v>
      </c>
      <c r="H11" s="299">
        <v>313</v>
      </c>
      <c r="I11" s="299">
        <v>896</v>
      </c>
      <c r="J11" s="299">
        <v>1269</v>
      </c>
      <c r="K11" s="299">
        <v>1475</v>
      </c>
      <c r="L11" s="299">
        <v>2086</v>
      </c>
      <c r="M11" s="299">
        <v>1384</v>
      </c>
      <c r="N11" s="299">
        <v>1364</v>
      </c>
      <c r="O11" s="299">
        <v>1061</v>
      </c>
      <c r="P11" s="299">
        <v>787</v>
      </c>
      <c r="Q11" s="299">
        <v>1204</v>
      </c>
      <c r="R11" s="299">
        <v>949</v>
      </c>
      <c r="S11" s="299">
        <v>1049</v>
      </c>
      <c r="T11" s="299">
        <v>2566</v>
      </c>
      <c r="U11" s="299">
        <v>1098</v>
      </c>
      <c r="V11" s="299">
        <v>1543</v>
      </c>
      <c r="W11" s="299">
        <v>1168</v>
      </c>
      <c r="X11" s="299">
        <v>960</v>
      </c>
      <c r="Y11" s="299">
        <v>1322</v>
      </c>
      <c r="Z11" s="299">
        <v>1287</v>
      </c>
      <c r="AA11" s="299">
        <v>1356</v>
      </c>
      <c r="AB11" s="299">
        <v>1563</v>
      </c>
      <c r="AC11" s="299">
        <v>1927</v>
      </c>
      <c r="AD11" s="299">
        <v>2360</v>
      </c>
      <c r="AE11" s="299">
        <v>2204</v>
      </c>
      <c r="AF11" s="299">
        <v>1641</v>
      </c>
      <c r="AG11" s="299">
        <v>2319</v>
      </c>
      <c r="AH11" s="299">
        <v>2293</v>
      </c>
      <c r="AI11" s="299">
        <v>3398</v>
      </c>
      <c r="AJ11" s="299">
        <v>4916</v>
      </c>
      <c r="AK11" s="299">
        <v>4512</v>
      </c>
      <c r="AL11" s="299">
        <v>4510</v>
      </c>
      <c r="AM11" s="299">
        <v>5517</v>
      </c>
      <c r="AN11" s="299">
        <v>5281</v>
      </c>
      <c r="AO11" s="299">
        <v>5093</v>
      </c>
      <c r="AP11" s="299">
        <v>5349</v>
      </c>
      <c r="AQ11" s="299">
        <v>5738</v>
      </c>
      <c r="AR11" s="299">
        <v>5130</v>
      </c>
      <c r="AS11" s="299">
        <v>5188</v>
      </c>
      <c r="AT11" s="299">
        <v>5254</v>
      </c>
      <c r="AU11" s="299">
        <v>4554</v>
      </c>
      <c r="AV11" s="299">
        <v>6009</v>
      </c>
      <c r="AW11" s="299">
        <v>5426</v>
      </c>
      <c r="AX11" s="299">
        <v>6893</v>
      </c>
      <c r="AY11" s="299">
        <v>5718</v>
      </c>
      <c r="AZ11" s="299">
        <v>5466</v>
      </c>
      <c r="BA11" s="299">
        <v>5405</v>
      </c>
      <c r="BB11" s="299">
        <v>5106</v>
      </c>
      <c r="BC11" s="299">
        <v>5423</v>
      </c>
      <c r="BD11" s="299">
        <v>6631</v>
      </c>
      <c r="BE11" s="299">
        <v>6670</v>
      </c>
      <c r="BF11" s="299">
        <v>6137</v>
      </c>
      <c r="BG11" s="299">
        <v>7260</v>
      </c>
      <c r="BH11" s="299">
        <v>9530</v>
      </c>
      <c r="BI11" s="299">
        <v>13961</v>
      </c>
      <c r="BJ11" s="299">
        <v>22064</v>
      </c>
      <c r="BK11" s="299">
        <v>26815</v>
      </c>
      <c r="BL11" s="299">
        <v>22577</v>
      </c>
      <c r="BM11" s="299">
        <v>15991</v>
      </c>
      <c r="BN11" s="299">
        <v>11367</v>
      </c>
      <c r="BO11" s="299">
        <v>8068</v>
      </c>
      <c r="BP11" s="299">
        <v>8392</v>
      </c>
      <c r="BQ11" s="299">
        <v>5652</v>
      </c>
      <c r="BR11" s="299">
        <v>6927</v>
      </c>
      <c r="BS11" s="299">
        <v>6894</v>
      </c>
      <c r="BT11" s="299">
        <v>7080</v>
      </c>
      <c r="BU11" s="299">
        <v>9801</v>
      </c>
      <c r="BV11" s="299">
        <v>9850</v>
      </c>
      <c r="BW11" s="299">
        <v>9853</v>
      </c>
      <c r="BX11" s="299">
        <v>10485</v>
      </c>
      <c r="BY11" s="300">
        <v>10202</v>
      </c>
      <c r="BZ11" s="297"/>
    </row>
    <row r="12" spans="1:81" s="298" customFormat="1">
      <c r="A12" s="294" t="s">
        <v>378</v>
      </c>
      <c r="B12" s="299">
        <v>0</v>
      </c>
      <c r="C12" s="299">
        <v>0</v>
      </c>
      <c r="D12" s="299">
        <v>0</v>
      </c>
      <c r="E12" s="299">
        <v>0</v>
      </c>
      <c r="F12" s="299">
        <v>0</v>
      </c>
      <c r="G12" s="299">
        <v>0</v>
      </c>
      <c r="H12" s="299">
        <v>0</v>
      </c>
      <c r="I12" s="299">
        <v>75</v>
      </c>
      <c r="J12" s="299">
        <v>0</v>
      </c>
      <c r="K12" s="299">
        <v>75</v>
      </c>
      <c r="L12" s="299">
        <v>55</v>
      </c>
      <c r="M12" s="299">
        <v>57</v>
      </c>
      <c r="N12" s="299">
        <v>30</v>
      </c>
      <c r="O12" s="299">
        <v>30</v>
      </c>
      <c r="P12" s="299">
        <v>440</v>
      </c>
      <c r="Q12" s="299">
        <v>590</v>
      </c>
      <c r="R12" s="299">
        <v>644</v>
      </c>
      <c r="S12" s="299">
        <v>631</v>
      </c>
      <c r="T12" s="299">
        <v>666</v>
      </c>
      <c r="U12" s="299">
        <v>507</v>
      </c>
      <c r="V12" s="299">
        <v>612</v>
      </c>
      <c r="W12" s="299">
        <v>512</v>
      </c>
      <c r="X12" s="299">
        <v>604</v>
      </c>
      <c r="Y12" s="299">
        <v>717</v>
      </c>
      <c r="Z12" s="299">
        <v>860</v>
      </c>
      <c r="AA12" s="299">
        <v>967</v>
      </c>
      <c r="AB12" s="299">
        <v>1099</v>
      </c>
      <c r="AC12" s="299">
        <v>1157</v>
      </c>
      <c r="AD12" s="299">
        <v>1229</v>
      </c>
      <c r="AE12" s="299">
        <v>1258</v>
      </c>
      <c r="AF12" s="299">
        <v>1346</v>
      </c>
      <c r="AG12" s="299">
        <v>1563</v>
      </c>
      <c r="AH12" s="299">
        <v>1526</v>
      </c>
      <c r="AI12" s="299">
        <v>2004</v>
      </c>
      <c r="AJ12" s="299">
        <v>2203</v>
      </c>
      <c r="AK12" s="299">
        <v>2712</v>
      </c>
      <c r="AL12" s="299">
        <v>2669</v>
      </c>
      <c r="AM12" s="299">
        <v>2890</v>
      </c>
      <c r="AN12" s="299">
        <v>2803</v>
      </c>
      <c r="AO12" s="299">
        <v>3075</v>
      </c>
      <c r="AP12" s="299">
        <v>3199</v>
      </c>
      <c r="AQ12" s="299">
        <v>3276</v>
      </c>
      <c r="AR12" s="299">
        <v>3143</v>
      </c>
      <c r="AS12" s="299">
        <v>3296</v>
      </c>
      <c r="AT12" s="299">
        <v>3738</v>
      </c>
      <c r="AU12" s="299">
        <v>3941</v>
      </c>
      <c r="AV12" s="299">
        <v>3501</v>
      </c>
      <c r="AW12" s="299">
        <v>3393</v>
      </c>
      <c r="AX12" s="299">
        <v>4260</v>
      </c>
      <c r="AY12" s="299">
        <v>4131</v>
      </c>
      <c r="AZ12" s="299">
        <v>3828</v>
      </c>
      <c r="BA12" s="299">
        <v>3592</v>
      </c>
      <c r="BB12" s="299">
        <v>3543</v>
      </c>
      <c r="BC12" s="299">
        <v>3683</v>
      </c>
      <c r="BD12" s="299">
        <v>4048</v>
      </c>
      <c r="BE12" s="299">
        <v>4183</v>
      </c>
      <c r="BF12" s="299">
        <v>3829</v>
      </c>
      <c r="BG12" s="299">
        <v>4098</v>
      </c>
      <c r="BH12" s="299">
        <v>4426</v>
      </c>
      <c r="BI12" s="299">
        <v>4024</v>
      </c>
      <c r="BJ12" s="299">
        <v>2846</v>
      </c>
      <c r="BK12" s="299">
        <v>3848</v>
      </c>
      <c r="BL12" s="299">
        <v>2267</v>
      </c>
      <c r="BM12" s="299">
        <v>1833</v>
      </c>
      <c r="BN12" s="299">
        <v>1690</v>
      </c>
      <c r="BO12" s="299">
        <v>1489</v>
      </c>
      <c r="BP12" s="299">
        <v>1417</v>
      </c>
      <c r="BQ12" s="299">
        <v>1140</v>
      </c>
      <c r="BR12" s="299">
        <v>1253</v>
      </c>
      <c r="BS12" s="299">
        <v>1335</v>
      </c>
      <c r="BT12" s="299">
        <v>1276</v>
      </c>
      <c r="BU12" s="299">
        <v>1583</v>
      </c>
      <c r="BV12" s="299">
        <v>1379</v>
      </c>
      <c r="BW12" s="299">
        <v>1381</v>
      </c>
      <c r="BX12" s="299">
        <v>1471</v>
      </c>
      <c r="BY12" s="300">
        <v>1415</v>
      </c>
      <c r="BZ12" s="297"/>
    </row>
    <row r="13" spans="1:81" s="298" customFormat="1" ht="15" thickBot="1">
      <c r="A13" s="294" t="s">
        <v>379</v>
      </c>
      <c r="B13" s="299">
        <v>0</v>
      </c>
      <c r="C13" s="299">
        <v>0</v>
      </c>
      <c r="D13" s="299">
        <v>168</v>
      </c>
      <c r="E13" s="299">
        <v>574</v>
      </c>
      <c r="F13" s="299">
        <v>775</v>
      </c>
      <c r="G13" s="299">
        <v>360</v>
      </c>
      <c r="H13" s="299">
        <v>100</v>
      </c>
      <c r="I13" s="299">
        <v>1119</v>
      </c>
      <c r="J13" s="299">
        <v>0</v>
      </c>
      <c r="K13" s="299">
        <v>0</v>
      </c>
      <c r="L13" s="299">
        <v>75</v>
      </c>
      <c r="M13" s="299">
        <v>0</v>
      </c>
      <c r="N13" s="299">
        <v>0</v>
      </c>
      <c r="O13" s="299">
        <v>0</v>
      </c>
      <c r="P13" s="299">
        <v>325</v>
      </c>
      <c r="Q13" s="299">
        <v>1</v>
      </c>
      <c r="R13" s="299">
        <v>0</v>
      </c>
      <c r="S13" s="299">
        <v>0</v>
      </c>
      <c r="T13" s="299">
        <v>1383</v>
      </c>
      <c r="U13" s="299">
        <v>1014</v>
      </c>
      <c r="V13" s="299">
        <v>516</v>
      </c>
      <c r="W13" s="299">
        <v>961</v>
      </c>
      <c r="X13" s="299">
        <v>5</v>
      </c>
      <c r="Y13" s="299">
        <v>0</v>
      </c>
      <c r="Z13" s="299">
        <v>0</v>
      </c>
      <c r="AA13" s="299">
        <v>0</v>
      </c>
      <c r="AB13" s="299">
        <v>0</v>
      </c>
      <c r="AC13" s="299">
        <v>158</v>
      </c>
      <c r="AD13" s="299">
        <v>135</v>
      </c>
      <c r="AE13" s="299">
        <v>220</v>
      </c>
      <c r="AF13" s="299">
        <v>423</v>
      </c>
      <c r="AG13" s="299">
        <v>726</v>
      </c>
      <c r="AH13" s="299">
        <v>1336</v>
      </c>
      <c r="AI13" s="299">
        <v>2677</v>
      </c>
      <c r="AJ13" s="299">
        <v>2494</v>
      </c>
      <c r="AK13" s="299">
        <v>1075</v>
      </c>
      <c r="AL13" s="299">
        <v>2774</v>
      </c>
      <c r="AM13" s="299">
        <v>5088</v>
      </c>
      <c r="AN13" s="299">
        <v>5235</v>
      </c>
      <c r="AO13" s="299">
        <v>2612</v>
      </c>
      <c r="AP13" s="299">
        <v>1246</v>
      </c>
      <c r="AQ13" s="299">
        <v>897</v>
      </c>
      <c r="AR13" s="299">
        <v>466</v>
      </c>
      <c r="AS13" s="299">
        <v>2701</v>
      </c>
      <c r="AT13" s="299">
        <v>4587</v>
      </c>
      <c r="AU13" s="299">
        <v>4503</v>
      </c>
      <c r="AV13" s="299">
        <v>4054</v>
      </c>
      <c r="AW13" s="299">
        <v>5260</v>
      </c>
      <c r="AX13" s="299">
        <v>3061</v>
      </c>
      <c r="AY13" s="299">
        <v>7534</v>
      </c>
      <c r="AZ13" s="299">
        <v>2591</v>
      </c>
      <c r="BA13" s="299">
        <v>5381</v>
      </c>
      <c r="BB13" s="299">
        <v>7314</v>
      </c>
      <c r="BC13" s="299">
        <v>5333</v>
      </c>
      <c r="BD13" s="299">
        <v>4389</v>
      </c>
      <c r="BE13" s="299">
        <v>4154</v>
      </c>
      <c r="BF13" s="299">
        <v>7977</v>
      </c>
      <c r="BG13" s="299">
        <v>7880</v>
      </c>
      <c r="BH13" s="299">
        <v>4754</v>
      </c>
      <c r="BI13" s="299">
        <v>2836</v>
      </c>
      <c r="BJ13" s="299">
        <v>10296</v>
      </c>
      <c r="BK13" s="299">
        <v>-1217</v>
      </c>
      <c r="BL13" s="299">
        <v>5639</v>
      </c>
      <c r="BM13" s="299">
        <v>2832</v>
      </c>
      <c r="BN13" s="299">
        <v>7311</v>
      </c>
      <c r="BO13" s="299">
        <v>4482</v>
      </c>
      <c r="BP13" s="299">
        <v>11290</v>
      </c>
      <c r="BQ13" s="299">
        <v>7478</v>
      </c>
      <c r="BR13" s="299">
        <v>9305</v>
      </c>
      <c r="BS13" s="299">
        <v>15134</v>
      </c>
      <c r="BT13" s="299">
        <v>1928</v>
      </c>
      <c r="BU13" s="299">
        <v>1557</v>
      </c>
      <c r="BV13" s="299">
        <v>242</v>
      </c>
      <c r="BW13" s="299">
        <v>273</v>
      </c>
      <c r="BX13" s="299">
        <v>239</v>
      </c>
      <c r="BY13" s="300">
        <v>235</v>
      </c>
      <c r="BZ13" s="297"/>
    </row>
    <row r="14" spans="1:81" s="302" customFormat="1" ht="15" thickBot="1">
      <c r="A14" s="294" t="s">
        <v>380</v>
      </c>
      <c r="B14" s="299">
        <v>-943</v>
      </c>
      <c r="C14" s="299">
        <v>-572</v>
      </c>
      <c r="D14" s="299">
        <v>-212</v>
      </c>
      <c r="E14" s="299">
        <v>-189</v>
      </c>
      <c r="F14" s="299">
        <v>-183</v>
      </c>
      <c r="G14" s="299">
        <v>-206</v>
      </c>
      <c r="H14" s="299">
        <v>-273</v>
      </c>
      <c r="I14" s="299">
        <v>-362</v>
      </c>
      <c r="J14" s="299">
        <v>-396</v>
      </c>
      <c r="K14" s="299">
        <v>-339</v>
      </c>
      <c r="L14" s="299">
        <v>224</v>
      </c>
      <c r="M14" s="299">
        <v>234</v>
      </c>
      <c r="N14" s="299">
        <v>279</v>
      </c>
      <c r="O14" s="299">
        <v>65</v>
      </c>
      <c r="P14" s="299">
        <v>101</v>
      </c>
      <c r="Q14" s="299">
        <v>-109</v>
      </c>
      <c r="R14" s="299">
        <v>-183</v>
      </c>
      <c r="S14" s="299">
        <v>-200</v>
      </c>
      <c r="T14" s="299">
        <v>-231</v>
      </c>
      <c r="U14" s="299">
        <v>-143</v>
      </c>
      <c r="V14" s="299">
        <v>-157</v>
      </c>
      <c r="W14" s="299">
        <v>-133</v>
      </c>
      <c r="X14" s="299">
        <v>-140</v>
      </c>
      <c r="Y14" s="299">
        <v>-119</v>
      </c>
      <c r="Z14" s="299">
        <v>-106</v>
      </c>
      <c r="AA14" s="299">
        <v>-105</v>
      </c>
      <c r="AB14" s="299">
        <v>-152</v>
      </c>
      <c r="AC14" s="299">
        <v>-174</v>
      </c>
      <c r="AD14" s="299">
        <v>-147</v>
      </c>
      <c r="AE14" s="299">
        <v>-172</v>
      </c>
      <c r="AF14" s="299">
        <v>-148</v>
      </c>
      <c r="AG14" s="299">
        <v>-492</v>
      </c>
      <c r="AH14" s="299">
        <v>-727</v>
      </c>
      <c r="AI14" s="299">
        <v>-649</v>
      </c>
      <c r="AJ14" s="299">
        <v>-714</v>
      </c>
      <c r="AK14" s="299">
        <v>-365</v>
      </c>
      <c r="AL14" s="299">
        <v>-650</v>
      </c>
      <c r="AM14" s="299">
        <v>-447</v>
      </c>
      <c r="AN14" s="299">
        <v>-729</v>
      </c>
      <c r="AO14" s="299">
        <v>-809</v>
      </c>
      <c r="AP14" s="299">
        <v>-827</v>
      </c>
      <c r="AQ14" s="299">
        <v>-693</v>
      </c>
      <c r="AR14" s="299">
        <v>-859</v>
      </c>
      <c r="AS14" s="299">
        <v>-44358</v>
      </c>
      <c r="AT14" s="299">
        <v>-6283</v>
      </c>
      <c r="AU14" s="299">
        <v>-1504</v>
      </c>
      <c r="AV14" s="299">
        <v>-914</v>
      </c>
      <c r="AW14" s="299">
        <v>-1828</v>
      </c>
      <c r="AX14" s="299">
        <v>-622</v>
      </c>
      <c r="AY14" s="299">
        <v>-1436</v>
      </c>
      <c r="AZ14" s="299">
        <v>-2245</v>
      </c>
      <c r="BA14" s="299">
        <v>-827</v>
      </c>
      <c r="BB14" s="299">
        <v>-1721</v>
      </c>
      <c r="BC14" s="299">
        <v>-1338</v>
      </c>
      <c r="BD14" s="299">
        <v>-1702</v>
      </c>
      <c r="BE14" s="299">
        <v>-1178</v>
      </c>
      <c r="BF14" s="299">
        <v>-521</v>
      </c>
      <c r="BG14" s="299">
        <v>-1259</v>
      </c>
      <c r="BH14" s="299">
        <v>-2489</v>
      </c>
      <c r="BI14" s="299">
        <v>-1905</v>
      </c>
      <c r="BJ14" s="299">
        <v>-1549</v>
      </c>
      <c r="BK14" s="299">
        <v>-1219</v>
      </c>
      <c r="BL14" s="299">
        <v>-1590</v>
      </c>
      <c r="BM14" s="300">
        <v>-2086</v>
      </c>
      <c r="BN14" s="400">
        <v>-456</v>
      </c>
      <c r="BO14" s="399">
        <v>-1672</v>
      </c>
      <c r="BP14" s="299">
        <v>-1886</v>
      </c>
      <c r="BQ14" s="299">
        <v>-1837</v>
      </c>
      <c r="BR14" s="299">
        <v>-794</v>
      </c>
      <c r="BS14" s="299">
        <v>-444</v>
      </c>
      <c r="BT14" s="299">
        <v>-1168</v>
      </c>
      <c r="BU14" s="299">
        <v>-1134</v>
      </c>
      <c r="BV14" s="299">
        <v>-928</v>
      </c>
      <c r="BW14" s="299">
        <v>-1178</v>
      </c>
      <c r="BX14" s="299">
        <v>-1146</v>
      </c>
      <c r="BY14" s="300">
        <v>-1428</v>
      </c>
      <c r="BZ14" s="301"/>
    </row>
    <row r="15" spans="1:81" s="298" customFormat="1">
      <c r="A15" s="298" t="s">
        <v>762</v>
      </c>
      <c r="B15" s="299"/>
      <c r="C15" s="299"/>
      <c r="D15" s="299"/>
      <c r="E15" s="299"/>
      <c r="F15" s="299"/>
      <c r="G15" s="299"/>
      <c r="H15" s="299"/>
      <c r="I15" s="299"/>
      <c r="J15" s="299"/>
      <c r="K15" s="299"/>
      <c r="L15" s="299"/>
      <c r="M15" s="299"/>
      <c r="N15" s="299"/>
      <c r="O15" s="299"/>
      <c r="P15" s="299"/>
      <c r="Q15" s="299"/>
      <c r="R15" s="299"/>
      <c r="S15" s="299"/>
      <c r="T15" s="299"/>
      <c r="U15" s="299"/>
      <c r="V15" s="299"/>
      <c r="W15" s="299"/>
      <c r="X15" s="299"/>
      <c r="Y15" s="299"/>
      <c r="Z15" s="299"/>
      <c r="AA15" s="299"/>
      <c r="AB15" s="299"/>
      <c r="AC15" s="299"/>
      <c r="AD15" s="299"/>
      <c r="AE15" s="299"/>
      <c r="AF15" s="299"/>
      <c r="AG15" s="299"/>
      <c r="AH15" s="299"/>
      <c r="AI15" s="299"/>
      <c r="AJ15" s="299"/>
      <c r="AK15" s="299"/>
      <c r="AL15" s="299"/>
      <c r="AM15" s="299"/>
      <c r="AN15" s="299"/>
      <c r="AO15" s="299"/>
      <c r="AP15" s="299"/>
      <c r="AQ15" s="299"/>
      <c r="AR15" s="299"/>
      <c r="AS15" s="299"/>
      <c r="AT15" s="299"/>
      <c r="AU15" s="299"/>
      <c r="AV15" s="299"/>
      <c r="AW15" s="299"/>
      <c r="AX15" s="299"/>
      <c r="AY15" s="299"/>
      <c r="AZ15" s="299"/>
      <c r="BA15" s="299"/>
      <c r="BB15" s="299"/>
      <c r="BC15" s="299"/>
      <c r="BD15" s="299"/>
      <c r="BE15" s="299"/>
      <c r="BF15" s="299"/>
      <c r="BG15" s="299"/>
      <c r="BH15" s="299"/>
      <c r="BI15" s="299"/>
      <c r="BJ15" s="299"/>
      <c r="BK15" s="299"/>
      <c r="BL15" s="299"/>
      <c r="BM15" s="299"/>
      <c r="BN15" s="299"/>
      <c r="BO15" s="299"/>
      <c r="BP15" s="299"/>
      <c r="BQ15" s="299"/>
      <c r="BR15" s="299"/>
      <c r="BS15" s="299"/>
      <c r="BT15" s="299"/>
      <c r="BU15" s="299"/>
      <c r="BV15" s="299">
        <v>53000</v>
      </c>
      <c r="BW15" s="299">
        <v>45800</v>
      </c>
      <c r="BX15" s="299">
        <v>45800</v>
      </c>
      <c r="BY15" s="300">
        <v>45800</v>
      </c>
      <c r="BZ15" s="297">
        <f>AVERAGE(BV15:BY15)</f>
        <v>47600</v>
      </c>
      <c r="CA15" s="297"/>
      <c r="CB15" s="297"/>
      <c r="CC15" s="297"/>
    </row>
    <row r="16" spans="1:81" s="298" customFormat="1">
      <c r="A16" s="298" t="s">
        <v>763</v>
      </c>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c r="AA16" s="303"/>
      <c r="AB16" s="303"/>
      <c r="AC16" s="303"/>
      <c r="AD16" s="303"/>
      <c r="AE16" s="303"/>
      <c r="AF16" s="303"/>
      <c r="AG16" s="303"/>
      <c r="AH16" s="303"/>
      <c r="AI16" s="303"/>
      <c r="AJ16" s="303"/>
      <c r="AK16" s="303"/>
      <c r="AL16" s="303"/>
      <c r="AM16" s="303"/>
      <c r="AN16" s="303"/>
      <c r="AO16" s="303"/>
      <c r="AP16" s="303"/>
      <c r="AQ16" s="303"/>
      <c r="AR16" s="303">
        <f>OCO_DoD_BA!C11*1000</f>
        <v>2028</v>
      </c>
      <c r="AS16" s="303">
        <f>OCO_DoD_BA!D11*1000</f>
        <v>35843</v>
      </c>
      <c r="AT16" s="303">
        <f>OCO_DoD_BA!E11*1000</f>
        <v>12597</v>
      </c>
      <c r="AU16" s="303"/>
      <c r="AV16" s="303"/>
      <c r="AW16" s="303"/>
      <c r="AX16" s="303"/>
      <c r="AY16" s="303"/>
      <c r="AZ16" s="303"/>
      <c r="BA16" s="303"/>
      <c r="BB16" s="303"/>
      <c r="BC16" s="299">
        <f>OCO_DoD_BA!G11*1000</f>
        <v>28773.999999999996</v>
      </c>
      <c r="BD16" s="299">
        <f>OCO_DoD_BA!H11*1000</f>
        <v>16870</v>
      </c>
      <c r="BE16" s="299">
        <f>OCO_DoD_BA!I11*1000</f>
        <v>72535</v>
      </c>
      <c r="BF16" s="299">
        <f>OCO_DoD_BA!J11*1000</f>
        <v>91088.000000000015</v>
      </c>
      <c r="BG16" s="299">
        <f>OCO_DoD_BA!K11*1000</f>
        <v>78842.999999999985</v>
      </c>
      <c r="BH16" s="299">
        <f>OCO_DoD_BA!L11*1000</f>
        <v>123916.99999999999</v>
      </c>
      <c r="BI16" s="299">
        <f>OCO_DoD_BA!M11*1000</f>
        <v>169409</v>
      </c>
      <c r="BJ16" s="299">
        <f>OCO_DoD_BA!N11*1000</f>
        <v>186908.00000000003</v>
      </c>
      <c r="BK16" s="299">
        <f>OCO_DoD_BA!O11*1000</f>
        <v>153124.99999999997</v>
      </c>
      <c r="BL16" s="299">
        <f>OCO_DoD_BA!P11*1000</f>
        <v>163044</v>
      </c>
      <c r="BM16" s="299">
        <f>OCO_DoD_BA!Q11*1000</f>
        <v>158788</v>
      </c>
      <c r="BN16" s="299">
        <f>OCO_DoD_BA!R11*1000</f>
        <v>115081.99999999999</v>
      </c>
      <c r="BO16" s="299">
        <f>OCO_DoD_BA!S11*1000</f>
        <v>82085.000000000015</v>
      </c>
      <c r="BP16" s="299">
        <f>OCO_DoD_BA!T11*1000</f>
        <v>85155</v>
      </c>
      <c r="BQ16" s="299">
        <f>OCO_DoD_BA!U11*1000</f>
        <v>63093.999999999993</v>
      </c>
      <c r="BR16" s="299">
        <f>OCO_DoD_BA!V11*1000</f>
        <v>58942</v>
      </c>
      <c r="BS16" s="299">
        <f>OCO_DoD_BA!W11*1000</f>
        <v>82490.000000000015</v>
      </c>
      <c r="BT16" s="299">
        <f>OCO_DoD_BA!X11*1000</f>
        <v>88118.000000000015</v>
      </c>
      <c r="BU16" s="299">
        <f>OCO_DoD_BA!Y11*1000</f>
        <v>69000.000000000015</v>
      </c>
      <c r="BV16" s="303">
        <v>20000</v>
      </c>
      <c r="BW16" s="303">
        <v>20000</v>
      </c>
      <c r="BX16" s="303">
        <v>20000</v>
      </c>
      <c r="BY16" s="304">
        <v>20000</v>
      </c>
      <c r="BZ16" s="297">
        <f>AVERAGE(BV16:BY16)</f>
        <v>20000</v>
      </c>
      <c r="CA16" s="297"/>
      <c r="CB16" s="297"/>
      <c r="CC16" s="297"/>
    </row>
    <row r="17" spans="1:81" s="302" customFormat="1">
      <c r="A17" s="366" t="s">
        <v>772</v>
      </c>
      <c r="B17" s="367">
        <v>11800</v>
      </c>
      <c r="C17" s="367">
        <v>10433</v>
      </c>
      <c r="D17" s="367">
        <v>14086</v>
      </c>
      <c r="E17" s="367">
        <v>47534</v>
      </c>
      <c r="F17" s="367">
        <v>60196</v>
      </c>
      <c r="G17" s="367">
        <v>48603</v>
      </c>
      <c r="H17" s="367">
        <v>34319</v>
      </c>
      <c r="I17" s="367">
        <v>30425</v>
      </c>
      <c r="J17" s="367">
        <v>32791</v>
      </c>
      <c r="K17" s="367">
        <v>35916</v>
      </c>
      <c r="L17" s="367">
        <v>36971</v>
      </c>
      <c r="M17" s="367">
        <v>41402</v>
      </c>
      <c r="N17" s="367">
        <v>40907</v>
      </c>
      <c r="O17" s="367">
        <v>41386</v>
      </c>
      <c r="P17" s="367">
        <v>48014</v>
      </c>
      <c r="Q17" s="367">
        <v>49560</v>
      </c>
      <c r="R17" s="367">
        <v>49627</v>
      </c>
      <c r="S17" s="367">
        <v>49058</v>
      </c>
      <c r="T17" s="367">
        <v>63555</v>
      </c>
      <c r="U17" s="367">
        <v>72177</v>
      </c>
      <c r="V17" s="367">
        <v>76286</v>
      </c>
      <c r="W17" s="367">
        <v>76905</v>
      </c>
      <c r="X17" s="367">
        <v>74083</v>
      </c>
      <c r="Y17" s="367">
        <v>71159</v>
      </c>
      <c r="Z17" s="367">
        <v>75006</v>
      </c>
      <c r="AA17" s="367">
        <v>77555</v>
      </c>
      <c r="AB17" s="367">
        <v>80991</v>
      </c>
      <c r="AC17" s="367">
        <v>85661</v>
      </c>
      <c r="AD17" s="367">
        <v>95508</v>
      </c>
      <c r="AE17" s="367">
        <v>108338</v>
      </c>
      <c r="AF17" s="367">
        <v>115322</v>
      </c>
      <c r="AG17" s="367">
        <v>125004</v>
      </c>
      <c r="AH17" s="367">
        <v>142621</v>
      </c>
      <c r="AI17" s="367">
        <v>178365</v>
      </c>
      <c r="AJ17" s="367">
        <v>213751</v>
      </c>
      <c r="AK17" s="367">
        <v>239474</v>
      </c>
      <c r="AL17" s="367">
        <v>258150</v>
      </c>
      <c r="AM17" s="367">
        <v>286802</v>
      </c>
      <c r="AN17" s="367">
        <v>281390</v>
      </c>
      <c r="AO17" s="367">
        <v>279469</v>
      </c>
      <c r="AP17" s="367">
        <v>283755</v>
      </c>
      <c r="AQ17" s="367">
        <v>290837</v>
      </c>
      <c r="AR17" s="367">
        <v>292999</v>
      </c>
      <c r="AS17" s="367">
        <v>276208</v>
      </c>
      <c r="AT17" s="367">
        <v>281883</v>
      </c>
      <c r="AU17" s="367">
        <v>267402</v>
      </c>
      <c r="AV17" s="367">
        <v>251364</v>
      </c>
      <c r="AW17" s="367">
        <v>255727</v>
      </c>
      <c r="AX17" s="367">
        <v>254569</v>
      </c>
      <c r="AY17" s="367">
        <v>258006</v>
      </c>
      <c r="AZ17" s="367">
        <v>258583</v>
      </c>
      <c r="BA17" s="367">
        <v>278595</v>
      </c>
      <c r="BB17" s="367">
        <v>290534</v>
      </c>
      <c r="BC17" s="367">
        <v>319428</v>
      </c>
      <c r="BD17" s="367">
        <v>345632</v>
      </c>
      <c r="BE17" s="367">
        <v>437801</v>
      </c>
      <c r="BF17" s="367">
        <v>471011</v>
      </c>
      <c r="BG17" s="367">
        <v>483913</v>
      </c>
      <c r="BH17" s="367">
        <v>536462</v>
      </c>
      <c r="BI17" s="367">
        <v>602246</v>
      </c>
      <c r="BJ17" s="367">
        <v>673487</v>
      </c>
      <c r="BK17" s="367">
        <v>664524</v>
      </c>
      <c r="BL17" s="367">
        <v>695673</v>
      </c>
      <c r="BM17" s="367">
        <v>690781</v>
      </c>
      <c r="BN17" s="367">
        <v>655388</v>
      </c>
      <c r="BO17" s="367">
        <v>585361</v>
      </c>
      <c r="BP17" s="367">
        <v>595740</v>
      </c>
      <c r="BQ17" s="367">
        <v>570844</v>
      </c>
      <c r="BR17" s="367">
        <v>595724</v>
      </c>
      <c r="BS17" s="367">
        <v>626239</v>
      </c>
      <c r="BT17" s="367">
        <v>618643</v>
      </c>
      <c r="BU17" s="367">
        <v>695066</v>
      </c>
      <c r="BV17" s="367">
        <v>710149</v>
      </c>
      <c r="BW17" s="367">
        <v>722813</v>
      </c>
      <c r="BX17" s="367">
        <v>736536</v>
      </c>
      <c r="BY17" s="368">
        <v>750780</v>
      </c>
      <c r="BZ17" s="301"/>
    </row>
    <row r="18" spans="1:81" s="302" customFormat="1">
      <c r="A18" s="371" t="s">
        <v>775</v>
      </c>
      <c r="B18" s="309">
        <f t="shared" ref="B18:BB18" si="0">SUM(B6:B15)-B16</f>
        <v>11800</v>
      </c>
      <c r="C18" s="309">
        <f t="shared" si="0"/>
        <v>10433</v>
      </c>
      <c r="D18" s="309">
        <f t="shared" si="0"/>
        <v>14085</v>
      </c>
      <c r="E18" s="309">
        <f t="shared" si="0"/>
        <v>47534</v>
      </c>
      <c r="F18" s="309">
        <f t="shared" si="0"/>
        <v>60196</v>
      </c>
      <c r="G18" s="309">
        <f t="shared" si="0"/>
        <v>48604</v>
      </c>
      <c r="H18" s="309">
        <f t="shared" si="0"/>
        <v>34319</v>
      </c>
      <c r="I18" s="309">
        <f t="shared" si="0"/>
        <v>30425</v>
      </c>
      <c r="J18" s="309">
        <f t="shared" si="0"/>
        <v>32791</v>
      </c>
      <c r="K18" s="309">
        <f t="shared" si="0"/>
        <v>35915</v>
      </c>
      <c r="L18" s="309">
        <f t="shared" si="0"/>
        <v>36971</v>
      </c>
      <c r="M18" s="309">
        <f t="shared" si="0"/>
        <v>41401</v>
      </c>
      <c r="N18" s="309">
        <f t="shared" si="0"/>
        <v>40907</v>
      </c>
      <c r="O18" s="309">
        <f t="shared" si="0"/>
        <v>41386</v>
      </c>
      <c r="P18" s="309">
        <f t="shared" si="0"/>
        <v>48014</v>
      </c>
      <c r="Q18" s="309">
        <f t="shared" si="0"/>
        <v>49561</v>
      </c>
      <c r="R18" s="309">
        <f t="shared" si="0"/>
        <v>49627</v>
      </c>
      <c r="S18" s="309">
        <f t="shared" si="0"/>
        <v>49058</v>
      </c>
      <c r="T18" s="309">
        <f t="shared" si="0"/>
        <v>63555</v>
      </c>
      <c r="U18" s="309">
        <f t="shared" si="0"/>
        <v>72176</v>
      </c>
      <c r="V18" s="309">
        <f t="shared" si="0"/>
        <v>76286</v>
      </c>
      <c r="W18" s="309">
        <f t="shared" si="0"/>
        <v>76906</v>
      </c>
      <c r="X18" s="309">
        <f t="shared" si="0"/>
        <v>74084</v>
      </c>
      <c r="Y18" s="309">
        <f t="shared" si="0"/>
        <v>71159</v>
      </c>
      <c r="Z18" s="309">
        <f t="shared" si="0"/>
        <v>75006</v>
      </c>
      <c r="AA18" s="309">
        <f t="shared" si="0"/>
        <v>77555</v>
      </c>
      <c r="AB18" s="309">
        <f t="shared" si="0"/>
        <v>80990</v>
      </c>
      <c r="AC18" s="309">
        <f t="shared" si="0"/>
        <v>85661</v>
      </c>
      <c r="AD18" s="309">
        <f t="shared" si="0"/>
        <v>95508</v>
      </c>
      <c r="AE18" s="309">
        <f t="shared" si="0"/>
        <v>108338</v>
      </c>
      <c r="AF18" s="309">
        <f t="shared" si="0"/>
        <v>115322</v>
      </c>
      <c r="AG18" s="309">
        <f t="shared" si="0"/>
        <v>125005</v>
      </c>
      <c r="AH18" s="309">
        <f t="shared" si="0"/>
        <v>142623</v>
      </c>
      <c r="AI18" s="309">
        <f t="shared" si="0"/>
        <v>178364</v>
      </c>
      <c r="AJ18" s="309">
        <f t="shared" si="0"/>
        <v>213751</v>
      </c>
      <c r="AK18" s="309">
        <f t="shared" si="0"/>
        <v>239474</v>
      </c>
      <c r="AL18" s="309">
        <f t="shared" si="0"/>
        <v>258150</v>
      </c>
      <c r="AM18" s="309">
        <f t="shared" si="0"/>
        <v>286802</v>
      </c>
      <c r="AN18" s="309">
        <f t="shared" si="0"/>
        <v>281389</v>
      </c>
      <c r="AO18" s="309">
        <f t="shared" si="0"/>
        <v>279469</v>
      </c>
      <c r="AP18" s="309">
        <f t="shared" si="0"/>
        <v>283754</v>
      </c>
      <c r="AQ18" s="309">
        <f t="shared" si="0"/>
        <v>290836</v>
      </c>
      <c r="AR18" s="309">
        <f t="shared" si="0"/>
        <v>290972</v>
      </c>
      <c r="AS18" s="309">
        <f t="shared" si="0"/>
        <v>240364</v>
      </c>
      <c r="AT18" s="309">
        <f t="shared" si="0"/>
        <v>269286</v>
      </c>
      <c r="AU18" s="309">
        <f t="shared" si="0"/>
        <v>267403</v>
      </c>
      <c r="AV18" s="309">
        <f t="shared" si="0"/>
        <v>251363</v>
      </c>
      <c r="AW18" s="309">
        <f t="shared" si="0"/>
        <v>255728</v>
      </c>
      <c r="AX18" s="309">
        <f t="shared" si="0"/>
        <v>254569</v>
      </c>
      <c r="AY18" s="309">
        <f t="shared" si="0"/>
        <v>258005</v>
      </c>
      <c r="AZ18" s="309">
        <f t="shared" si="0"/>
        <v>258583</v>
      </c>
      <c r="BA18" s="309">
        <f t="shared" si="0"/>
        <v>278595</v>
      </c>
      <c r="BB18" s="309">
        <f t="shared" si="0"/>
        <v>290535</v>
      </c>
      <c r="BC18" s="309">
        <f t="shared" ref="BC18:BU18" si="1">SUM(BC6:BC15)-BC16</f>
        <v>290654</v>
      </c>
      <c r="BD18" s="309">
        <f t="shared" si="1"/>
        <v>328762</v>
      </c>
      <c r="BE18" s="309">
        <f t="shared" si="1"/>
        <v>365265</v>
      </c>
      <c r="BF18" s="309">
        <f t="shared" si="1"/>
        <v>379922</v>
      </c>
      <c r="BG18" s="309">
        <f t="shared" si="1"/>
        <v>405069</v>
      </c>
      <c r="BH18" s="309">
        <f t="shared" si="1"/>
        <v>412545</v>
      </c>
      <c r="BI18" s="309">
        <f t="shared" si="1"/>
        <v>432836</v>
      </c>
      <c r="BJ18" s="309">
        <f t="shared" si="1"/>
        <v>486578</v>
      </c>
      <c r="BK18" s="309">
        <f t="shared" si="1"/>
        <v>511399</v>
      </c>
      <c r="BL18" s="309">
        <f t="shared" si="1"/>
        <v>532630</v>
      </c>
      <c r="BM18" s="309">
        <f t="shared" si="1"/>
        <v>531991</v>
      </c>
      <c r="BN18" s="309">
        <f t="shared" si="1"/>
        <v>540307</v>
      </c>
      <c r="BO18" s="309">
        <f t="shared" si="1"/>
        <v>503276</v>
      </c>
      <c r="BP18" s="309">
        <f t="shared" si="1"/>
        <v>510585</v>
      </c>
      <c r="BQ18" s="309">
        <f t="shared" si="1"/>
        <v>507749</v>
      </c>
      <c r="BR18" s="309">
        <f t="shared" si="1"/>
        <v>536783</v>
      </c>
      <c r="BS18" s="309">
        <f t="shared" si="1"/>
        <v>543749</v>
      </c>
      <c r="BT18" s="309">
        <f t="shared" si="1"/>
        <v>530526</v>
      </c>
      <c r="BU18" s="309">
        <f t="shared" si="1"/>
        <v>626066</v>
      </c>
      <c r="BV18" s="309">
        <f>SUM(BV6:BV15)</f>
        <v>690150</v>
      </c>
      <c r="BW18" s="309">
        <f>SUM(BW6:BW15)</f>
        <v>702813</v>
      </c>
      <c r="BX18" s="309">
        <f>SUM(BX6:BX15)</f>
        <v>716535</v>
      </c>
      <c r="BY18" s="309">
        <f>SUM(BY6:BY15)</f>
        <v>730780</v>
      </c>
      <c r="BZ18" s="301"/>
    </row>
    <row r="19" spans="1:81" s="293" customFormat="1" ht="15" customHeight="1">
      <c r="A19" s="305" t="s">
        <v>774</v>
      </c>
    </row>
    <row r="20" spans="1:81" s="311" customFormat="1" ht="15.5" customHeight="1">
      <c r="A20" s="310" t="s">
        <v>372</v>
      </c>
      <c r="B20" s="208">
        <f t="shared" ref="B20:AG20" si="2">B6/B$3</f>
        <v>37212.018878304523</v>
      </c>
      <c r="C20" s="208">
        <f t="shared" si="2"/>
        <v>38994.319712745521</v>
      </c>
      <c r="D20" s="208">
        <f t="shared" si="2"/>
        <v>42376.982731501979</v>
      </c>
      <c r="E20" s="208">
        <f t="shared" si="2"/>
        <v>71612.680625832247</v>
      </c>
      <c r="F20" s="208">
        <f t="shared" si="2"/>
        <v>88172.679299191339</v>
      </c>
      <c r="G20" s="208">
        <f t="shared" si="2"/>
        <v>94188.340193904878</v>
      </c>
      <c r="H20" s="208">
        <f t="shared" si="2"/>
        <v>88703.786412243673</v>
      </c>
      <c r="I20" s="208">
        <f t="shared" si="2"/>
        <v>84826.775760525692</v>
      </c>
      <c r="J20" s="208">
        <f t="shared" si="2"/>
        <v>82071.851708705653</v>
      </c>
      <c r="K20" s="208">
        <f t="shared" si="2"/>
        <v>78975.943453007087</v>
      </c>
      <c r="L20" s="208">
        <f t="shared" si="2"/>
        <v>72334.98392896782</v>
      </c>
      <c r="M20" s="208">
        <f t="shared" si="2"/>
        <v>74031.477880285092</v>
      </c>
      <c r="N20" s="208">
        <f t="shared" si="2"/>
        <v>73408.600963114164</v>
      </c>
      <c r="O20" s="208">
        <f t="shared" si="2"/>
        <v>73132.214165792218</v>
      </c>
      <c r="P20" s="208">
        <f t="shared" si="2"/>
        <v>77647.034421789707</v>
      </c>
      <c r="Q20" s="208">
        <f t="shared" si="2"/>
        <v>76227.501051084342</v>
      </c>
      <c r="R20" s="208">
        <f t="shared" si="2"/>
        <v>81362.888339406578</v>
      </c>
      <c r="S20" s="208">
        <f t="shared" si="2"/>
        <v>83772.437912509617</v>
      </c>
      <c r="T20" s="208">
        <f t="shared" si="2"/>
        <v>95698.515896841243</v>
      </c>
      <c r="U20" s="208">
        <f t="shared" si="2"/>
        <v>110300.21393201525</v>
      </c>
      <c r="V20" s="208">
        <f t="shared" si="2"/>
        <v>116164.09152131724</v>
      </c>
      <c r="W20" s="208">
        <f t="shared" si="2"/>
        <v>118864.11898159642</v>
      </c>
      <c r="X20" s="208">
        <f t="shared" si="2"/>
        <v>121068.47765898965</v>
      </c>
      <c r="Y20" s="208">
        <f t="shared" si="2"/>
        <v>113459.55397328723</v>
      </c>
      <c r="Z20" s="208">
        <f t="shared" si="2"/>
        <v>109836.69685703806</v>
      </c>
      <c r="AA20" s="208">
        <f t="shared" si="2"/>
        <v>108782.24660486291</v>
      </c>
      <c r="AB20" s="208">
        <f t="shared" si="2"/>
        <v>103459.9963713981</v>
      </c>
      <c r="AC20" s="208">
        <f t="shared" si="2"/>
        <v>96863.217770685893</v>
      </c>
      <c r="AD20" s="208">
        <f t="shared" si="2"/>
        <v>92264.567843779951</v>
      </c>
      <c r="AE20" s="208">
        <f t="shared" si="2"/>
        <v>88397.266411861419</v>
      </c>
      <c r="AF20" s="208">
        <f t="shared" si="2"/>
        <v>86402.825370955979</v>
      </c>
      <c r="AG20" s="208">
        <f t="shared" si="2"/>
        <v>84260.086941673202</v>
      </c>
      <c r="AH20" s="208">
        <f t="shared" ref="AH20:BM20" si="3">AH6/AH$3</f>
        <v>83751.130182914567</v>
      </c>
      <c r="AI20" s="208">
        <f t="shared" si="3"/>
        <v>90780.518821272868</v>
      </c>
      <c r="AJ20" s="208">
        <f t="shared" si="3"/>
        <v>98682.160231669695</v>
      </c>
      <c r="AK20" s="208">
        <f t="shared" si="3"/>
        <v>100726.67431169821</v>
      </c>
      <c r="AL20" s="208">
        <f t="shared" si="3"/>
        <v>102984.73859493108</v>
      </c>
      <c r="AM20" s="208">
        <f t="shared" si="3"/>
        <v>139689.90901177854</v>
      </c>
      <c r="AN20" s="208">
        <f t="shared" si="3"/>
        <v>136617.47792095147</v>
      </c>
      <c r="AO20" s="208">
        <f t="shared" si="3"/>
        <v>145886.56488376489</v>
      </c>
      <c r="AP20" s="208">
        <f t="shared" si="3"/>
        <v>146236.00245090263</v>
      </c>
      <c r="AQ20" s="208">
        <f t="shared" si="3"/>
        <v>144109.99220668449</v>
      </c>
      <c r="AR20" s="208">
        <f t="shared" si="3"/>
        <v>139779.88144165237</v>
      </c>
      <c r="AS20" s="208">
        <f t="shared" si="3"/>
        <v>144122.3803154229</v>
      </c>
      <c r="AT20" s="208">
        <f t="shared" si="3"/>
        <v>135679.57208969569</v>
      </c>
      <c r="AU20" s="208">
        <f t="shared" si="3"/>
        <v>123971.70947816382</v>
      </c>
      <c r="AV20" s="208">
        <f t="shared" si="3"/>
        <v>113971.12672648762</v>
      </c>
      <c r="AW20" s="208">
        <f t="shared" si="3"/>
        <v>111906.55078306189</v>
      </c>
      <c r="AX20" s="208">
        <f t="shared" si="3"/>
        <v>107115.2149515897</v>
      </c>
      <c r="AY20" s="208">
        <f t="shared" si="3"/>
        <v>106106.36638563628</v>
      </c>
      <c r="AZ20" s="208">
        <f t="shared" si="3"/>
        <v>104042.6362368077</v>
      </c>
      <c r="BA20" s="208">
        <f t="shared" si="3"/>
        <v>103958.97906268029</v>
      </c>
      <c r="BB20" s="208">
        <f t="shared" si="3"/>
        <v>106446.6647339612</v>
      </c>
      <c r="BC20" s="208">
        <f t="shared" si="3"/>
        <v>108242.5710855878</v>
      </c>
      <c r="BD20" s="208">
        <f t="shared" si="3"/>
        <v>120477.38764797225</v>
      </c>
      <c r="BE20" s="208">
        <f t="shared" si="3"/>
        <v>148266.35628975634</v>
      </c>
      <c r="BF20" s="208">
        <f t="shared" si="3"/>
        <v>154037.00929581764</v>
      </c>
      <c r="BG20" s="208">
        <f t="shared" si="3"/>
        <v>155984.32666420029</v>
      </c>
      <c r="BH20" s="208">
        <f t="shared" si="3"/>
        <v>160053.11052015514</v>
      </c>
      <c r="BI20" s="208">
        <f t="shared" si="3"/>
        <v>159782.83301878019</v>
      </c>
      <c r="BJ20" s="208">
        <f t="shared" si="3"/>
        <v>165190.04579062355</v>
      </c>
      <c r="BK20" s="208">
        <f t="shared" si="3"/>
        <v>175330.54597731354</v>
      </c>
      <c r="BL20" s="208">
        <f t="shared" si="3"/>
        <v>182899.12275348839</v>
      </c>
      <c r="BM20" s="208">
        <f t="shared" si="3"/>
        <v>180729.39969512195</v>
      </c>
      <c r="BN20" s="208">
        <f t="shared" ref="BN20:BY20" si="4">BN6/BN$3</f>
        <v>177432.83076570471</v>
      </c>
      <c r="BO20" s="208">
        <f t="shared" si="4"/>
        <v>169172.97179972392</v>
      </c>
      <c r="BP20" s="208">
        <f t="shared" si="4"/>
        <v>162534.00561162725</v>
      </c>
      <c r="BQ20" s="208">
        <f t="shared" si="4"/>
        <v>155970.62781818182</v>
      </c>
      <c r="BR20" s="208">
        <f t="shared" si="4"/>
        <v>153744.93891480271</v>
      </c>
      <c r="BS20" s="208">
        <f t="shared" si="4"/>
        <v>151882.00885774076</v>
      </c>
      <c r="BT20" s="208">
        <f t="shared" si="4"/>
        <v>149524.52844707458</v>
      </c>
      <c r="BU20" s="208">
        <f t="shared" si="4"/>
        <v>161527</v>
      </c>
      <c r="BV20" s="208">
        <f t="shared" si="4"/>
        <v>159252.98854304088</v>
      </c>
      <c r="BW20" s="208">
        <f t="shared" si="4"/>
        <v>161355.17272938401</v>
      </c>
      <c r="BX20" s="208">
        <f t="shared" si="4"/>
        <v>162593.35652954146</v>
      </c>
      <c r="BY20" s="208">
        <f t="shared" si="4"/>
        <v>163141.29317194122</v>
      </c>
    </row>
    <row r="21" spans="1:81" s="311" customFormat="1">
      <c r="A21" s="310" t="s">
        <v>373</v>
      </c>
      <c r="B21" s="208">
        <f t="shared" ref="B21:AG21" si="5">B7/B$3</f>
        <v>1514.0905146950224</v>
      </c>
      <c r="C21" s="208">
        <f t="shared" si="5"/>
        <v>1669.8255390636532</v>
      </c>
      <c r="D21" s="208">
        <f t="shared" si="5"/>
        <v>1559.5700044306595</v>
      </c>
      <c r="E21" s="208">
        <f t="shared" si="5"/>
        <v>2812.2099866844214</v>
      </c>
      <c r="F21" s="208">
        <f t="shared" si="5"/>
        <v>2727.7236691374651</v>
      </c>
      <c r="G21" s="208">
        <f t="shared" si="5"/>
        <v>2772.0723371165741</v>
      </c>
      <c r="H21" s="208">
        <f t="shared" si="5"/>
        <v>2969.838683410183</v>
      </c>
      <c r="I21" s="208">
        <f t="shared" si="5"/>
        <v>3228.5954149428089</v>
      </c>
      <c r="J21" s="208">
        <f t="shared" si="5"/>
        <v>3673.8620542421145</v>
      </c>
      <c r="K21" s="208">
        <f t="shared" si="5"/>
        <v>3684.7808369540357</v>
      </c>
      <c r="L21" s="208">
        <f t="shared" si="5"/>
        <v>3937.9679200887908</v>
      </c>
      <c r="M21" s="208">
        <f t="shared" si="5"/>
        <v>4377.7276026408999</v>
      </c>
      <c r="N21" s="208">
        <f t="shared" si="5"/>
        <v>4823.743193514073</v>
      </c>
      <c r="O21" s="208">
        <f t="shared" si="5"/>
        <v>5257.4801338589368</v>
      </c>
      <c r="P21" s="208">
        <f t="shared" si="5"/>
        <v>6058.9713034814695</v>
      </c>
      <c r="Q21" s="208">
        <f t="shared" si="5"/>
        <v>6677.1464252038368</v>
      </c>
      <c r="R21" s="208">
        <f t="shared" si="5"/>
        <v>7895.1897969807405</v>
      </c>
      <c r="S21" s="208">
        <f t="shared" si="5"/>
        <v>8840.4345356868798</v>
      </c>
      <c r="T21" s="208">
        <f t="shared" si="5"/>
        <v>9895.7943149322036</v>
      </c>
      <c r="U21" s="208">
        <f t="shared" si="5"/>
        <v>11037.824096477991</v>
      </c>
      <c r="V21" s="208">
        <f t="shared" si="5"/>
        <v>12154.211243927464</v>
      </c>
      <c r="W21" s="208">
        <f t="shared" si="5"/>
        <v>13591.12761958796</v>
      </c>
      <c r="X21" s="208">
        <f t="shared" si="5"/>
        <v>15047.345472902476</v>
      </c>
      <c r="Y21" s="208">
        <f t="shared" si="5"/>
        <v>16991.624233688864</v>
      </c>
      <c r="Z21" s="208">
        <f t="shared" si="5"/>
        <v>18658.463440136973</v>
      </c>
      <c r="AA21" s="208">
        <f t="shared" si="5"/>
        <v>20365.437662527966</v>
      </c>
      <c r="AB21" s="208">
        <f t="shared" si="5"/>
        <v>22051.658927838442</v>
      </c>
      <c r="AC21" s="208">
        <f t="shared" si="5"/>
        <v>24255.577225676305</v>
      </c>
      <c r="AD21" s="208">
        <f t="shared" si="5"/>
        <v>26580.032403599369</v>
      </c>
      <c r="AE21" s="208">
        <f t="shared" si="5"/>
        <v>27881.793426024749</v>
      </c>
      <c r="AF21" s="208">
        <f t="shared" si="5"/>
        <v>29111.720505959624</v>
      </c>
      <c r="AG21" s="208">
        <f t="shared" si="5"/>
        <v>30186.617218451924</v>
      </c>
      <c r="AH21" s="208">
        <f t="shared" ref="AH21:BM21" si="6">AH7/AH$3</f>
        <v>32310.642698090305</v>
      </c>
      <c r="AI21" s="208">
        <f t="shared" si="6"/>
        <v>34040.542428307905</v>
      </c>
      <c r="AJ21" s="208">
        <f t="shared" si="6"/>
        <v>34492.148180333577</v>
      </c>
      <c r="AK21" s="208">
        <f t="shared" si="6"/>
        <v>35616.341785709257</v>
      </c>
      <c r="AL21" s="208">
        <f t="shared" si="6"/>
        <v>35141.68147203746</v>
      </c>
      <c r="AM21" s="208">
        <f t="shared" si="6"/>
        <v>0</v>
      </c>
      <c r="AN21" s="208">
        <f t="shared" si="6"/>
        <v>0</v>
      </c>
      <c r="AO21" s="208">
        <f t="shared" si="6"/>
        <v>0</v>
      </c>
      <c r="AP21" s="208">
        <f t="shared" si="6"/>
        <v>0</v>
      </c>
      <c r="AQ21" s="208">
        <f t="shared" si="6"/>
        <v>0</v>
      </c>
      <c r="AR21" s="208">
        <f t="shared" si="6"/>
        <v>0</v>
      </c>
      <c r="AS21" s="208">
        <f t="shared" si="6"/>
        <v>0</v>
      </c>
      <c r="AT21" s="208">
        <f t="shared" si="6"/>
        <v>0</v>
      </c>
      <c r="AU21" s="208">
        <f t="shared" si="6"/>
        <v>0</v>
      </c>
      <c r="AV21" s="208">
        <f t="shared" si="6"/>
        <v>0</v>
      </c>
      <c r="AW21" s="208">
        <f t="shared" si="6"/>
        <v>0</v>
      </c>
      <c r="AX21" s="208">
        <f t="shared" si="6"/>
        <v>0</v>
      </c>
      <c r="AY21" s="208">
        <f t="shared" si="6"/>
        <v>0</v>
      </c>
      <c r="AZ21" s="208">
        <f t="shared" si="6"/>
        <v>0</v>
      </c>
      <c r="BA21" s="208">
        <f t="shared" si="6"/>
        <v>0</v>
      </c>
      <c r="BB21" s="208">
        <f t="shared" si="6"/>
        <v>0</v>
      </c>
      <c r="BC21" s="208">
        <f t="shared" si="6"/>
        <v>0</v>
      </c>
      <c r="BD21" s="208">
        <f t="shared" si="6"/>
        <v>0</v>
      </c>
      <c r="BE21" s="208">
        <f t="shared" si="6"/>
        <v>0</v>
      </c>
      <c r="BF21" s="208">
        <f t="shared" si="6"/>
        <v>0</v>
      </c>
      <c r="BG21" s="208">
        <f t="shared" si="6"/>
        <v>0</v>
      </c>
      <c r="BH21" s="208">
        <f t="shared" si="6"/>
        <v>0</v>
      </c>
      <c r="BI21" s="208">
        <f t="shared" si="6"/>
        <v>0</v>
      </c>
      <c r="BJ21" s="208">
        <f t="shared" si="6"/>
        <v>0</v>
      </c>
      <c r="BK21" s="208">
        <f t="shared" si="6"/>
        <v>0</v>
      </c>
      <c r="BL21" s="208">
        <f t="shared" si="6"/>
        <v>0</v>
      </c>
      <c r="BM21" s="208">
        <f t="shared" si="6"/>
        <v>0</v>
      </c>
      <c r="BN21" s="208">
        <f t="shared" ref="BN21:BY21" si="7">BN7/BN$3</f>
        <v>0</v>
      </c>
      <c r="BO21" s="208">
        <f t="shared" si="7"/>
        <v>0</v>
      </c>
      <c r="BP21" s="208">
        <f t="shared" si="7"/>
        <v>0</v>
      </c>
      <c r="BQ21" s="208">
        <f t="shared" si="7"/>
        <v>0</v>
      </c>
      <c r="BR21" s="208">
        <f t="shared" si="7"/>
        <v>0</v>
      </c>
      <c r="BS21" s="208">
        <f t="shared" si="7"/>
        <v>0</v>
      </c>
      <c r="BT21" s="208">
        <f t="shared" si="7"/>
        <v>0</v>
      </c>
      <c r="BU21" s="208">
        <f t="shared" si="7"/>
        <v>0</v>
      </c>
      <c r="BV21" s="208">
        <f t="shared" si="7"/>
        <v>0</v>
      </c>
      <c r="BW21" s="208">
        <f t="shared" si="7"/>
        <v>0</v>
      </c>
      <c r="BX21" s="208">
        <f t="shared" si="7"/>
        <v>0</v>
      </c>
      <c r="BY21" s="208">
        <f t="shared" si="7"/>
        <v>0</v>
      </c>
    </row>
    <row r="22" spans="1:81" s="311" customFormat="1">
      <c r="A22" s="310" t="s">
        <v>374</v>
      </c>
      <c r="B22" s="208">
        <f t="shared" ref="B22:AG22" si="8">B8/B$3</f>
        <v>33379.206889676549</v>
      </c>
      <c r="C22" s="208">
        <f t="shared" si="8"/>
        <v>36260.304840496217</v>
      </c>
      <c r="D22" s="208">
        <f t="shared" si="8"/>
        <v>37533.651439964538</v>
      </c>
      <c r="E22" s="208">
        <f t="shared" si="8"/>
        <v>99627.88362183758</v>
      </c>
      <c r="F22" s="208">
        <f t="shared" si="8"/>
        <v>102372.65526954173</v>
      </c>
      <c r="G22" s="208">
        <f t="shared" si="8"/>
        <v>82525.447615896206</v>
      </c>
      <c r="H22" s="208">
        <f t="shared" si="8"/>
        <v>79003.84818012359</v>
      </c>
      <c r="I22" s="208">
        <f t="shared" si="8"/>
        <v>61191.020647359466</v>
      </c>
      <c r="J22" s="208">
        <f t="shared" si="8"/>
        <v>66864.289387206474</v>
      </c>
      <c r="K22" s="208">
        <f t="shared" si="8"/>
        <v>68157.713112279889</v>
      </c>
      <c r="L22" s="208">
        <f t="shared" si="8"/>
        <v>70202.7861309656</v>
      </c>
      <c r="M22" s="208">
        <f t="shared" si="8"/>
        <v>70289.888819902946</v>
      </c>
      <c r="N22" s="208">
        <f t="shared" si="8"/>
        <v>69603.578360118452</v>
      </c>
      <c r="O22" s="208">
        <f t="shared" si="8"/>
        <v>71222.218218428272</v>
      </c>
      <c r="P22" s="208">
        <f t="shared" si="8"/>
        <v>75756.89880863842</v>
      </c>
      <c r="Q22" s="208">
        <f t="shared" si="8"/>
        <v>74815.278074213755</v>
      </c>
      <c r="R22" s="208">
        <f t="shared" si="8"/>
        <v>75255.04606975535</v>
      </c>
      <c r="S22" s="208">
        <f t="shared" si="8"/>
        <v>79639.740138142777</v>
      </c>
      <c r="T22" s="208">
        <f t="shared" si="8"/>
        <v>94869.743122965665</v>
      </c>
      <c r="U22" s="208">
        <f t="shared" si="8"/>
        <v>116686.42645983068</v>
      </c>
      <c r="V22" s="208">
        <f t="shared" si="8"/>
        <v>121605.92930022128</v>
      </c>
      <c r="W22" s="208">
        <f t="shared" si="8"/>
        <v>123978.82088578421</v>
      </c>
      <c r="X22" s="208">
        <f t="shared" si="8"/>
        <v>113350.00024006907</v>
      </c>
      <c r="Y22" s="208">
        <f t="shared" si="8"/>
        <v>102405.72824060729</v>
      </c>
      <c r="Z22" s="208">
        <f t="shared" si="8"/>
        <v>99505.42768741594</v>
      </c>
      <c r="AA22" s="208">
        <f t="shared" si="8"/>
        <v>99649.434397803998</v>
      </c>
      <c r="AB22" s="208">
        <f t="shared" si="8"/>
        <v>102565.2581233068</v>
      </c>
      <c r="AC22" s="208">
        <f t="shared" si="8"/>
        <v>101310.00892420135</v>
      </c>
      <c r="AD22" s="208">
        <f t="shared" si="8"/>
        <v>104248.43994712266</v>
      </c>
      <c r="AE22" s="208">
        <f t="shared" si="8"/>
        <v>108680.78037182333</v>
      </c>
      <c r="AF22" s="208">
        <f t="shared" si="8"/>
        <v>110148.85621503285</v>
      </c>
      <c r="AG22" s="208">
        <f t="shared" si="8"/>
        <v>111663.76988772482</v>
      </c>
      <c r="AH22" s="208">
        <f t="shared" ref="AH22:BM22" si="9">AH8/AH$3</f>
        <v>125224.33123241484</v>
      </c>
      <c r="AI22" s="208">
        <f t="shared" si="9"/>
        <v>136631.94887535641</v>
      </c>
      <c r="AJ22" s="208">
        <f t="shared" si="9"/>
        <v>143780.1951606338</v>
      </c>
      <c r="AK22" s="208">
        <f t="shared" si="9"/>
        <v>146707.14006736223</v>
      </c>
      <c r="AL22" s="208">
        <f t="shared" si="9"/>
        <v>151088.14915381896</v>
      </c>
      <c r="AM22" s="208">
        <f t="shared" si="9"/>
        <v>160381.73313892717</v>
      </c>
      <c r="AN22" s="208">
        <f t="shared" si="9"/>
        <v>150917.23340561194</v>
      </c>
      <c r="AO22" s="208">
        <f t="shared" si="9"/>
        <v>156925.13755433756</v>
      </c>
      <c r="AP22" s="208">
        <f t="shared" si="9"/>
        <v>155869.35448742207</v>
      </c>
      <c r="AQ22" s="208">
        <f t="shared" si="9"/>
        <v>158330.56357980738</v>
      </c>
      <c r="AR22" s="208">
        <f t="shared" si="9"/>
        <v>156673.76056563522</v>
      </c>
      <c r="AS22" s="208">
        <f t="shared" si="9"/>
        <v>200634.61857312161</v>
      </c>
      <c r="AT22" s="208">
        <f t="shared" si="9"/>
        <v>156677.74031179925</v>
      </c>
      <c r="AU22" s="208">
        <f t="shared" si="9"/>
        <v>145507.74314353362</v>
      </c>
      <c r="AV22" s="208">
        <f t="shared" si="9"/>
        <v>141559.59746424525</v>
      </c>
      <c r="AW22" s="208">
        <f t="shared" si="9"/>
        <v>146615.30028456802</v>
      </c>
      <c r="AX22" s="208">
        <f t="shared" si="9"/>
        <v>143779.24474290202</v>
      </c>
      <c r="AY22" s="208">
        <f t="shared" si="9"/>
        <v>139316.46129848258</v>
      </c>
      <c r="AZ22" s="208">
        <f t="shared" si="9"/>
        <v>144863.363196764</v>
      </c>
      <c r="BA22" s="208">
        <f t="shared" si="9"/>
        <v>154492.01882164087</v>
      </c>
      <c r="BB22" s="208">
        <f t="shared" si="9"/>
        <v>156814.13910319027</v>
      </c>
      <c r="BC22" s="208">
        <f t="shared" si="9"/>
        <v>176309.47765082776</v>
      </c>
      <c r="BD22" s="208">
        <f t="shared" si="9"/>
        <v>185448.19639671026</v>
      </c>
      <c r="BE22" s="208">
        <f t="shared" si="9"/>
        <v>242414.98953039732</v>
      </c>
      <c r="BF22" s="208">
        <f t="shared" si="9"/>
        <v>251746.38918795157</v>
      </c>
      <c r="BG22" s="208">
        <f t="shared" si="9"/>
        <v>230499.3535824393</v>
      </c>
      <c r="BH22" s="208">
        <f t="shared" si="9"/>
        <v>265999.86609582411</v>
      </c>
      <c r="BI22" s="208">
        <f t="shared" si="9"/>
        <v>291357.85238188755</v>
      </c>
      <c r="BJ22" s="208">
        <f t="shared" si="9"/>
        <v>304427.64741184423</v>
      </c>
      <c r="BK22" s="208">
        <f t="shared" si="9"/>
        <v>318932.71074943512</v>
      </c>
      <c r="BL22" s="208">
        <f t="shared" si="9"/>
        <v>341850.21905860468</v>
      </c>
      <c r="BM22" s="208">
        <f t="shared" si="9"/>
        <v>348287.68611419067</v>
      </c>
      <c r="BN22" s="208">
        <f t="shared" ref="BN22:BY22" si="10">BN8/BN$3</f>
        <v>321330.32764243562</v>
      </c>
      <c r="BO22" s="208">
        <f t="shared" si="10"/>
        <v>284674.39659335295</v>
      </c>
      <c r="BP22" s="208">
        <f t="shared" si="10"/>
        <v>284031.3835829465</v>
      </c>
      <c r="BQ22" s="208">
        <f t="shared" si="10"/>
        <v>263665.52384415583</v>
      </c>
      <c r="BR22" s="208">
        <f t="shared" si="10"/>
        <v>259137.90530481335</v>
      </c>
      <c r="BS22" s="208">
        <f t="shared" si="10"/>
        <v>268859.01773939619</v>
      </c>
      <c r="BT22" s="208">
        <f t="shared" si="10"/>
        <v>267585.289091888</v>
      </c>
      <c r="BU22" s="208">
        <f t="shared" si="10"/>
        <v>284553</v>
      </c>
      <c r="BV22" s="208">
        <f t="shared" si="10"/>
        <v>236952.04018428957</v>
      </c>
      <c r="BW22" s="208">
        <f t="shared" si="10"/>
        <v>239694.70900979132</v>
      </c>
      <c r="BX22" s="208">
        <f t="shared" si="10"/>
        <v>241595.87747618282</v>
      </c>
      <c r="BY22" s="208">
        <f t="shared" si="10"/>
        <v>239787.75641847402</v>
      </c>
    </row>
    <row r="23" spans="1:81" s="311" customFormat="1">
      <c r="A23" s="310" t="s">
        <v>375</v>
      </c>
      <c r="B23" s="208">
        <f t="shared" ref="B23:AG23" si="11">B9/B$3</f>
        <v>31968.939724560612</v>
      </c>
      <c r="C23" s="208">
        <f t="shared" si="11"/>
        <v>15097.645417958936</v>
      </c>
      <c r="D23" s="208">
        <f t="shared" si="11"/>
        <v>32300.42764731944</v>
      </c>
      <c r="E23" s="208">
        <f t="shared" si="11"/>
        <v>183015.66571238355</v>
      </c>
      <c r="F23" s="208">
        <f t="shared" si="11"/>
        <v>232188.58258423171</v>
      </c>
      <c r="G23" s="208">
        <f t="shared" si="11"/>
        <v>161246.09006320106</v>
      </c>
      <c r="H23" s="208">
        <f t="shared" si="11"/>
        <v>74038.769037574792</v>
      </c>
      <c r="I23" s="208">
        <f t="shared" si="11"/>
        <v>51490.005178875646</v>
      </c>
      <c r="J23" s="208">
        <f t="shared" si="11"/>
        <v>59494.299448090482</v>
      </c>
      <c r="K23" s="208">
        <f t="shared" si="11"/>
        <v>67291.968488451865</v>
      </c>
      <c r="L23" s="208">
        <f t="shared" si="11"/>
        <v>65820.320950055509</v>
      </c>
      <c r="M23" s="208">
        <f t="shared" si="11"/>
        <v>86932.093909317497</v>
      </c>
      <c r="N23" s="208">
        <f t="shared" si="11"/>
        <v>78232.344156628242</v>
      </c>
      <c r="O23" s="208">
        <f t="shared" si="11"/>
        <v>77970.426896571269</v>
      </c>
      <c r="P23" s="208">
        <f t="shared" si="11"/>
        <v>103700.61102676003</v>
      </c>
      <c r="Q23" s="208">
        <f t="shared" si="11"/>
        <v>108337.6769399301</v>
      </c>
      <c r="R23" s="208">
        <f t="shared" si="11"/>
        <v>100586.51821967727</v>
      </c>
      <c r="S23" s="208">
        <f t="shared" si="11"/>
        <v>87431.202455871098</v>
      </c>
      <c r="T23" s="208">
        <f t="shared" si="11"/>
        <v>123777.83226546136</v>
      </c>
      <c r="U23" s="208">
        <f t="shared" si="11"/>
        <v>137273.55895081465</v>
      </c>
      <c r="V23" s="208">
        <f t="shared" si="11"/>
        <v>135802.28009444108</v>
      </c>
      <c r="W23" s="208">
        <f t="shared" si="11"/>
        <v>113960.21824048794</v>
      </c>
      <c r="X23" s="208">
        <f t="shared" si="11"/>
        <v>94069.601667021881</v>
      </c>
      <c r="Y23" s="208">
        <f t="shared" si="11"/>
        <v>78679.588238685508</v>
      </c>
      <c r="Z23" s="208">
        <f t="shared" si="11"/>
        <v>85027.301864987181</v>
      </c>
      <c r="AA23" s="208">
        <f t="shared" si="11"/>
        <v>80109.250850371711</v>
      </c>
      <c r="AB23" s="208">
        <f t="shared" si="11"/>
        <v>72897.621476069296</v>
      </c>
      <c r="AC23" s="208">
        <f t="shared" si="11"/>
        <v>64792.773718499906</v>
      </c>
      <c r="AD23" s="208">
        <f t="shared" si="11"/>
        <v>76159.08547419525</v>
      </c>
      <c r="AE23" s="208">
        <f t="shared" si="11"/>
        <v>94502.966258978267</v>
      </c>
      <c r="AF23" s="208">
        <f t="shared" si="11"/>
        <v>93642.700960836795</v>
      </c>
      <c r="AG23" s="208">
        <f t="shared" si="11"/>
        <v>92259.555182486351</v>
      </c>
      <c r="AH23" s="208">
        <f t="shared" ref="AH23:BM23" si="12">AH9/AH$3</f>
        <v>95279.265049454261</v>
      </c>
      <c r="AI23" s="208">
        <f t="shared" si="12"/>
        <v>118121.17414158145</v>
      </c>
      <c r="AJ23" s="208">
        <f t="shared" si="12"/>
        <v>148367.33324440566</v>
      </c>
      <c r="AK23" s="208">
        <f t="shared" si="12"/>
        <v>177155.75018202831</v>
      </c>
      <c r="AL23" s="208">
        <f t="shared" si="12"/>
        <v>183472.24245968732</v>
      </c>
      <c r="AM23" s="208">
        <f t="shared" si="12"/>
        <v>199605.30253225705</v>
      </c>
      <c r="AN23" s="208">
        <f t="shared" si="12"/>
        <v>186416.73912965067</v>
      </c>
      <c r="AO23" s="208">
        <f t="shared" si="12"/>
        <v>158155.14993762993</v>
      </c>
      <c r="AP23" s="208">
        <f t="shared" si="12"/>
        <v>152860.00606134583</v>
      </c>
      <c r="AQ23" s="208">
        <f t="shared" si="12"/>
        <v>145786.56525209529</v>
      </c>
      <c r="AR23" s="208">
        <f t="shared" si="12"/>
        <v>144210.24940661166</v>
      </c>
      <c r="AS23" s="208">
        <f t="shared" si="12"/>
        <v>122776.05077397123</v>
      </c>
      <c r="AT23" s="208">
        <f t="shared" si="12"/>
        <v>105161.23197437267</v>
      </c>
      <c r="AU23" s="208">
        <f t="shared" si="12"/>
        <v>86139.239366662136</v>
      </c>
      <c r="AV23" s="208">
        <f t="shared" si="12"/>
        <v>70493.932667748755</v>
      </c>
      <c r="AW23" s="208">
        <f t="shared" si="12"/>
        <v>68258.664030469445</v>
      </c>
      <c r="AX23" s="208">
        <f t="shared" si="12"/>
        <v>65354.481274368714</v>
      </c>
      <c r="AY23" s="208">
        <f t="shared" si="12"/>
        <v>64810.597671615513</v>
      </c>
      <c r="AZ23" s="208">
        <f t="shared" si="12"/>
        <v>66784.819336034241</v>
      </c>
      <c r="BA23" s="208">
        <f t="shared" si="12"/>
        <v>75209.502305049042</v>
      </c>
      <c r="BB23" s="208">
        <f t="shared" si="12"/>
        <v>79250.419843712574</v>
      </c>
      <c r="BC23" s="208">
        <f t="shared" si="12"/>
        <v>88137.84528086822</v>
      </c>
      <c r="BD23" s="208">
        <f t="shared" si="12"/>
        <v>86925.161873498146</v>
      </c>
      <c r="BE23" s="208">
        <f t="shared" si="12"/>
        <v>106704.68453891341</v>
      </c>
      <c r="BF23" s="208">
        <f t="shared" si="12"/>
        <v>110207.6157576066</v>
      </c>
      <c r="BG23" s="208">
        <f t="shared" si="12"/>
        <v>124261.16422740166</v>
      </c>
      <c r="BH23" s="208">
        <f t="shared" si="12"/>
        <v>131262.1615981824</v>
      </c>
      <c r="BI23" s="208">
        <f t="shared" si="12"/>
        <v>162227.6718979649</v>
      </c>
      <c r="BJ23" s="208">
        <f t="shared" si="12"/>
        <v>196049.48965876899</v>
      </c>
      <c r="BK23" s="208">
        <f t="shared" si="12"/>
        <v>159062.35170524073</v>
      </c>
      <c r="BL23" s="208">
        <f t="shared" si="12"/>
        <v>158121.0067155349</v>
      </c>
      <c r="BM23" s="208">
        <f t="shared" si="12"/>
        <v>150501.90582039912</v>
      </c>
      <c r="BN23" s="208">
        <f t="shared" ref="BN23:BY23" si="13">BN9/BN$3</f>
        <v>132572.64072998837</v>
      </c>
      <c r="BO23" s="208">
        <f t="shared" si="13"/>
        <v>107723.24313693268</v>
      </c>
      <c r="BP23" s="208">
        <f t="shared" si="13"/>
        <v>108660.10702352706</v>
      </c>
      <c r="BQ23" s="208">
        <f t="shared" si="13"/>
        <v>109188.7425974026</v>
      </c>
      <c r="BR23" s="208">
        <f t="shared" si="13"/>
        <v>125678.9771618021</v>
      </c>
      <c r="BS23" s="208">
        <f t="shared" si="13"/>
        <v>129216.15452486134</v>
      </c>
      <c r="BT23" s="208">
        <f t="shared" si="13"/>
        <v>128078.95809295212</v>
      </c>
      <c r="BU23" s="208">
        <f t="shared" si="13"/>
        <v>144545</v>
      </c>
      <c r="BV23" s="208">
        <f t="shared" si="13"/>
        <v>129415.82404546553</v>
      </c>
      <c r="BW23" s="208">
        <f t="shared" si="13"/>
        <v>131900.91816204845</v>
      </c>
      <c r="BX23" s="208">
        <f t="shared" si="13"/>
        <v>132765.55817125336</v>
      </c>
      <c r="BY23" s="208">
        <f t="shared" si="13"/>
        <v>137850.50388806328</v>
      </c>
    </row>
    <row r="24" spans="1:81" s="311" customFormat="1">
      <c r="A24" s="310" t="s">
        <v>376</v>
      </c>
      <c r="B24" s="208">
        <f t="shared" ref="B24:AG24" si="14">B10/B$3</f>
        <v>3988.5470129966016</v>
      </c>
      <c r="C24" s="208">
        <f t="shared" si="14"/>
        <v>2093.7708831782593</v>
      </c>
      <c r="D24" s="208">
        <f t="shared" si="14"/>
        <v>5285.2094594594573</v>
      </c>
      <c r="E24" s="208">
        <f t="shared" si="14"/>
        <v>10311.436617842879</v>
      </c>
      <c r="F24" s="208">
        <f t="shared" si="14"/>
        <v>13875.811708221019</v>
      </c>
      <c r="G24" s="208">
        <f t="shared" si="14"/>
        <v>17339.040696866414</v>
      </c>
      <c r="H24" s="208">
        <f t="shared" si="14"/>
        <v>17573.464043951728</v>
      </c>
      <c r="I24" s="208">
        <f t="shared" si="14"/>
        <v>17780.118617668533</v>
      </c>
      <c r="J24" s="208">
        <f t="shared" si="14"/>
        <v>24789.291436704367</v>
      </c>
      <c r="K24" s="208">
        <f t="shared" si="14"/>
        <v>30193.738120283557</v>
      </c>
      <c r="L24" s="208">
        <f t="shared" si="14"/>
        <v>27531.049092119869</v>
      </c>
      <c r="M24" s="208">
        <f t="shared" si="14"/>
        <v>36102.57232302917</v>
      </c>
      <c r="N24" s="208">
        <f t="shared" si="14"/>
        <v>38623.678017997299</v>
      </c>
      <c r="O24" s="208">
        <f t="shared" si="14"/>
        <v>40149.845123507548</v>
      </c>
      <c r="P24" s="208">
        <f t="shared" si="14"/>
        <v>42162.537266183012</v>
      </c>
      <c r="Q24" s="208">
        <f t="shared" si="14"/>
        <v>45510.024319152464</v>
      </c>
      <c r="R24" s="208">
        <f t="shared" si="14"/>
        <v>44902.284643414896</v>
      </c>
      <c r="S24" s="208">
        <f t="shared" si="14"/>
        <v>40966.788488104386</v>
      </c>
      <c r="T24" s="208">
        <f t="shared" si="14"/>
        <v>41723.142780332899</v>
      </c>
      <c r="U24" s="208">
        <f t="shared" si="14"/>
        <v>43046.913768319821</v>
      </c>
      <c r="V24" s="208">
        <f t="shared" si="14"/>
        <v>42264.166545112923</v>
      </c>
      <c r="W24" s="208">
        <f t="shared" si="14"/>
        <v>42321.107187688387</v>
      </c>
      <c r="X24" s="208">
        <f t="shared" si="14"/>
        <v>38992.526442377792</v>
      </c>
      <c r="Y24" s="208">
        <f t="shared" si="14"/>
        <v>35406.31578745076</v>
      </c>
      <c r="Z24" s="208">
        <f t="shared" si="14"/>
        <v>35963.33929925401</v>
      </c>
      <c r="AA24" s="208">
        <f t="shared" si="14"/>
        <v>36494.570867564747</v>
      </c>
      <c r="AB24" s="208">
        <f t="shared" si="14"/>
        <v>35001.817781791317</v>
      </c>
      <c r="AC24" s="208">
        <f t="shared" si="14"/>
        <v>33261.687406574514</v>
      </c>
      <c r="AD24" s="208">
        <f t="shared" si="14"/>
        <v>34289.910762546773</v>
      </c>
      <c r="AE24" s="208">
        <f t="shared" si="14"/>
        <v>35331.153383621306</v>
      </c>
      <c r="AF24" s="208">
        <f t="shared" si="14"/>
        <v>36059.844648504019</v>
      </c>
      <c r="AG24" s="208">
        <f t="shared" si="14"/>
        <v>36509.866609538716</v>
      </c>
      <c r="AH24" s="208">
        <f t="shared" ref="AH24:BM24" si="15">AH10/AH$3</f>
        <v>36620.528677710208</v>
      </c>
      <c r="AI24" s="208">
        <f t="shared" si="15"/>
        <v>40851.110490734543</v>
      </c>
      <c r="AJ24" s="208">
        <f t="shared" si="15"/>
        <v>46170.592052415028</v>
      </c>
      <c r="AK24" s="208">
        <f t="shared" si="15"/>
        <v>50261.922626468564</v>
      </c>
      <c r="AL24" s="208">
        <f t="shared" si="15"/>
        <v>57210.904448235502</v>
      </c>
      <c r="AM24" s="208">
        <f t="shared" si="15"/>
        <v>64569.456562524698</v>
      </c>
      <c r="AN24" s="208">
        <f t="shared" si="15"/>
        <v>67728.36556989199</v>
      </c>
      <c r="AO24" s="208">
        <f t="shared" si="15"/>
        <v>70260.515048195055</v>
      </c>
      <c r="AP24" s="208">
        <f t="shared" si="15"/>
        <v>69736.303216199405</v>
      </c>
      <c r="AQ24" s="208">
        <f t="shared" si="15"/>
        <v>68917.619270829266</v>
      </c>
      <c r="AR24" s="208">
        <f t="shared" si="15"/>
        <v>64610.714253780658</v>
      </c>
      <c r="AS24" s="208">
        <f t="shared" si="15"/>
        <v>61940.808553977433</v>
      </c>
      <c r="AT24" s="208">
        <f t="shared" si="15"/>
        <v>61178.672617191674</v>
      </c>
      <c r="AU24" s="208">
        <f t="shared" si="15"/>
        <v>61964.641794874464</v>
      </c>
      <c r="AV24" s="208">
        <f t="shared" si="15"/>
        <v>55204.090766545189</v>
      </c>
      <c r="AW24" s="208">
        <f t="shared" si="15"/>
        <v>53988.260353744037</v>
      </c>
      <c r="AX24" s="208">
        <f t="shared" si="15"/>
        <v>53687.327800601866</v>
      </c>
      <c r="AY24" s="208">
        <f t="shared" si="15"/>
        <v>54916.206913797709</v>
      </c>
      <c r="AZ24" s="208">
        <f t="shared" si="15"/>
        <v>55267.574732343572</v>
      </c>
      <c r="BA24" s="208">
        <f t="shared" si="15"/>
        <v>56342.382283227569</v>
      </c>
      <c r="BB24" s="208">
        <f t="shared" si="15"/>
        <v>55799.515225123949</v>
      </c>
      <c r="BC24" s="208">
        <f t="shared" si="15"/>
        <v>58555.840986030838</v>
      </c>
      <c r="BD24" s="208">
        <f t="shared" si="15"/>
        <v>67497.928532883059</v>
      </c>
      <c r="BE24" s="208">
        <f t="shared" si="15"/>
        <v>78989.199716708958</v>
      </c>
      <c r="BF24" s="208">
        <f t="shared" si="15"/>
        <v>85755.064704385877</v>
      </c>
      <c r="BG24" s="208">
        <f t="shared" si="15"/>
        <v>88520.034652854869</v>
      </c>
      <c r="BH24" s="208">
        <f t="shared" si="15"/>
        <v>90756.515390720189</v>
      </c>
      <c r="BI24" s="208">
        <f t="shared" si="15"/>
        <v>94045.044762844831</v>
      </c>
      <c r="BJ24" s="208">
        <f t="shared" si="15"/>
        <v>94536.37894185225</v>
      </c>
      <c r="BK24" s="208">
        <f t="shared" si="15"/>
        <v>93960.213885156205</v>
      </c>
      <c r="BL24" s="208">
        <f t="shared" si="15"/>
        <v>93410.109579906988</v>
      </c>
      <c r="BM24" s="208">
        <f t="shared" si="15"/>
        <v>87503.522810421287</v>
      </c>
      <c r="BN24" s="208">
        <f t="shared" ref="BN24:BY24" si="16">BN10/BN$3</f>
        <v>80713.83077811946</v>
      </c>
      <c r="BO24" s="208">
        <f t="shared" si="16"/>
        <v>69800.888710404484</v>
      </c>
      <c r="BP24" s="208">
        <f t="shared" si="16"/>
        <v>68702.45081594112</v>
      </c>
      <c r="BQ24" s="208">
        <f t="shared" si="16"/>
        <v>68296.697688311688</v>
      </c>
      <c r="BR24" s="208">
        <f t="shared" si="16"/>
        <v>73511.023245411532</v>
      </c>
      <c r="BS24" s="208">
        <f t="shared" si="16"/>
        <v>77037.923697478996</v>
      </c>
      <c r="BT24" s="208">
        <f t="shared" si="16"/>
        <v>76324.899092674445</v>
      </c>
      <c r="BU24" s="208">
        <f t="shared" si="16"/>
        <v>92634</v>
      </c>
      <c r="BV24" s="208">
        <f t="shared" si="16"/>
        <v>88072.767261085173</v>
      </c>
      <c r="BW24" s="208">
        <f t="shared" si="16"/>
        <v>86967.027366328679</v>
      </c>
      <c r="BX24" s="208">
        <f t="shared" si="16"/>
        <v>82032.309895614657</v>
      </c>
      <c r="BY24" s="208">
        <f t="shared" si="16"/>
        <v>78640.011410620355</v>
      </c>
    </row>
    <row r="25" spans="1:81" s="311" customFormat="1">
      <c r="A25" s="310" t="s">
        <v>377</v>
      </c>
      <c r="B25" s="208">
        <f t="shared" ref="B25:AG25" si="17">B11/B$3</f>
        <v>2188.9422869590894</v>
      </c>
      <c r="C25" s="208">
        <f t="shared" si="17"/>
        <v>1098.7971163786733</v>
      </c>
      <c r="D25" s="208">
        <f t="shared" si="17"/>
        <v>3361.7397873283107</v>
      </c>
      <c r="E25" s="208">
        <f t="shared" si="17"/>
        <v>20318.628295605864</v>
      </c>
      <c r="F25" s="208">
        <f t="shared" si="17"/>
        <v>31918.320151617238</v>
      </c>
      <c r="G25" s="208">
        <f t="shared" si="17"/>
        <v>18138.826273121336</v>
      </c>
      <c r="H25" s="208">
        <f t="shared" si="17"/>
        <v>2401.9625527322669</v>
      </c>
      <c r="I25" s="208">
        <f t="shared" si="17"/>
        <v>6822.6921976149924</v>
      </c>
      <c r="J25" s="208">
        <f t="shared" si="17"/>
        <v>9418.446357238874</v>
      </c>
      <c r="K25" s="208">
        <f t="shared" si="17"/>
        <v>10553.498513606219</v>
      </c>
      <c r="L25" s="208">
        <f t="shared" si="17"/>
        <v>14487.832594894564</v>
      </c>
      <c r="M25" s="208">
        <f t="shared" si="17"/>
        <v>9466.8359407109456</v>
      </c>
      <c r="N25" s="208">
        <f t="shared" si="17"/>
        <v>9202.2177845499245</v>
      </c>
      <c r="O25" s="208">
        <f t="shared" si="17"/>
        <v>7060.995470916876</v>
      </c>
      <c r="P25" s="208">
        <f t="shared" si="17"/>
        <v>5183.0547998259963</v>
      </c>
      <c r="Q25" s="208">
        <f t="shared" si="17"/>
        <v>7835.5597426368613</v>
      </c>
      <c r="R25" s="208">
        <f t="shared" si="17"/>
        <v>6101.4129619989599</v>
      </c>
      <c r="S25" s="208">
        <f t="shared" si="17"/>
        <v>6628.7461243284743</v>
      </c>
      <c r="T25" s="208">
        <f t="shared" si="17"/>
        <v>15870.380132572522</v>
      </c>
      <c r="U25" s="208">
        <f t="shared" si="17"/>
        <v>6590.2832288922427</v>
      </c>
      <c r="V25" s="208">
        <f t="shared" si="17"/>
        <v>8951.76513096901</v>
      </c>
      <c r="W25" s="208">
        <f t="shared" si="17"/>
        <v>6479.3620651749952</v>
      </c>
      <c r="X25" s="208">
        <f t="shared" si="17"/>
        <v>5054.3917613668218</v>
      </c>
      <c r="Y25" s="208">
        <f t="shared" si="17"/>
        <v>6624.2781589314891</v>
      </c>
      <c r="Z25" s="208">
        <f t="shared" si="17"/>
        <v>6155.7145468998424</v>
      </c>
      <c r="AA25" s="208">
        <f t="shared" si="17"/>
        <v>6216.9143337208288</v>
      </c>
      <c r="AB25" s="208">
        <f t="shared" si="17"/>
        <v>6691.2721615630908</v>
      </c>
      <c r="AC25" s="208">
        <f t="shared" si="17"/>
        <v>7477.2832049077324</v>
      </c>
      <c r="AD25" s="208">
        <f t="shared" si="17"/>
        <v>8562.5002009957025</v>
      </c>
      <c r="AE25" s="208">
        <f t="shared" si="17"/>
        <v>7459.513560446534</v>
      </c>
      <c r="AF25" s="208">
        <f t="shared" si="17"/>
        <v>5203.9578812940899</v>
      </c>
      <c r="AG25" s="208">
        <f t="shared" si="17"/>
        <v>6807.620862548868</v>
      </c>
      <c r="AH25" s="208">
        <f t="shared" ref="AH25:BM25" si="18">AH11/AH$3</f>
        <v>6192.0855584388692</v>
      </c>
      <c r="AI25" s="208">
        <f t="shared" si="18"/>
        <v>8357.6418476438048</v>
      </c>
      <c r="AJ25" s="208">
        <f t="shared" si="18"/>
        <v>11314.787164988647</v>
      </c>
      <c r="AK25" s="208">
        <f t="shared" si="18"/>
        <v>9947.4425340216749</v>
      </c>
      <c r="AL25" s="208">
        <f t="shared" si="18"/>
        <v>9603.6468180869506</v>
      </c>
      <c r="AM25" s="208">
        <f t="shared" si="18"/>
        <v>11371.331179348446</v>
      </c>
      <c r="AN25" s="208">
        <f t="shared" si="18"/>
        <v>10642.194012752525</v>
      </c>
      <c r="AO25" s="208">
        <f t="shared" si="18"/>
        <v>10039.18760914761</v>
      </c>
      <c r="AP25" s="208">
        <f t="shared" si="18"/>
        <v>10213.835489265097</v>
      </c>
      <c r="AQ25" s="208">
        <f t="shared" si="18"/>
        <v>10536.885141913624</v>
      </c>
      <c r="AR25" s="208">
        <f t="shared" si="18"/>
        <v>9091.1150640965134</v>
      </c>
      <c r="AS25" s="208">
        <f t="shared" si="18"/>
        <v>8878.7587317446723</v>
      </c>
      <c r="AT25" s="208">
        <f t="shared" si="18"/>
        <v>8776.7999871863321</v>
      </c>
      <c r="AU25" s="208">
        <f t="shared" si="18"/>
        <v>7431.0575323605181</v>
      </c>
      <c r="AV25" s="208">
        <f t="shared" si="18"/>
        <v>9596.4758705172571</v>
      </c>
      <c r="AW25" s="208">
        <f t="shared" si="18"/>
        <v>8485.612093141046</v>
      </c>
      <c r="AX25" s="208">
        <f t="shared" si="18"/>
        <v>10581.801170351957</v>
      </c>
      <c r="AY25" s="208">
        <f t="shared" si="18"/>
        <v>8625.7244020738199</v>
      </c>
      <c r="AZ25" s="208">
        <f t="shared" si="18"/>
        <v>8145.0716785836757</v>
      </c>
      <c r="BA25" s="208">
        <f t="shared" si="18"/>
        <v>7953.266551079787</v>
      </c>
      <c r="BB25" s="208">
        <f t="shared" si="18"/>
        <v>7360.9343445327049</v>
      </c>
      <c r="BC25" s="208">
        <f t="shared" si="18"/>
        <v>7634.4743392615574</v>
      </c>
      <c r="BD25" s="208">
        <f t="shared" si="18"/>
        <v>9187.1333819439951</v>
      </c>
      <c r="BE25" s="208">
        <f t="shared" si="18"/>
        <v>9067.6550627411452</v>
      </c>
      <c r="BF25" s="208">
        <f t="shared" si="18"/>
        <v>8141.5639004782743</v>
      </c>
      <c r="BG25" s="208">
        <f t="shared" si="18"/>
        <v>9337.5292637809853</v>
      </c>
      <c r="BH25" s="208">
        <f t="shared" si="18"/>
        <v>11871.6572874005</v>
      </c>
      <c r="BI25" s="208">
        <f t="shared" si="18"/>
        <v>16930.751781893727</v>
      </c>
      <c r="BJ25" s="208">
        <f t="shared" si="18"/>
        <v>26215.022119384019</v>
      </c>
      <c r="BK25" s="208">
        <f t="shared" si="18"/>
        <v>31492.320921573195</v>
      </c>
      <c r="BL25" s="208">
        <f t="shared" si="18"/>
        <v>26284.618042046513</v>
      </c>
      <c r="BM25" s="208">
        <f t="shared" si="18"/>
        <v>18246.493320399113</v>
      </c>
      <c r="BN25" s="208">
        <f t="shared" ref="BN25:BY25" si="19">BN11/BN$3</f>
        <v>12736.681490058638</v>
      </c>
      <c r="BO25" s="208">
        <f t="shared" si="19"/>
        <v>8889.9801113792819</v>
      </c>
      <c r="BP25" s="208">
        <f t="shared" si="19"/>
        <v>9081.9741859612477</v>
      </c>
      <c r="BQ25" s="208">
        <f t="shared" si="19"/>
        <v>6043.8230649350653</v>
      </c>
      <c r="BR25" s="208">
        <f t="shared" si="19"/>
        <v>7322.2446259287872</v>
      </c>
      <c r="BS25" s="208">
        <f t="shared" si="19"/>
        <v>7164.5300215896641</v>
      </c>
      <c r="BT25" s="208">
        <f t="shared" si="19"/>
        <v>7219.2201458343034</v>
      </c>
      <c r="BU25" s="208">
        <f t="shared" si="19"/>
        <v>9801</v>
      </c>
      <c r="BV25" s="208">
        <f t="shared" si="19"/>
        <v>9647.0070671628782</v>
      </c>
      <c r="BW25" s="208">
        <f t="shared" si="19"/>
        <v>9445.1855188425779</v>
      </c>
      <c r="BX25" s="208">
        <f t="shared" si="19"/>
        <v>9838.1347568860492</v>
      </c>
      <c r="BY25" s="208">
        <f t="shared" si="19"/>
        <v>9368.1153247448492</v>
      </c>
    </row>
    <row r="26" spans="1:81" s="311" customFormat="1">
      <c r="A26" s="310" t="s">
        <v>378</v>
      </c>
      <c r="B26" s="208">
        <f t="shared" ref="B26:AG26" si="20">B12/B$3</f>
        <v>0</v>
      </c>
      <c r="C26" s="208">
        <f t="shared" si="20"/>
        <v>0</v>
      </c>
      <c r="D26" s="208">
        <f t="shared" si="20"/>
        <v>0</v>
      </c>
      <c r="E26" s="208">
        <f t="shared" si="20"/>
        <v>0</v>
      </c>
      <c r="F26" s="208">
        <f t="shared" si="20"/>
        <v>0</v>
      </c>
      <c r="G26" s="208">
        <f t="shared" si="20"/>
        <v>0</v>
      </c>
      <c r="H26" s="208">
        <f t="shared" si="20"/>
        <v>0</v>
      </c>
      <c r="I26" s="208">
        <f t="shared" si="20"/>
        <v>571.09588707714784</v>
      </c>
      <c r="J26" s="208">
        <f t="shared" si="20"/>
        <v>0</v>
      </c>
      <c r="K26" s="208">
        <f t="shared" si="20"/>
        <v>536.61856848845184</v>
      </c>
      <c r="L26" s="208">
        <f t="shared" si="20"/>
        <v>381.98983351831305</v>
      </c>
      <c r="M26" s="208">
        <f t="shared" si="20"/>
        <v>389.89136461020513</v>
      </c>
      <c r="N26" s="208">
        <f t="shared" si="20"/>
        <v>202.39481930828279</v>
      </c>
      <c r="O26" s="208">
        <f t="shared" si="20"/>
        <v>199.65114432375708</v>
      </c>
      <c r="P26" s="208">
        <f t="shared" si="20"/>
        <v>2897.7688842737466</v>
      </c>
      <c r="Q26" s="208">
        <f t="shared" si="20"/>
        <v>3839.6845914914852</v>
      </c>
      <c r="R26" s="208">
        <f t="shared" si="20"/>
        <v>4140.4741280583039</v>
      </c>
      <c r="S26" s="208">
        <f t="shared" si="20"/>
        <v>3987.3582501918659</v>
      </c>
      <c r="T26" s="208">
        <f t="shared" si="20"/>
        <v>4119.1243835905298</v>
      </c>
      <c r="U26" s="208">
        <f t="shared" si="20"/>
        <v>3043.0542778218278</v>
      </c>
      <c r="V26" s="208">
        <f t="shared" si="20"/>
        <v>3550.5380817582854</v>
      </c>
      <c r="W26" s="208">
        <f t="shared" si="20"/>
        <v>2840.2683025424635</v>
      </c>
      <c r="X26" s="208">
        <f t="shared" si="20"/>
        <v>3180.0548165266255</v>
      </c>
      <c r="Y26" s="208">
        <f t="shared" si="20"/>
        <v>3592.7439031421163</v>
      </c>
      <c r="Z26" s="208">
        <f t="shared" si="20"/>
        <v>4113.3756879051007</v>
      </c>
      <c r="AA26" s="208">
        <f t="shared" si="20"/>
        <v>4433.4484960973759</v>
      </c>
      <c r="AB26" s="208">
        <f t="shared" si="20"/>
        <v>4704.8676299154431</v>
      </c>
      <c r="AC26" s="208">
        <f t="shared" si="20"/>
        <v>4489.4741401547726</v>
      </c>
      <c r="AD26" s="208">
        <f t="shared" si="20"/>
        <v>4459.0308250100497</v>
      </c>
      <c r="AE26" s="208">
        <f t="shared" si="20"/>
        <v>4257.7441284218421</v>
      </c>
      <c r="AF26" s="208">
        <f t="shared" si="20"/>
        <v>4268.4505229871083</v>
      </c>
      <c r="AG26" s="208">
        <f t="shared" si="20"/>
        <v>4588.3188478498842</v>
      </c>
      <c r="AH26" s="208">
        <f t="shared" ref="AH26:BM26" si="21">AH12/AH$3</f>
        <v>4120.8558927944678</v>
      </c>
      <c r="AI26" s="208">
        <f t="shared" si="21"/>
        <v>4928.9918371625035</v>
      </c>
      <c r="AJ26" s="208">
        <f t="shared" si="21"/>
        <v>5070.4792767432855</v>
      </c>
      <c r="AK26" s="208">
        <f t="shared" si="21"/>
        <v>5979.0479060874968</v>
      </c>
      <c r="AL26" s="208">
        <f t="shared" si="21"/>
        <v>5683.3998575330534</v>
      </c>
      <c r="AM26" s="208">
        <f t="shared" si="21"/>
        <v>5956.7060192708004</v>
      </c>
      <c r="AN26" s="208">
        <f t="shared" si="21"/>
        <v>5648.5646312716017</v>
      </c>
      <c r="AO26" s="208">
        <f t="shared" si="21"/>
        <v>6061.3591003591009</v>
      </c>
      <c r="AP26" s="208">
        <f t="shared" si="21"/>
        <v>6108.4426491230224</v>
      </c>
      <c r="AQ26" s="208">
        <f t="shared" si="21"/>
        <v>6015.8305550556006</v>
      </c>
      <c r="AR26" s="208">
        <f t="shared" si="21"/>
        <v>5569.8586055468504</v>
      </c>
      <c r="AS26" s="208">
        <f t="shared" si="21"/>
        <v>5640.7842675077945</v>
      </c>
      <c r="AT26" s="208">
        <f t="shared" si="21"/>
        <v>6244.3240106780568</v>
      </c>
      <c r="AU26" s="208">
        <f t="shared" si="21"/>
        <v>6430.785624732719</v>
      </c>
      <c r="AV26" s="208">
        <f t="shared" si="21"/>
        <v>5591.1569350442533</v>
      </c>
      <c r="AW26" s="208">
        <f t="shared" si="21"/>
        <v>5306.2443479593749</v>
      </c>
      <c r="AX26" s="208">
        <f t="shared" si="21"/>
        <v>6539.7465524008903</v>
      </c>
      <c r="AY26" s="208">
        <f t="shared" si="21"/>
        <v>6231.7012075842858</v>
      </c>
      <c r="AZ26" s="208">
        <f t="shared" si="21"/>
        <v>5704.2324159565151</v>
      </c>
      <c r="BA26" s="208">
        <f t="shared" si="21"/>
        <v>5285.5011011061224</v>
      </c>
      <c r="BB26" s="208">
        <f t="shared" si="21"/>
        <v>5107.67535892663</v>
      </c>
      <c r="BC26" s="208">
        <f t="shared" si="21"/>
        <v>5184.9103801402025</v>
      </c>
      <c r="BD26" s="208">
        <f t="shared" si="21"/>
        <v>5608.4325034096355</v>
      </c>
      <c r="BE26" s="208">
        <f t="shared" si="21"/>
        <v>5686.6568406965835</v>
      </c>
      <c r="BF26" s="208">
        <f t="shared" si="21"/>
        <v>5079.6884756283707</v>
      </c>
      <c r="BG26" s="208">
        <f t="shared" si="21"/>
        <v>5270.6880059193491</v>
      </c>
      <c r="BH26" s="208">
        <f t="shared" si="21"/>
        <v>5513.5314957014289</v>
      </c>
      <c r="BI26" s="208">
        <f t="shared" si="21"/>
        <v>4879.9760167853565</v>
      </c>
      <c r="BJ26" s="208">
        <f t="shared" si="21"/>
        <v>3381.4336907073475</v>
      </c>
      <c r="BK26" s="208">
        <f t="shared" si="21"/>
        <v>4519.2038376361606</v>
      </c>
      <c r="BL26" s="208">
        <f t="shared" si="21"/>
        <v>2639.2890597209303</v>
      </c>
      <c r="BM26" s="208">
        <f t="shared" si="21"/>
        <v>2091.5403824833702</v>
      </c>
      <c r="BN26" s="208">
        <f t="shared" ref="BN26:BY26" si="22">BN12/BN$3</f>
        <v>1893.6387541302979</v>
      </c>
      <c r="BO26" s="208">
        <f t="shared" si="22"/>
        <v>1640.7015847600089</v>
      </c>
      <c r="BP26" s="208">
        <f t="shared" si="22"/>
        <v>1533.5030292548961</v>
      </c>
      <c r="BQ26" s="208">
        <f t="shared" si="22"/>
        <v>1219.0301298701299</v>
      </c>
      <c r="BR26" s="208">
        <f t="shared" si="22"/>
        <v>1324.4943722085709</v>
      </c>
      <c r="BS26" s="208">
        <f t="shared" si="22"/>
        <v>1387.3872322051352</v>
      </c>
      <c r="BT26" s="208">
        <f t="shared" si="22"/>
        <v>1301.0910884300242</v>
      </c>
      <c r="BU26" s="208">
        <f t="shared" si="22"/>
        <v>1583</v>
      </c>
      <c r="BV26" s="208">
        <f t="shared" si="22"/>
        <v>1350.5809894028027</v>
      </c>
      <c r="BW26" s="208">
        <f t="shared" si="22"/>
        <v>1323.8405766286005</v>
      </c>
      <c r="BX26" s="208">
        <f t="shared" si="22"/>
        <v>1380.2476134839656</v>
      </c>
      <c r="BY26" s="208">
        <f t="shared" si="22"/>
        <v>1299.3416177723939</v>
      </c>
    </row>
    <row r="27" spans="1:81" s="311" customFormat="1">
      <c r="A27" s="310" t="s">
        <v>379</v>
      </c>
      <c r="B27" s="208">
        <f t="shared" ref="B27:AG27" si="23">B13/B$3</f>
        <v>0</v>
      </c>
      <c r="C27" s="208">
        <f t="shared" si="23"/>
        <v>0</v>
      </c>
      <c r="D27" s="208">
        <f t="shared" si="23"/>
        <v>1455.5986708019491</v>
      </c>
      <c r="E27" s="208">
        <f t="shared" si="23"/>
        <v>4719.9079893475382</v>
      </c>
      <c r="F27" s="208">
        <f t="shared" si="23"/>
        <v>6127.49519878706</v>
      </c>
      <c r="G27" s="208">
        <f t="shared" si="23"/>
        <v>2795.3670626385619</v>
      </c>
      <c r="H27" s="208">
        <f t="shared" si="23"/>
        <v>767.40017659177852</v>
      </c>
      <c r="I27" s="208">
        <f t="shared" si="23"/>
        <v>8520.7506351910451</v>
      </c>
      <c r="J27" s="208">
        <f t="shared" si="23"/>
        <v>0</v>
      </c>
      <c r="K27" s="208">
        <f t="shared" si="23"/>
        <v>0</v>
      </c>
      <c r="L27" s="208">
        <f t="shared" si="23"/>
        <v>520.89522752497237</v>
      </c>
      <c r="M27" s="208">
        <f t="shared" si="23"/>
        <v>0</v>
      </c>
      <c r="N27" s="208">
        <f t="shared" si="23"/>
        <v>0</v>
      </c>
      <c r="O27" s="208">
        <f t="shared" si="23"/>
        <v>0</v>
      </c>
      <c r="P27" s="208">
        <f t="shared" si="23"/>
        <v>2140.3974713385628</v>
      </c>
      <c r="Q27" s="208">
        <f t="shared" si="23"/>
        <v>6.5079399855787887</v>
      </c>
      <c r="R27" s="208">
        <f t="shared" si="23"/>
        <v>0</v>
      </c>
      <c r="S27" s="208">
        <f t="shared" si="23"/>
        <v>0</v>
      </c>
      <c r="T27" s="208">
        <f t="shared" si="23"/>
        <v>8553.677210969523</v>
      </c>
      <c r="U27" s="208">
        <f t="shared" si="23"/>
        <v>6086.1085556436556</v>
      </c>
      <c r="V27" s="208">
        <f t="shared" si="23"/>
        <v>2993.5909316785546</v>
      </c>
      <c r="W27" s="208">
        <f t="shared" si="23"/>
        <v>5331.0504662955227</v>
      </c>
      <c r="X27" s="208">
        <f t="shared" si="23"/>
        <v>26.324957090452198</v>
      </c>
      <c r="Y27" s="208">
        <f t="shared" si="23"/>
        <v>0</v>
      </c>
      <c r="Z27" s="208">
        <f t="shared" si="23"/>
        <v>0</v>
      </c>
      <c r="AA27" s="208">
        <f t="shared" si="23"/>
        <v>0</v>
      </c>
      <c r="AB27" s="208">
        <f t="shared" si="23"/>
        <v>0</v>
      </c>
      <c r="AC27" s="208">
        <f t="shared" si="23"/>
        <v>613.08289900125669</v>
      </c>
      <c r="AD27" s="208">
        <f t="shared" si="23"/>
        <v>489.80403692136429</v>
      </c>
      <c r="AE27" s="208">
        <f t="shared" si="23"/>
        <v>744.59754233132367</v>
      </c>
      <c r="AF27" s="208">
        <f t="shared" si="23"/>
        <v>1341.4224154706885</v>
      </c>
      <c r="AG27" s="208">
        <f t="shared" si="23"/>
        <v>2131.2344744331517</v>
      </c>
      <c r="AH27" s="208">
        <f t="shared" ref="AH27:BM27" si="24">AH13/AH$3</f>
        <v>3607.774228554003</v>
      </c>
      <c r="AI27" s="208">
        <f t="shared" si="24"/>
        <v>6584.2870000419271</v>
      </c>
      <c r="AJ27" s="208">
        <f t="shared" si="24"/>
        <v>5740.2520727179999</v>
      </c>
      <c r="AK27" s="208">
        <f t="shared" si="24"/>
        <v>2370.0134583495792</v>
      </c>
      <c r="AL27" s="208">
        <f t="shared" si="24"/>
        <v>5906.9880872224394</v>
      </c>
      <c r="AM27" s="208">
        <f t="shared" si="24"/>
        <v>10487.100424238697</v>
      </c>
      <c r="AN27" s="208">
        <f t="shared" si="24"/>
        <v>10549.495485089845</v>
      </c>
      <c r="AO27" s="208">
        <f t="shared" si="24"/>
        <v>5148.7056813456811</v>
      </c>
      <c r="AP27" s="208">
        <f t="shared" si="24"/>
        <v>2379.2183622404768</v>
      </c>
      <c r="AQ27" s="208">
        <f t="shared" si="24"/>
        <v>1647.1916995985573</v>
      </c>
      <c r="AR27" s="208">
        <f t="shared" si="24"/>
        <v>825.82058866841624</v>
      </c>
      <c r="AS27" s="208">
        <f t="shared" si="24"/>
        <v>4622.4994862070853</v>
      </c>
      <c r="AT27" s="208">
        <f t="shared" si="24"/>
        <v>7662.5773774693007</v>
      </c>
      <c r="AU27" s="208">
        <f t="shared" si="24"/>
        <v>7347.8375204697877</v>
      </c>
      <c r="AV27" s="208">
        <f t="shared" si="24"/>
        <v>6474.3074020763797</v>
      </c>
      <c r="AW27" s="208">
        <f t="shared" si="24"/>
        <v>8226.0080372137672</v>
      </c>
      <c r="AX27" s="208">
        <f t="shared" si="24"/>
        <v>4699.099576736884</v>
      </c>
      <c r="AY27" s="208">
        <f t="shared" si="24"/>
        <v>11365.198958591143</v>
      </c>
      <c r="AZ27" s="208">
        <f t="shared" si="24"/>
        <v>3860.9368311764188</v>
      </c>
      <c r="BA27" s="208">
        <f t="shared" si="24"/>
        <v>7917.951398956583</v>
      </c>
      <c r="BB27" s="208">
        <f t="shared" si="24"/>
        <v>10544.041088114414</v>
      </c>
      <c r="BC27" s="208">
        <f t="shared" si="24"/>
        <v>7507.7727551690732</v>
      </c>
      <c r="BD27" s="208">
        <f t="shared" si="24"/>
        <v>6080.8819805990343</v>
      </c>
      <c r="BE27" s="208">
        <f t="shared" si="24"/>
        <v>5647.2322534672739</v>
      </c>
      <c r="BF27" s="208">
        <f t="shared" si="24"/>
        <v>10582.573771242496</v>
      </c>
      <c r="BG27" s="208">
        <f t="shared" si="24"/>
        <v>10134.949118263659</v>
      </c>
      <c r="BH27" s="208">
        <f t="shared" si="24"/>
        <v>5922.1257863905539</v>
      </c>
      <c r="BI27" s="208">
        <f t="shared" si="24"/>
        <v>3439.2673915515088</v>
      </c>
      <c r="BJ27" s="208">
        <f t="shared" si="24"/>
        <v>12233.043316768393</v>
      </c>
      <c r="BK27" s="208">
        <f t="shared" si="24"/>
        <v>-1429.2804237014573</v>
      </c>
      <c r="BL27" s="208">
        <f t="shared" si="24"/>
        <v>6565.0423501395353</v>
      </c>
      <c r="BM27" s="208">
        <f t="shared" si="24"/>
        <v>3231.4470066518847</v>
      </c>
      <c r="BN27" s="208">
        <f t="shared" ref="BN27:BY27" si="25">BN13/BN$3</f>
        <v>8191.9484801459221</v>
      </c>
      <c r="BO27" s="208">
        <f t="shared" si="25"/>
        <v>4938.632977094936</v>
      </c>
      <c r="BP27" s="208">
        <f t="shared" si="25"/>
        <v>12218.242202037951</v>
      </c>
      <c r="BQ27" s="208">
        <f t="shared" si="25"/>
        <v>7996.4099220779226</v>
      </c>
      <c r="BR27" s="208">
        <f t="shared" si="25"/>
        <v>9835.9298750205526</v>
      </c>
      <c r="BS27" s="208">
        <f t="shared" si="25"/>
        <v>15727.878930481285</v>
      </c>
      <c r="BT27" s="208">
        <f t="shared" si="25"/>
        <v>1965.9119267187198</v>
      </c>
      <c r="BU27" s="208">
        <f t="shared" si="25"/>
        <v>1557</v>
      </c>
      <c r="BV27" s="208">
        <f t="shared" si="25"/>
        <v>237.01276246227576</v>
      </c>
      <c r="BW27" s="208">
        <f t="shared" si="25"/>
        <v>261.70056293961471</v>
      </c>
      <c r="BX27" s="208">
        <f t="shared" si="25"/>
        <v>224.2550507292099</v>
      </c>
      <c r="BY27" s="208">
        <f t="shared" si="25"/>
        <v>215.79171743923149</v>
      </c>
    </row>
    <row r="28" spans="1:81" s="312" customFormat="1" ht="15" thickBot="1">
      <c r="A28" s="310" t="s">
        <v>380</v>
      </c>
      <c r="B28" s="208">
        <f t="shared" ref="B28:AG28" si="26">B14/B$3</f>
        <v>-8158.7848877566057</v>
      </c>
      <c r="C28" s="208">
        <f t="shared" si="26"/>
        <v>-4948.9129966031587</v>
      </c>
      <c r="D28" s="208">
        <f t="shared" si="26"/>
        <v>-1836.8268941072213</v>
      </c>
      <c r="E28" s="208">
        <f t="shared" si="26"/>
        <v>-1554.1160452729698</v>
      </c>
      <c r="F28" s="208">
        <f t="shared" si="26"/>
        <v>-1446.8795114555251</v>
      </c>
      <c r="G28" s="208">
        <f t="shared" si="26"/>
        <v>-1599.5711525098438</v>
      </c>
      <c r="H28" s="208">
        <f t="shared" si="26"/>
        <v>-2095.0024820955555</v>
      </c>
      <c r="I28" s="208">
        <f t="shared" si="26"/>
        <v>-2756.4894816257001</v>
      </c>
      <c r="J28" s="208">
        <f t="shared" si="26"/>
        <v>-2939.0896433936914</v>
      </c>
      <c r="K28" s="208">
        <f t="shared" si="26"/>
        <v>-2425.5159295678022</v>
      </c>
      <c r="L28" s="208">
        <f t="shared" si="26"/>
        <v>1555.7404128745841</v>
      </c>
      <c r="M28" s="208">
        <f t="shared" si="26"/>
        <v>1600.606654715579</v>
      </c>
      <c r="N28" s="208">
        <f t="shared" si="26"/>
        <v>1882.27181956703</v>
      </c>
      <c r="O28" s="208">
        <f t="shared" si="26"/>
        <v>432.57747936814036</v>
      </c>
      <c r="P28" s="208">
        <f t="shared" si="26"/>
        <v>665.16967570829183</v>
      </c>
      <c r="Q28" s="208">
        <f t="shared" si="26"/>
        <v>-709.36545842808789</v>
      </c>
      <c r="R28" s="208">
        <f t="shared" si="26"/>
        <v>-1176.5633003643939</v>
      </c>
      <c r="S28" s="208">
        <f t="shared" si="26"/>
        <v>-1263.8219493476597</v>
      </c>
      <c r="T28" s="208">
        <f t="shared" si="26"/>
        <v>-1428.7053042183368</v>
      </c>
      <c r="U28" s="208">
        <f t="shared" si="26"/>
        <v>-858.29736041128479</v>
      </c>
      <c r="V28" s="208">
        <f t="shared" si="26"/>
        <v>-910.84065169289352</v>
      </c>
      <c r="W28" s="208">
        <f t="shared" si="26"/>
        <v>-737.80407077763209</v>
      </c>
      <c r="X28" s="208">
        <f t="shared" si="26"/>
        <v>-737.09879853266159</v>
      </c>
      <c r="Y28" s="208">
        <f t="shared" si="26"/>
        <v>-596.28525031228992</v>
      </c>
      <c r="Z28" s="208">
        <f t="shared" si="26"/>
        <v>-506.99746850923333</v>
      </c>
      <c r="AA28" s="208">
        <f t="shared" si="26"/>
        <v>-481.3982338058164</v>
      </c>
      <c r="AB28" s="208">
        <f t="shared" si="26"/>
        <v>-650.71872588457438</v>
      </c>
      <c r="AC28" s="208">
        <f t="shared" si="26"/>
        <v>-675.16724320391563</v>
      </c>
      <c r="AD28" s="208">
        <f t="shared" si="26"/>
        <v>-533.34217353659665</v>
      </c>
      <c r="AE28" s="208">
        <f t="shared" si="26"/>
        <v>-582.13989673176218</v>
      </c>
      <c r="AF28" s="208">
        <f t="shared" si="26"/>
        <v>-469.33928484553644</v>
      </c>
      <c r="AG28" s="208">
        <f t="shared" si="26"/>
        <v>-1444.3076603596564</v>
      </c>
      <c r="AH28" s="208">
        <f t="shared" ref="AH28:BM28" si="27">AH14/AH$3</f>
        <v>-1963.2124731727249</v>
      </c>
      <c r="AI28" s="208">
        <f t="shared" si="27"/>
        <v>-1596.2653205181959</v>
      </c>
      <c r="AJ28" s="208">
        <f t="shared" si="27"/>
        <v>-1643.3600561029077</v>
      </c>
      <c r="AK28" s="208">
        <f t="shared" si="27"/>
        <v>-804.70224399776407</v>
      </c>
      <c r="AL28" s="208">
        <f t="shared" si="27"/>
        <v>-1384.1176123628643</v>
      </c>
      <c r="AM28" s="208">
        <f t="shared" si="27"/>
        <v>-921.33134623323463</v>
      </c>
      <c r="AN28" s="208">
        <f t="shared" si="27"/>
        <v>-1469.0701449150902</v>
      </c>
      <c r="AO28" s="208">
        <f t="shared" si="27"/>
        <v>-1594.6795161595162</v>
      </c>
      <c r="AP28" s="208">
        <f t="shared" si="27"/>
        <v>-1579.1441296732539</v>
      </c>
      <c r="AQ28" s="208">
        <f t="shared" si="27"/>
        <v>-1272.5795404925309</v>
      </c>
      <c r="AR28" s="208">
        <f t="shared" si="27"/>
        <v>-1522.2744327600205</v>
      </c>
      <c r="AS28" s="208">
        <f t="shared" si="27"/>
        <v>-75914.413998213218</v>
      </c>
      <c r="AT28" s="208">
        <f t="shared" si="27"/>
        <v>-10495.743113721303</v>
      </c>
      <c r="AU28" s="208">
        <f t="shared" si="27"/>
        <v>-2454.174468307031</v>
      </c>
      <c r="AV28" s="208">
        <f t="shared" si="27"/>
        <v>-1459.6736471380884</v>
      </c>
      <c r="AW28" s="208">
        <f t="shared" si="27"/>
        <v>-2858.7723749100314</v>
      </c>
      <c r="AX28" s="208">
        <f t="shared" si="27"/>
        <v>-954.86440272144455</v>
      </c>
      <c r="AY28" s="208">
        <f t="shared" si="27"/>
        <v>-2166.2364885236102</v>
      </c>
      <c r="AZ28" s="208">
        <f t="shared" si="27"/>
        <v>-3345.3505156275801</v>
      </c>
      <c r="BA28" s="208">
        <f t="shared" si="27"/>
        <v>-1216.9012835787203</v>
      </c>
      <c r="BB28" s="208">
        <f t="shared" si="27"/>
        <v>-2481.0356456993313</v>
      </c>
      <c r="BC28" s="208">
        <f t="shared" si="27"/>
        <v>-1883.6302168415939</v>
      </c>
      <c r="BD28" s="208">
        <f t="shared" si="27"/>
        <v>-2358.0909389335966</v>
      </c>
      <c r="BE28" s="208">
        <f t="shared" si="27"/>
        <v>-1601.4539226250479</v>
      </c>
      <c r="BF28" s="208">
        <f t="shared" si="27"/>
        <v>-691.17725145008649</v>
      </c>
      <c r="BG28" s="208">
        <f t="shared" si="27"/>
        <v>-1619.2767690220744</v>
      </c>
      <c r="BH28" s="208">
        <f t="shared" si="27"/>
        <v>-3100.5828948940025</v>
      </c>
      <c r="BI28" s="208">
        <f t="shared" si="27"/>
        <v>-2310.2272147057915</v>
      </c>
      <c r="BJ28" s="208">
        <f t="shared" si="27"/>
        <v>-1840.4219209085318</v>
      </c>
      <c r="BK28" s="208">
        <f t="shared" si="27"/>
        <v>-1431.6292822449273</v>
      </c>
      <c r="BL28" s="208">
        <f t="shared" si="27"/>
        <v>-1851.1114269767443</v>
      </c>
      <c r="BM28" s="208">
        <f t="shared" si="27"/>
        <v>-2380.22544345898</v>
      </c>
      <c r="BN28" s="208">
        <f t="shared" ref="BN28:BY28" si="28">BN14/BN$3</f>
        <v>-510.94631472391472</v>
      </c>
      <c r="BO28" s="208">
        <f t="shared" si="28"/>
        <v>-1842.345903101904</v>
      </c>
      <c r="BP28" s="208">
        <f t="shared" si="28"/>
        <v>-2041.0633120499181</v>
      </c>
      <c r="BQ28" s="208">
        <f t="shared" si="28"/>
        <v>-1964.3494285714287</v>
      </c>
      <c r="BR28" s="208">
        <f t="shared" si="28"/>
        <v>-839.30449444022759</v>
      </c>
      <c r="BS28" s="208">
        <f t="shared" si="28"/>
        <v>-461.42316936260676</v>
      </c>
      <c r="BT28" s="208">
        <f t="shared" si="28"/>
        <v>-1190.9673912901787</v>
      </c>
      <c r="BU28" s="208">
        <f t="shared" si="28"/>
        <v>-1134</v>
      </c>
      <c r="BV28" s="208">
        <f t="shared" si="28"/>
        <v>-908.875386632198</v>
      </c>
      <c r="BW28" s="208">
        <f t="shared" si="28"/>
        <v>-1129.2427221350408</v>
      </c>
      <c r="BX28" s="208">
        <f t="shared" si="28"/>
        <v>-1075.2982767183034</v>
      </c>
      <c r="BY28" s="208">
        <f t="shared" si="28"/>
        <v>-1311.2790319286066</v>
      </c>
    </row>
    <row r="29" spans="1:81" s="298" customFormat="1" ht="15" thickBot="1">
      <c r="A29" s="298" t="s">
        <v>762</v>
      </c>
      <c r="B29" s="208">
        <f t="shared" ref="B29:AG29" si="29">B15/B$3</f>
        <v>0</v>
      </c>
      <c r="C29" s="208">
        <f t="shared" si="29"/>
        <v>0</v>
      </c>
      <c r="D29" s="208">
        <f t="shared" si="29"/>
        <v>0</v>
      </c>
      <c r="E29" s="208">
        <f t="shared" si="29"/>
        <v>0</v>
      </c>
      <c r="F29" s="208">
        <f t="shared" si="29"/>
        <v>0</v>
      </c>
      <c r="G29" s="208">
        <f t="shared" si="29"/>
        <v>0</v>
      </c>
      <c r="H29" s="208">
        <f t="shared" si="29"/>
        <v>0</v>
      </c>
      <c r="I29" s="208">
        <f t="shared" si="29"/>
        <v>0</v>
      </c>
      <c r="J29" s="208">
        <f t="shared" si="29"/>
        <v>0</v>
      </c>
      <c r="K29" s="208">
        <f t="shared" si="29"/>
        <v>0</v>
      </c>
      <c r="L29" s="208">
        <f t="shared" si="29"/>
        <v>0</v>
      </c>
      <c r="M29" s="208">
        <f t="shared" si="29"/>
        <v>0</v>
      </c>
      <c r="N29" s="208">
        <f t="shared" si="29"/>
        <v>0</v>
      </c>
      <c r="O29" s="208">
        <f t="shared" si="29"/>
        <v>0</v>
      </c>
      <c r="P29" s="208">
        <f t="shared" si="29"/>
        <v>0</v>
      </c>
      <c r="Q29" s="208">
        <f t="shared" si="29"/>
        <v>0</v>
      </c>
      <c r="R29" s="208">
        <f t="shared" si="29"/>
        <v>0</v>
      </c>
      <c r="S29" s="208">
        <f t="shared" si="29"/>
        <v>0</v>
      </c>
      <c r="T29" s="208">
        <f t="shared" si="29"/>
        <v>0</v>
      </c>
      <c r="U29" s="208">
        <f t="shared" si="29"/>
        <v>0</v>
      </c>
      <c r="V29" s="208">
        <f t="shared" si="29"/>
        <v>0</v>
      </c>
      <c r="W29" s="208">
        <f t="shared" si="29"/>
        <v>0</v>
      </c>
      <c r="X29" s="208">
        <f t="shared" si="29"/>
        <v>0</v>
      </c>
      <c r="Y29" s="208">
        <f t="shared" si="29"/>
        <v>0</v>
      </c>
      <c r="Z29" s="208">
        <f t="shared" si="29"/>
        <v>0</v>
      </c>
      <c r="AA29" s="208">
        <f t="shared" si="29"/>
        <v>0</v>
      </c>
      <c r="AB29" s="208">
        <f t="shared" si="29"/>
        <v>0</v>
      </c>
      <c r="AC29" s="208">
        <f t="shared" si="29"/>
        <v>0</v>
      </c>
      <c r="AD29" s="208">
        <f t="shared" si="29"/>
        <v>0</v>
      </c>
      <c r="AE29" s="208">
        <f t="shared" si="29"/>
        <v>0</v>
      </c>
      <c r="AF29" s="208">
        <f t="shared" si="29"/>
        <v>0</v>
      </c>
      <c r="AG29" s="208">
        <f t="shared" si="29"/>
        <v>0</v>
      </c>
      <c r="AH29" s="208">
        <f t="shared" ref="AH29:BM29" si="30">AH15/AH$3</f>
        <v>0</v>
      </c>
      <c r="AI29" s="208">
        <f t="shared" si="30"/>
        <v>0</v>
      </c>
      <c r="AJ29" s="208">
        <f t="shared" si="30"/>
        <v>0</v>
      </c>
      <c r="AK29" s="208">
        <f t="shared" si="30"/>
        <v>0</v>
      </c>
      <c r="AL29" s="208">
        <f t="shared" si="30"/>
        <v>0</v>
      </c>
      <c r="AM29" s="208">
        <f t="shared" si="30"/>
        <v>0</v>
      </c>
      <c r="AN29" s="208">
        <f t="shared" si="30"/>
        <v>0</v>
      </c>
      <c r="AO29" s="208">
        <f t="shared" si="30"/>
        <v>0</v>
      </c>
      <c r="AP29" s="208">
        <f t="shared" si="30"/>
        <v>0</v>
      </c>
      <c r="AQ29" s="208">
        <f t="shared" si="30"/>
        <v>0</v>
      </c>
      <c r="AR29" s="208">
        <f t="shared" si="30"/>
        <v>0</v>
      </c>
      <c r="AS29" s="208">
        <f t="shared" si="30"/>
        <v>0</v>
      </c>
      <c r="AT29" s="208">
        <f t="shared" si="30"/>
        <v>0</v>
      </c>
      <c r="AU29" s="208">
        <f t="shared" si="30"/>
        <v>0</v>
      </c>
      <c r="AV29" s="208">
        <f t="shared" si="30"/>
        <v>0</v>
      </c>
      <c r="AW29" s="208">
        <f t="shared" si="30"/>
        <v>0</v>
      </c>
      <c r="AX29" s="208">
        <f t="shared" si="30"/>
        <v>0</v>
      </c>
      <c r="AY29" s="208">
        <f t="shared" si="30"/>
        <v>0</v>
      </c>
      <c r="AZ29" s="208">
        <f t="shared" si="30"/>
        <v>0</v>
      </c>
      <c r="BA29" s="208">
        <f t="shared" si="30"/>
        <v>0</v>
      </c>
      <c r="BB29" s="208">
        <f t="shared" si="30"/>
        <v>0</v>
      </c>
      <c r="BC29" s="208">
        <f t="shared" si="30"/>
        <v>0</v>
      </c>
      <c r="BD29" s="208">
        <f t="shared" si="30"/>
        <v>0</v>
      </c>
      <c r="BE29" s="208">
        <f t="shared" si="30"/>
        <v>0</v>
      </c>
      <c r="BF29" s="208">
        <f t="shared" si="30"/>
        <v>0</v>
      </c>
      <c r="BG29" s="208">
        <f t="shared" si="30"/>
        <v>0</v>
      </c>
      <c r="BH29" s="208">
        <f t="shared" si="30"/>
        <v>0</v>
      </c>
      <c r="BI29" s="208">
        <f t="shared" si="30"/>
        <v>0</v>
      </c>
      <c r="BJ29" s="208">
        <f t="shared" si="30"/>
        <v>0</v>
      </c>
      <c r="BK29" s="208">
        <f t="shared" si="30"/>
        <v>0</v>
      </c>
      <c r="BL29" s="208">
        <f t="shared" si="30"/>
        <v>0</v>
      </c>
      <c r="BM29" s="208">
        <f t="shared" si="30"/>
        <v>0</v>
      </c>
      <c r="BN29" s="208">
        <f t="shared" ref="BN29:BY29" si="31">BN15/BN$3</f>
        <v>0</v>
      </c>
      <c r="BO29" s="208">
        <f t="shared" si="31"/>
        <v>0</v>
      </c>
      <c r="BP29" s="208">
        <f t="shared" si="31"/>
        <v>0</v>
      </c>
      <c r="BQ29" s="208">
        <f t="shared" si="31"/>
        <v>0</v>
      </c>
      <c r="BR29" s="208">
        <f t="shared" si="31"/>
        <v>0</v>
      </c>
      <c r="BS29" s="208">
        <f t="shared" si="31"/>
        <v>0</v>
      </c>
      <c r="BT29" s="208">
        <f t="shared" si="31"/>
        <v>0</v>
      </c>
      <c r="BU29" s="208">
        <f t="shared" si="31"/>
        <v>0</v>
      </c>
      <c r="BV29" s="208">
        <f t="shared" si="31"/>
        <v>51907.753762399239</v>
      </c>
      <c r="BW29" s="208">
        <f t="shared" si="31"/>
        <v>43904.343526133169</v>
      </c>
      <c r="BX29" s="208">
        <f t="shared" si="31"/>
        <v>42974.398842668677</v>
      </c>
      <c r="BY29" s="208">
        <f t="shared" si="31"/>
        <v>42056.428334965116</v>
      </c>
      <c r="BZ29" s="401">
        <f>AVERAGE(BV29:BY29)</f>
        <v>45210.731116541552</v>
      </c>
      <c r="CA29" s="297"/>
      <c r="CB29" s="297"/>
      <c r="CC29" s="297"/>
    </row>
    <row r="30" spans="1:81" s="298" customFormat="1">
      <c r="A30" s="298" t="s">
        <v>763</v>
      </c>
      <c r="B30" s="208">
        <f t="shared" ref="B30:AG30" si="32">B16/B$3</f>
        <v>0</v>
      </c>
      <c r="C30" s="208">
        <f t="shared" si="32"/>
        <v>0</v>
      </c>
      <c r="D30" s="208">
        <f t="shared" si="32"/>
        <v>0</v>
      </c>
      <c r="E30" s="208">
        <f t="shared" si="32"/>
        <v>0</v>
      </c>
      <c r="F30" s="208">
        <f t="shared" si="32"/>
        <v>0</v>
      </c>
      <c r="G30" s="208">
        <f t="shared" si="32"/>
        <v>0</v>
      </c>
      <c r="H30" s="208">
        <f t="shared" si="32"/>
        <v>0</v>
      </c>
      <c r="I30" s="208">
        <f t="shared" si="32"/>
        <v>0</v>
      </c>
      <c r="J30" s="208">
        <f t="shared" si="32"/>
        <v>0</v>
      </c>
      <c r="K30" s="208">
        <f t="shared" si="32"/>
        <v>0</v>
      </c>
      <c r="L30" s="208">
        <f t="shared" si="32"/>
        <v>0</v>
      </c>
      <c r="M30" s="208">
        <f t="shared" si="32"/>
        <v>0</v>
      </c>
      <c r="N30" s="208">
        <f t="shared" si="32"/>
        <v>0</v>
      </c>
      <c r="O30" s="208">
        <f t="shared" si="32"/>
        <v>0</v>
      </c>
      <c r="P30" s="208">
        <f t="shared" si="32"/>
        <v>0</v>
      </c>
      <c r="Q30" s="208">
        <f t="shared" si="32"/>
        <v>0</v>
      </c>
      <c r="R30" s="208">
        <f t="shared" si="32"/>
        <v>0</v>
      </c>
      <c r="S30" s="208">
        <f t="shared" si="32"/>
        <v>0</v>
      </c>
      <c r="T30" s="208">
        <f t="shared" si="32"/>
        <v>0</v>
      </c>
      <c r="U30" s="208">
        <f t="shared" si="32"/>
        <v>0</v>
      </c>
      <c r="V30" s="208">
        <f t="shared" si="32"/>
        <v>0</v>
      </c>
      <c r="W30" s="208">
        <f t="shared" si="32"/>
        <v>0</v>
      </c>
      <c r="X30" s="208">
        <f t="shared" si="32"/>
        <v>0</v>
      </c>
      <c r="Y30" s="208">
        <f t="shared" si="32"/>
        <v>0</v>
      </c>
      <c r="Z30" s="208">
        <f t="shared" si="32"/>
        <v>0</v>
      </c>
      <c r="AA30" s="208">
        <f t="shared" si="32"/>
        <v>0</v>
      </c>
      <c r="AB30" s="208">
        <f t="shared" si="32"/>
        <v>0</v>
      </c>
      <c r="AC30" s="208">
        <f t="shared" si="32"/>
        <v>0</v>
      </c>
      <c r="AD30" s="208">
        <f t="shared" si="32"/>
        <v>0</v>
      </c>
      <c r="AE30" s="208">
        <f t="shared" si="32"/>
        <v>0</v>
      </c>
      <c r="AF30" s="208">
        <f t="shared" si="32"/>
        <v>0</v>
      </c>
      <c r="AG30" s="208">
        <f t="shared" si="32"/>
        <v>0</v>
      </c>
      <c r="AH30" s="208">
        <f t="shared" ref="AH30:BM30" si="33">AH16/AH$3</f>
        <v>0</v>
      </c>
      <c r="AI30" s="208">
        <f t="shared" si="33"/>
        <v>0</v>
      </c>
      <c r="AJ30" s="208">
        <f t="shared" si="33"/>
        <v>0</v>
      </c>
      <c r="AK30" s="208">
        <f t="shared" si="33"/>
        <v>0</v>
      </c>
      <c r="AL30" s="208">
        <f t="shared" si="33"/>
        <v>0</v>
      </c>
      <c r="AM30" s="208">
        <f t="shared" si="33"/>
        <v>0</v>
      </c>
      <c r="AN30" s="208">
        <f t="shared" si="33"/>
        <v>0</v>
      </c>
      <c r="AO30" s="208">
        <f t="shared" si="33"/>
        <v>0</v>
      </c>
      <c r="AP30" s="208">
        <f t="shared" si="33"/>
        <v>0</v>
      </c>
      <c r="AQ30" s="208">
        <f t="shared" si="33"/>
        <v>0</v>
      </c>
      <c r="AR30" s="208">
        <f t="shared" si="33"/>
        <v>3593.9144931749961</v>
      </c>
      <c r="AS30" s="208">
        <f t="shared" si="33"/>
        <v>61341.817506153486</v>
      </c>
      <c r="AT30" s="208">
        <f t="shared" si="33"/>
        <v>21043.271686065138</v>
      </c>
      <c r="AU30" s="208">
        <f t="shared" si="33"/>
        <v>0</v>
      </c>
      <c r="AV30" s="208">
        <f t="shared" si="33"/>
        <v>0</v>
      </c>
      <c r="AW30" s="208">
        <f t="shared" si="33"/>
        <v>0</v>
      </c>
      <c r="AX30" s="208">
        <f t="shared" si="33"/>
        <v>0</v>
      </c>
      <c r="AY30" s="208">
        <f t="shared" si="33"/>
        <v>0</v>
      </c>
      <c r="AZ30" s="208">
        <f t="shared" si="33"/>
        <v>0</v>
      </c>
      <c r="BA30" s="208">
        <f t="shared" si="33"/>
        <v>0</v>
      </c>
      <c r="BB30" s="208">
        <f t="shared" si="33"/>
        <v>0</v>
      </c>
      <c r="BC30" s="208">
        <f t="shared" si="33"/>
        <v>40507.904229745902</v>
      </c>
      <c r="BD30" s="208">
        <f t="shared" si="33"/>
        <v>23373.087038666145</v>
      </c>
      <c r="BE30" s="208">
        <f t="shared" si="33"/>
        <v>98609.049471653518</v>
      </c>
      <c r="BF30" s="208">
        <f t="shared" si="33"/>
        <v>120840.60168922359</v>
      </c>
      <c r="BG30" s="208">
        <f t="shared" si="33"/>
        <v>101404.79610802811</v>
      </c>
      <c r="BH30" s="208">
        <f t="shared" si="33"/>
        <v>154365.1790223303</v>
      </c>
      <c r="BI30" s="208">
        <f t="shared" si="33"/>
        <v>205445.29250188629</v>
      </c>
      <c r="BJ30" s="208">
        <f t="shared" si="33"/>
        <v>222072.03382386823</v>
      </c>
      <c r="BK30" s="208">
        <f t="shared" si="33"/>
        <v>179834.48223441711</v>
      </c>
      <c r="BL30" s="208">
        <f t="shared" si="33"/>
        <v>189819.25251572096</v>
      </c>
      <c r="BM30" s="208">
        <f t="shared" si="33"/>
        <v>181184.67771618624</v>
      </c>
      <c r="BN30" s="208">
        <f t="shared" ref="BN30:BY30" si="34">BN16/BN$3</f>
        <v>128948.95568214374</v>
      </c>
      <c r="BO30" s="208">
        <f t="shared" si="34"/>
        <v>90447.944650789359</v>
      </c>
      <c r="BP30" s="208">
        <f t="shared" si="34"/>
        <v>92156.281197036471</v>
      </c>
      <c r="BQ30" s="208">
        <f t="shared" si="34"/>
        <v>67467.97106493506</v>
      </c>
      <c r="BR30" s="208">
        <f t="shared" si="34"/>
        <v>62305.14548022153</v>
      </c>
      <c r="BS30" s="208">
        <f t="shared" si="34"/>
        <v>85727.020812435672</v>
      </c>
      <c r="BT30" s="208">
        <f t="shared" si="34"/>
        <v>89850.740227489718</v>
      </c>
      <c r="BU30" s="208">
        <f t="shared" si="34"/>
        <v>69000.000000000015</v>
      </c>
      <c r="BV30" s="208">
        <f t="shared" si="34"/>
        <v>19587.831608452543</v>
      </c>
      <c r="BW30" s="208">
        <f t="shared" si="34"/>
        <v>19172.202413158589</v>
      </c>
      <c r="BX30" s="208">
        <f t="shared" si="34"/>
        <v>18766.113031733046</v>
      </c>
      <c r="BY30" s="208">
        <f t="shared" si="34"/>
        <v>18365.2525480197</v>
      </c>
      <c r="BZ30" s="297">
        <f>AVERAGE(BV30:BY30)</f>
        <v>18972.849900340971</v>
      </c>
      <c r="CA30" s="297"/>
      <c r="CB30" s="297"/>
      <c r="CC30" s="297"/>
    </row>
    <row r="31" spans="1:81" s="302" customFormat="1" ht="15" thickBot="1">
      <c r="A31" s="366" t="s">
        <v>772</v>
      </c>
      <c r="B31" s="369">
        <f t="shared" ref="B31:AG32" si="35">B17/B$3</f>
        <v>102092.9604194358</v>
      </c>
      <c r="C31" s="369">
        <f t="shared" si="35"/>
        <v>90265.750513218096</v>
      </c>
      <c r="D31" s="369">
        <f t="shared" si="35"/>
        <v>122045.01712450151</v>
      </c>
      <c r="E31" s="369">
        <f t="shared" si="35"/>
        <v>390864.2968042611</v>
      </c>
      <c r="F31" s="369">
        <f t="shared" si="35"/>
        <v>475936.38836927206</v>
      </c>
      <c r="G31" s="369">
        <f t="shared" si="35"/>
        <v>377397.84818172787</v>
      </c>
      <c r="H31" s="369">
        <f t="shared" si="35"/>
        <v>263364.06660453248</v>
      </c>
      <c r="I31" s="369">
        <f t="shared" si="35"/>
        <v>231674.56485762962</v>
      </c>
      <c r="J31" s="369">
        <f t="shared" si="35"/>
        <v>243372.95074879428</v>
      </c>
      <c r="K31" s="369">
        <f t="shared" si="35"/>
        <v>256975.9000777498</v>
      </c>
      <c r="L31" s="369">
        <f t="shared" si="35"/>
        <v>256773.56609101003</v>
      </c>
      <c r="M31" s="369">
        <f t="shared" si="35"/>
        <v>283197.93469459144</v>
      </c>
      <c r="N31" s="369">
        <f t="shared" si="35"/>
        <v>275978.82911479747</v>
      </c>
      <c r="O31" s="369">
        <f t="shared" si="35"/>
        <v>275425.40863276704</v>
      </c>
      <c r="P31" s="369">
        <f t="shared" si="35"/>
        <v>316212.44365799922</v>
      </c>
      <c r="Q31" s="369">
        <f t="shared" si="35"/>
        <v>322533.50568528473</v>
      </c>
      <c r="R31" s="369">
        <f t="shared" si="35"/>
        <v>319067.25085892773</v>
      </c>
      <c r="S31" s="369">
        <f t="shared" si="35"/>
        <v>310002.88595548744</v>
      </c>
      <c r="T31" s="369">
        <f t="shared" si="35"/>
        <v>393079.50480344763</v>
      </c>
      <c r="U31" s="369">
        <f t="shared" si="35"/>
        <v>433212.08798884827</v>
      </c>
      <c r="V31" s="369">
        <f t="shared" si="35"/>
        <v>442575.73219773296</v>
      </c>
      <c r="W31" s="369">
        <f t="shared" si="35"/>
        <v>426622.72227935184</v>
      </c>
      <c r="X31" s="369">
        <f t="shared" si="35"/>
        <v>390046.35922639404</v>
      </c>
      <c r="Y31" s="369">
        <f t="shared" si="35"/>
        <v>356563.54728548095</v>
      </c>
      <c r="Z31" s="369">
        <f t="shared" si="35"/>
        <v>358753.32191512786</v>
      </c>
      <c r="AA31" s="369">
        <f t="shared" si="35"/>
        <v>355569.9049791437</v>
      </c>
      <c r="AB31" s="369">
        <f t="shared" si="35"/>
        <v>346726.05479024717</v>
      </c>
      <c r="AC31" s="369">
        <f t="shared" si="35"/>
        <v>332387.93804649782</v>
      </c>
      <c r="AD31" s="369">
        <f t="shared" si="35"/>
        <v>346520.02932063455</v>
      </c>
      <c r="AE31" s="369">
        <f t="shared" si="35"/>
        <v>366673.67518677702</v>
      </c>
      <c r="AF31" s="369">
        <f t="shared" si="35"/>
        <v>365710.43923619564</v>
      </c>
      <c r="AG31" s="369">
        <f t="shared" si="35"/>
        <v>366959.82677967171</v>
      </c>
      <c r="AH31" s="369">
        <f t="shared" ref="AH31:BM32" si="36">AH17/AH$3</f>
        <v>385138.00018757524</v>
      </c>
      <c r="AI31" s="369">
        <f t="shared" si="36"/>
        <v>438702.40969834826</v>
      </c>
      <c r="AJ31" s="369">
        <f t="shared" si="36"/>
        <v>491974.58732780477</v>
      </c>
      <c r="AK31" s="369">
        <f t="shared" si="36"/>
        <v>527959.6306277276</v>
      </c>
      <c r="AL31" s="369">
        <f t="shared" si="36"/>
        <v>549707.63327918993</v>
      </c>
      <c r="AM31" s="369">
        <f t="shared" si="36"/>
        <v>591140.20752211218</v>
      </c>
      <c r="AN31" s="369">
        <f t="shared" si="36"/>
        <v>567053.01519568893</v>
      </c>
      <c r="AO31" s="369">
        <f t="shared" si="36"/>
        <v>550881.94029862026</v>
      </c>
      <c r="AP31" s="369">
        <f t="shared" si="36"/>
        <v>541825.92807186721</v>
      </c>
      <c r="AQ31" s="369">
        <f t="shared" si="36"/>
        <v>534073.90449960495</v>
      </c>
      <c r="AR31" s="369">
        <f t="shared" si="36"/>
        <v>519237.35334604565</v>
      </c>
      <c r="AS31" s="369">
        <f t="shared" si="36"/>
        <v>472703.19810673327</v>
      </c>
      <c r="AT31" s="369">
        <f t="shared" si="36"/>
        <v>470885.17525467166</v>
      </c>
      <c r="AU31" s="369">
        <f t="shared" si="36"/>
        <v>436337.20822755102</v>
      </c>
      <c r="AV31" s="369">
        <f t="shared" si="36"/>
        <v>401432.61120264605</v>
      </c>
      <c r="AW31" s="369">
        <f t="shared" si="36"/>
        <v>399926.30367539258</v>
      </c>
      <c r="AX31" s="369">
        <f t="shared" si="36"/>
        <v>390802.0516662306</v>
      </c>
      <c r="AY31" s="369">
        <f t="shared" si="36"/>
        <v>389207.52887048927</v>
      </c>
      <c r="AZ31" s="369">
        <f t="shared" si="36"/>
        <v>385323.28391203855</v>
      </c>
      <c r="BA31" s="369">
        <f t="shared" si="36"/>
        <v>409942.70024016156</v>
      </c>
      <c r="BB31" s="369">
        <f t="shared" si="36"/>
        <v>418840.91242743144</v>
      </c>
      <c r="BC31" s="369">
        <f t="shared" si="36"/>
        <v>449689.26226104383</v>
      </c>
      <c r="BD31" s="369">
        <f t="shared" si="36"/>
        <v>478867.03137808276</v>
      </c>
      <c r="BE31" s="369">
        <f t="shared" si="36"/>
        <v>595176.67977858114</v>
      </c>
      <c r="BF31" s="369">
        <f t="shared" si="36"/>
        <v>624860.0544774601</v>
      </c>
      <c r="BG31" s="369">
        <f t="shared" si="36"/>
        <v>622390.05490689364</v>
      </c>
      <c r="BH31" s="369">
        <f t="shared" si="36"/>
        <v>668278.38527948025</v>
      </c>
      <c r="BI31" s="369">
        <f t="shared" si="36"/>
        <v>730354.38275470026</v>
      </c>
      <c r="BJ31" s="369">
        <f t="shared" si="36"/>
        <v>800193.82714456052</v>
      </c>
      <c r="BK31" s="369">
        <f t="shared" si="36"/>
        <v>780436.43737040856</v>
      </c>
      <c r="BL31" s="369">
        <f t="shared" si="36"/>
        <v>809917.13191144192</v>
      </c>
      <c r="BM31" s="369">
        <f t="shared" si="36"/>
        <v>788214.05180155206</v>
      </c>
      <c r="BN31" s="369">
        <f t="shared" ref="BN31:BY31" si="37">BN17/BN$3</f>
        <v>734359.83182955487</v>
      </c>
      <c r="BO31" s="369">
        <f t="shared" si="37"/>
        <v>644998.46901054634</v>
      </c>
      <c r="BP31" s="369">
        <f t="shared" si="37"/>
        <v>644720.60313924612</v>
      </c>
      <c r="BQ31" s="369">
        <f t="shared" si="37"/>
        <v>610417.574961039</v>
      </c>
      <c r="BR31" s="369">
        <f t="shared" si="37"/>
        <v>629715.15194699017</v>
      </c>
      <c r="BS31" s="369">
        <f t="shared" si="37"/>
        <v>650813.47783439071</v>
      </c>
      <c r="BT31" s="369">
        <f t="shared" si="37"/>
        <v>630807.91083041963</v>
      </c>
      <c r="BU31" s="369">
        <f t="shared" si="37"/>
        <v>695066</v>
      </c>
      <c r="BV31" s="370">
        <f t="shared" si="37"/>
        <v>695513.95144554821</v>
      </c>
      <c r="BW31" s="369">
        <f t="shared" si="37"/>
        <v>692895.85714311991</v>
      </c>
      <c r="BX31" s="369">
        <f t="shared" si="37"/>
        <v>691095.89139702648</v>
      </c>
      <c r="BY31" s="369">
        <f t="shared" si="37"/>
        <v>689413.21540011151</v>
      </c>
      <c r="BZ31" s="301"/>
    </row>
    <row r="32" spans="1:81" s="302" customFormat="1" ht="15" thickBot="1">
      <c r="A32" s="313" t="s">
        <v>775</v>
      </c>
      <c r="B32" s="208">
        <f t="shared" si="35"/>
        <v>102092.9604194358</v>
      </c>
      <c r="C32" s="208">
        <f t="shared" si="35"/>
        <v>90265.750513218096</v>
      </c>
      <c r="D32" s="208">
        <f t="shared" si="35"/>
        <v>122036.35284669911</v>
      </c>
      <c r="E32" s="208">
        <f t="shared" si="35"/>
        <v>390864.2968042611</v>
      </c>
      <c r="F32" s="208">
        <f t="shared" si="35"/>
        <v>475936.38836927206</v>
      </c>
      <c r="G32" s="208">
        <f t="shared" si="35"/>
        <v>377405.61309023516</v>
      </c>
      <c r="H32" s="208">
        <f t="shared" si="35"/>
        <v>263364.06660453248</v>
      </c>
      <c r="I32" s="208">
        <f t="shared" si="35"/>
        <v>231674.56485762962</v>
      </c>
      <c r="J32" s="208">
        <f t="shared" si="35"/>
        <v>243372.95074879428</v>
      </c>
      <c r="K32" s="208">
        <f t="shared" si="35"/>
        <v>256968.74516350331</v>
      </c>
      <c r="L32" s="208">
        <f t="shared" si="35"/>
        <v>256773.56609101003</v>
      </c>
      <c r="M32" s="208">
        <f t="shared" si="35"/>
        <v>283191.09449521237</v>
      </c>
      <c r="N32" s="208">
        <f t="shared" si="35"/>
        <v>275978.82911479747</v>
      </c>
      <c r="O32" s="208">
        <f t="shared" si="35"/>
        <v>275425.40863276704</v>
      </c>
      <c r="P32" s="208">
        <f t="shared" si="35"/>
        <v>316212.44365799922</v>
      </c>
      <c r="Q32" s="208">
        <f t="shared" si="35"/>
        <v>322540.01362527034</v>
      </c>
      <c r="R32" s="208">
        <f t="shared" si="35"/>
        <v>319067.25085892773</v>
      </c>
      <c r="S32" s="208">
        <f t="shared" si="35"/>
        <v>310002.88595548744</v>
      </c>
      <c r="T32" s="208">
        <f t="shared" si="35"/>
        <v>393079.50480344763</v>
      </c>
      <c r="U32" s="208">
        <f t="shared" si="35"/>
        <v>433206.08590940479</v>
      </c>
      <c r="V32" s="208">
        <f t="shared" si="35"/>
        <v>442575.73219773296</v>
      </c>
      <c r="W32" s="208">
        <f t="shared" si="35"/>
        <v>426628.26967838028</v>
      </c>
      <c r="X32" s="208">
        <f t="shared" si="35"/>
        <v>390051.62421781215</v>
      </c>
      <c r="Y32" s="208">
        <f t="shared" si="35"/>
        <v>356563.54728548095</v>
      </c>
      <c r="Z32" s="208">
        <f t="shared" si="35"/>
        <v>358753.32191512786</v>
      </c>
      <c r="AA32" s="208">
        <f t="shared" si="35"/>
        <v>355569.9049791437</v>
      </c>
      <c r="AB32" s="208">
        <f t="shared" si="35"/>
        <v>346721.77374599793</v>
      </c>
      <c r="AC32" s="208">
        <f t="shared" si="35"/>
        <v>332387.93804649782</v>
      </c>
      <c r="AD32" s="208">
        <f t="shared" si="35"/>
        <v>346520.02932063455</v>
      </c>
      <c r="AE32" s="208">
        <f t="shared" si="35"/>
        <v>366673.67518677702</v>
      </c>
      <c r="AF32" s="208">
        <f t="shared" si="35"/>
        <v>365710.43923619564</v>
      </c>
      <c r="AG32" s="208">
        <f t="shared" si="35"/>
        <v>366962.76236434723</v>
      </c>
      <c r="AH32" s="208">
        <f t="shared" si="36"/>
        <v>385143.4010471988</v>
      </c>
      <c r="AI32" s="208">
        <f t="shared" si="36"/>
        <v>438699.95012158318</v>
      </c>
      <c r="AJ32" s="208">
        <f t="shared" si="36"/>
        <v>491974.58732780477</v>
      </c>
      <c r="AK32" s="208">
        <f t="shared" si="36"/>
        <v>527959.6306277276</v>
      </c>
      <c r="AL32" s="208">
        <f t="shared" si="36"/>
        <v>549707.63327918993</v>
      </c>
      <c r="AM32" s="208">
        <f t="shared" si="36"/>
        <v>591140.20752211218</v>
      </c>
      <c r="AN32" s="208">
        <f t="shared" si="36"/>
        <v>567051.00001030497</v>
      </c>
      <c r="AO32" s="208">
        <f t="shared" si="36"/>
        <v>550881.94029862026</v>
      </c>
      <c r="AP32" s="208">
        <f t="shared" si="36"/>
        <v>541824.01858682523</v>
      </c>
      <c r="AQ32" s="208">
        <f t="shared" si="36"/>
        <v>534072.06816549168</v>
      </c>
      <c r="AR32" s="208">
        <f t="shared" si="36"/>
        <v>515645.21100005665</v>
      </c>
      <c r="AS32" s="208">
        <f t="shared" si="36"/>
        <v>411359.66919758602</v>
      </c>
      <c r="AT32" s="208">
        <f t="shared" si="36"/>
        <v>449841.90356860653</v>
      </c>
      <c r="AU32" s="208">
        <f t="shared" si="36"/>
        <v>436338.83999249001</v>
      </c>
      <c r="AV32" s="208">
        <f t="shared" si="36"/>
        <v>401431.01418552664</v>
      </c>
      <c r="AW32" s="208">
        <f t="shared" si="36"/>
        <v>399927.86755524756</v>
      </c>
      <c r="AX32" s="208">
        <f t="shared" si="36"/>
        <v>390802.0516662306</v>
      </c>
      <c r="AY32" s="208">
        <f t="shared" si="36"/>
        <v>389206.02034925774</v>
      </c>
      <c r="AZ32" s="208">
        <f t="shared" si="36"/>
        <v>385323.28391203855</v>
      </c>
      <c r="BA32" s="208">
        <f t="shared" si="36"/>
        <v>409942.70024016156</v>
      </c>
      <c r="BB32" s="208">
        <f t="shared" si="36"/>
        <v>418842.35405186238</v>
      </c>
      <c r="BC32" s="208">
        <f t="shared" ref="BC32:BY32" si="38">BC18/BC$3</f>
        <v>409181.35803129792</v>
      </c>
      <c r="BD32" s="208">
        <f t="shared" si="38"/>
        <v>455493.94433941663</v>
      </c>
      <c r="BE32" s="208">
        <f t="shared" si="38"/>
        <v>496566.27083840244</v>
      </c>
      <c r="BF32" s="208">
        <f t="shared" si="38"/>
        <v>504018.12615243718</v>
      </c>
      <c r="BG32" s="208">
        <f t="shared" si="38"/>
        <v>520983.97263780987</v>
      </c>
      <c r="BH32" s="208">
        <f t="shared" si="38"/>
        <v>513913.20625714998</v>
      </c>
      <c r="BI32" s="208">
        <f t="shared" si="38"/>
        <v>524907.87753511593</v>
      </c>
      <c r="BJ32" s="208">
        <f t="shared" si="38"/>
        <v>578120.60518517205</v>
      </c>
      <c r="BK32" s="208">
        <f t="shared" si="38"/>
        <v>600601.95513599145</v>
      </c>
      <c r="BL32" s="208">
        <f t="shared" si="38"/>
        <v>620099.04361674422</v>
      </c>
      <c r="BM32" s="208">
        <f t="shared" si="38"/>
        <v>607027.09199002211</v>
      </c>
      <c r="BN32" s="208">
        <f t="shared" si="38"/>
        <v>605411.99664371531</v>
      </c>
      <c r="BO32" s="208">
        <f t="shared" si="38"/>
        <v>554550.52435975708</v>
      </c>
      <c r="BP32" s="208">
        <f t="shared" si="38"/>
        <v>552564.32194220962</v>
      </c>
      <c r="BQ32" s="208">
        <f t="shared" si="38"/>
        <v>542948.53457142855</v>
      </c>
      <c r="BR32" s="208">
        <f t="shared" si="38"/>
        <v>567411.06352532585</v>
      </c>
      <c r="BS32" s="208">
        <f t="shared" si="38"/>
        <v>565086.45702195505</v>
      </c>
      <c r="BT32" s="208">
        <f t="shared" si="38"/>
        <v>540958.19026679231</v>
      </c>
      <c r="BU32" s="354">
        <f>BU18/BU$3</f>
        <v>626066</v>
      </c>
      <c r="BV32" s="355">
        <f t="shared" si="38"/>
        <v>675927.09922867618</v>
      </c>
      <c r="BW32" s="202">
        <f t="shared" si="38"/>
        <v>673723.6547299613</v>
      </c>
      <c r="BX32" s="208">
        <f t="shared" si="38"/>
        <v>672328.84005964187</v>
      </c>
      <c r="BY32" s="208">
        <f t="shared" si="38"/>
        <v>671047.96285209188</v>
      </c>
      <c r="BZ32" s="301"/>
    </row>
    <row r="33" spans="1:78" s="302" customFormat="1" ht="16">
      <c r="A33" s="313"/>
      <c r="B33" s="382">
        <f t="shared" ref="B33:AG33" si="39">B32/$AM$31</f>
        <v>0.17270515373565909</v>
      </c>
      <c r="C33" s="382">
        <f t="shared" si="39"/>
        <v>0.15269770075628228</v>
      </c>
      <c r="D33" s="382">
        <f t="shared" si="39"/>
        <v>0.20644231485833117</v>
      </c>
      <c r="E33" s="382">
        <f t="shared" si="39"/>
        <v>0.66120404572487224</v>
      </c>
      <c r="F33" s="382">
        <f t="shared" si="39"/>
        <v>0.80511591381046299</v>
      </c>
      <c r="G33" s="382">
        <f t="shared" si="39"/>
        <v>0.63843671651469913</v>
      </c>
      <c r="H33" s="382">
        <f t="shared" si="39"/>
        <v>0.44551878429734637</v>
      </c>
      <c r="I33" s="382">
        <f t="shared" si="39"/>
        <v>0.39191136368263974</v>
      </c>
      <c r="J33" s="382">
        <f t="shared" si="39"/>
        <v>0.41170089202516424</v>
      </c>
      <c r="K33" s="382">
        <f t="shared" si="39"/>
        <v>0.43470016401124456</v>
      </c>
      <c r="L33" s="382">
        <f t="shared" si="39"/>
        <v>0.43436999010324495</v>
      </c>
      <c r="M33" s="382">
        <f t="shared" si="39"/>
        <v>0.47905909781076655</v>
      </c>
      <c r="N33" s="382">
        <f t="shared" si="39"/>
        <v>0.4668584975324559</v>
      </c>
      <c r="O33" s="382">
        <f t="shared" si="39"/>
        <v>0.46592230595727913</v>
      </c>
      <c r="P33" s="382">
        <f t="shared" si="39"/>
        <v>0.53491953285240035</v>
      </c>
      <c r="Q33" s="382">
        <f t="shared" si="39"/>
        <v>0.54562354162519966</v>
      </c>
      <c r="R33" s="382">
        <f t="shared" si="39"/>
        <v>0.5397488561916044</v>
      </c>
      <c r="S33" s="382">
        <f t="shared" si="39"/>
        <v>0.52441515906172131</v>
      </c>
      <c r="T33" s="382">
        <f t="shared" si="39"/>
        <v>0.66495139359767552</v>
      </c>
      <c r="U33" s="382">
        <f t="shared" si="39"/>
        <v>0.73283136622575329</v>
      </c>
      <c r="V33" s="382">
        <f t="shared" si="39"/>
        <v>0.74868149140604345</v>
      </c>
      <c r="W33" s="382">
        <f t="shared" si="39"/>
        <v>0.72170402934809985</v>
      </c>
      <c r="X33" s="382">
        <f t="shared" si="39"/>
        <v>0.65982929135000834</v>
      </c>
      <c r="Y33" s="382">
        <f t="shared" si="39"/>
        <v>0.60317931811827119</v>
      </c>
      <c r="Z33" s="382">
        <f t="shared" si="39"/>
        <v>0.60688364173182785</v>
      </c>
      <c r="AA33" s="382">
        <f t="shared" si="39"/>
        <v>0.6014984270306859</v>
      </c>
      <c r="AB33" s="382">
        <f t="shared" si="39"/>
        <v>0.58653052073611223</v>
      </c>
      <c r="AC33" s="382">
        <f t="shared" si="39"/>
        <v>0.56228274412219625</v>
      </c>
      <c r="AD33" s="382">
        <f t="shared" si="39"/>
        <v>0.58618924057483035</v>
      </c>
      <c r="AE33" s="382">
        <f t="shared" si="39"/>
        <v>0.62028207609793018</v>
      </c>
      <c r="AF33" s="382">
        <f t="shared" si="39"/>
        <v>0.6186526218021059</v>
      </c>
      <c r="AG33" s="382">
        <f t="shared" si="39"/>
        <v>0.62077110928141466</v>
      </c>
      <c r="AH33" s="382">
        <f t="shared" ref="AH33:BM33" si="40">AH32/$AM$31</f>
        <v>0.65152631498643598</v>
      </c>
      <c r="AI33" s="382">
        <f t="shared" si="40"/>
        <v>0.74212503994692869</v>
      </c>
      <c r="AJ33" s="382">
        <f t="shared" si="40"/>
        <v>0.83224686980778917</v>
      </c>
      <c r="AK33" s="382">
        <f t="shared" si="40"/>
        <v>0.89312082634470225</v>
      </c>
      <c r="AL33" s="382">
        <f t="shared" si="40"/>
        <v>0.92991074923393291</v>
      </c>
      <c r="AM33" s="382">
        <f t="shared" si="40"/>
        <v>1</v>
      </c>
      <c r="AN33" s="382">
        <f t="shared" si="40"/>
        <v>0.95924958714484643</v>
      </c>
      <c r="AO33" s="382">
        <f t="shared" si="40"/>
        <v>0.93189726107069781</v>
      </c>
      <c r="AP33" s="382">
        <f t="shared" si="40"/>
        <v>0.91657446354054295</v>
      </c>
      <c r="AQ33" s="382">
        <f t="shared" si="40"/>
        <v>0.90346090719182592</v>
      </c>
      <c r="AR33" s="382">
        <f t="shared" si="40"/>
        <v>0.87228918696207691</v>
      </c>
      <c r="AS33" s="382">
        <f t="shared" si="40"/>
        <v>0.69587496157956519</v>
      </c>
      <c r="AT33" s="382">
        <f t="shared" si="40"/>
        <v>0.76097328154045374</v>
      </c>
      <c r="AU33" s="382">
        <f t="shared" si="40"/>
        <v>0.73813087731165428</v>
      </c>
      <c r="AV33" s="382">
        <f t="shared" si="40"/>
        <v>0.67907919149707086</v>
      </c>
      <c r="AW33" s="382">
        <f t="shared" si="40"/>
        <v>0.67653639942988963</v>
      </c>
      <c r="AX33" s="382">
        <f t="shared" si="40"/>
        <v>0.66109874898268073</v>
      </c>
      <c r="AY33" s="382">
        <f t="shared" si="40"/>
        <v>0.65839882890168511</v>
      </c>
      <c r="AZ33" s="382">
        <f t="shared" si="40"/>
        <v>0.65183061312510227</v>
      </c>
      <c r="BA33" s="382">
        <f t="shared" si="40"/>
        <v>0.69347795163269665</v>
      </c>
      <c r="BB33" s="382">
        <f t="shared" si="40"/>
        <v>0.70853301589402573</v>
      </c>
      <c r="BC33" s="382">
        <f t="shared" si="40"/>
        <v>0.69219003008857605</v>
      </c>
      <c r="BD33" s="382">
        <f t="shared" si="40"/>
        <v>0.77053453401303007</v>
      </c>
      <c r="BE33" s="382">
        <f t="shared" si="40"/>
        <v>0.84001437310424854</v>
      </c>
      <c r="BF33" s="382">
        <f t="shared" si="40"/>
        <v>0.85262027474858215</v>
      </c>
      <c r="BG33" s="382">
        <f t="shared" si="40"/>
        <v>0.88132048202510727</v>
      </c>
      <c r="BH33" s="382">
        <f t="shared" si="40"/>
        <v>0.86935924797151709</v>
      </c>
      <c r="BI33" s="382">
        <f t="shared" si="40"/>
        <v>0.88795834026478604</v>
      </c>
      <c r="BJ33" s="382">
        <f t="shared" si="40"/>
        <v>0.97797544106919321</v>
      </c>
      <c r="BK33" s="382">
        <f t="shared" si="40"/>
        <v>1.0160059280243179</v>
      </c>
      <c r="BL33" s="382">
        <f t="shared" si="40"/>
        <v>1.0489881008365496</v>
      </c>
      <c r="BM33" s="382">
        <f t="shared" si="40"/>
        <v>1.0268749854362016</v>
      </c>
      <c r="BN33" s="382">
        <f t="shared" ref="BN33:BY33" si="41">BN32/$AM$31</f>
        <v>1.0241428157651911</v>
      </c>
      <c r="BO33" s="382">
        <f t="shared" si="41"/>
        <v>0.9381032068251145</v>
      </c>
      <c r="BP33" s="382">
        <f t="shared" si="41"/>
        <v>0.93474325534106117</v>
      </c>
      <c r="BQ33" s="382">
        <f t="shared" si="41"/>
        <v>0.91847674656966893</v>
      </c>
      <c r="BR33" s="382">
        <f t="shared" si="41"/>
        <v>0.9598586871695769</v>
      </c>
      <c r="BS33" s="382">
        <f t="shared" si="41"/>
        <v>0.95592627574874856</v>
      </c>
      <c r="BT33" s="382">
        <f t="shared" si="41"/>
        <v>0.91510978847866176</v>
      </c>
      <c r="BU33" s="382">
        <f t="shared" si="41"/>
        <v>1.0590820790625739</v>
      </c>
      <c r="BV33" s="382">
        <f t="shared" si="41"/>
        <v>1.1434294108701657</v>
      </c>
      <c r="BW33" s="382">
        <f t="shared" si="41"/>
        <v>1.1397019626765279</v>
      </c>
      <c r="BX33" s="382">
        <f t="shared" si="41"/>
        <v>1.1373424299420416</v>
      </c>
      <c r="BY33" s="382">
        <f t="shared" si="41"/>
        <v>1.1351756390669647</v>
      </c>
      <c r="BZ33" s="301"/>
    </row>
    <row r="34" spans="1:78" s="293" customFormat="1" ht="15" customHeight="1">
      <c r="A34" s="305" t="s">
        <v>381</v>
      </c>
    </row>
    <row r="35" spans="1:78" s="311" customFormat="1" ht="15.5" customHeight="1">
      <c r="A35" s="310" t="s">
        <v>372</v>
      </c>
      <c r="B35" s="314"/>
      <c r="C35" s="315">
        <v>7.3</v>
      </c>
      <c r="D35" s="316">
        <v>-1.4</v>
      </c>
      <c r="E35" s="316">
        <v>60.7</v>
      </c>
      <c r="F35" s="317">
        <v>33.5</v>
      </c>
      <c r="G35" s="317">
        <v>1.8</v>
      </c>
      <c r="H35" s="317">
        <v>-4.5</v>
      </c>
      <c r="I35" s="318">
        <v>-5.3</v>
      </c>
      <c r="J35" s="319">
        <v>-5.4</v>
      </c>
      <c r="K35" s="319">
        <v>0.9</v>
      </c>
      <c r="L35" s="319">
        <v>-7.3</v>
      </c>
      <c r="M35" s="314">
        <v>-3</v>
      </c>
      <c r="N35" s="315">
        <v>-1.3</v>
      </c>
      <c r="O35" s="316">
        <v>-0.3</v>
      </c>
      <c r="P35" s="316">
        <v>8.3000000000000007</v>
      </c>
      <c r="Q35" s="317">
        <v>-2</v>
      </c>
      <c r="R35" s="317">
        <v>0.4</v>
      </c>
      <c r="S35" s="317">
        <v>0.6</v>
      </c>
      <c r="T35" s="318">
        <v>5.6</v>
      </c>
      <c r="U35" s="319">
        <v>12.2</v>
      </c>
      <c r="V35" s="319">
        <v>3.8</v>
      </c>
      <c r="W35" s="319">
        <v>0.6</v>
      </c>
      <c r="X35" s="314">
        <v>-4</v>
      </c>
      <c r="Y35" s="315">
        <v>-8</v>
      </c>
      <c r="Z35" s="316">
        <v>-10.6</v>
      </c>
      <c r="AA35" s="316">
        <v>-7.3</v>
      </c>
      <c r="AB35" s="317">
        <v>-4.5</v>
      </c>
      <c r="AC35" s="317">
        <v>-3.8</v>
      </c>
      <c r="AD35" s="317">
        <v>-3.6</v>
      </c>
      <c r="AE35" s="318">
        <v>-2.7</v>
      </c>
      <c r="AF35" s="319">
        <v>-2.2000000000000002</v>
      </c>
      <c r="AG35" s="319">
        <v>-0.7</v>
      </c>
      <c r="AH35" s="319">
        <v>0.2</v>
      </c>
      <c r="AI35" s="314">
        <v>3.7</v>
      </c>
      <c r="AJ35" s="315">
        <v>1.5</v>
      </c>
      <c r="AK35" s="316">
        <v>1.8</v>
      </c>
      <c r="AL35" s="316">
        <v>1.1000000000000001</v>
      </c>
      <c r="AM35" s="320">
        <v>27</v>
      </c>
      <c r="AN35" s="321">
        <v>-2.4</v>
      </c>
      <c r="AO35" s="322">
        <v>5.0999999999999996</v>
      </c>
      <c r="AP35" s="323">
        <v>-0.6</v>
      </c>
      <c r="AQ35" s="323">
        <v>-0.8</v>
      </c>
      <c r="AR35" s="323">
        <v>-1.1000000000000001</v>
      </c>
      <c r="AS35" s="324">
        <v>1.2</v>
      </c>
      <c r="AT35" s="325">
        <v>-5.8</v>
      </c>
      <c r="AU35" s="326">
        <v>-10.4</v>
      </c>
      <c r="AV35" s="326">
        <v>-8.3000000000000007</v>
      </c>
      <c r="AW35" s="327">
        <v>-2.2000000000000002</v>
      </c>
      <c r="AX35" s="327">
        <v>-4.5999999999999996</v>
      </c>
      <c r="AY35" s="327">
        <v>-2.2000000000000002</v>
      </c>
      <c r="AZ35" s="328">
        <v>-4.9000000000000004</v>
      </c>
      <c r="BA35" s="329">
        <v>-1.8</v>
      </c>
      <c r="BB35" s="329">
        <v>-0.3</v>
      </c>
      <c r="BC35" s="329">
        <v>0.8</v>
      </c>
      <c r="BD35" s="330">
        <v>6.9</v>
      </c>
      <c r="BE35" s="325">
        <v>22</v>
      </c>
      <c r="BF35" s="326">
        <v>3.3</v>
      </c>
      <c r="BG35" s="326">
        <v>1.2</v>
      </c>
      <c r="BH35" s="327">
        <v>2.5</v>
      </c>
      <c r="BI35" s="327">
        <v>-0.1</v>
      </c>
      <c r="BJ35" s="327">
        <v>2.2000000000000002</v>
      </c>
      <c r="BK35" s="328">
        <v>4</v>
      </c>
      <c r="BL35" s="329">
        <v>2.4</v>
      </c>
      <c r="BM35" s="329">
        <v>-0.7</v>
      </c>
      <c r="BN35" s="329">
        <v>-1.8</v>
      </c>
      <c r="BO35" s="330">
        <v>-4.8</v>
      </c>
      <c r="BP35" s="325">
        <v>-3.5</v>
      </c>
      <c r="BQ35" s="326">
        <v>-4</v>
      </c>
      <c r="BR35" s="326">
        <v>-1.6</v>
      </c>
      <c r="BS35" s="327">
        <v>-1.8</v>
      </c>
      <c r="BT35" s="327">
        <v>0.3</v>
      </c>
      <c r="BU35" s="327"/>
      <c r="BV35" s="327"/>
      <c r="BW35" s="330"/>
    </row>
    <row r="36" spans="1:78" s="311" customFormat="1">
      <c r="A36" s="310" t="s">
        <v>373</v>
      </c>
      <c r="B36" s="314"/>
      <c r="C36" s="315">
        <v>9.6999999999999993</v>
      </c>
      <c r="D36" s="316">
        <v>-2.7</v>
      </c>
      <c r="E36" s="316">
        <v>17.8</v>
      </c>
      <c r="F36" s="317">
        <v>3</v>
      </c>
      <c r="G36" s="317">
        <v>1.8</v>
      </c>
      <c r="H36" s="317">
        <v>16.2</v>
      </c>
      <c r="I36" s="318">
        <v>3.1</v>
      </c>
      <c r="J36" s="319">
        <v>9.4</v>
      </c>
      <c r="K36" s="319">
        <v>0.1</v>
      </c>
      <c r="L36" s="319">
        <v>9.1</v>
      </c>
      <c r="M36" s="314">
        <v>5.5</v>
      </c>
      <c r="N36" s="315">
        <v>12.6</v>
      </c>
      <c r="O36" s="316">
        <v>10.8</v>
      </c>
      <c r="P36" s="316">
        <v>16.399999999999999</v>
      </c>
      <c r="Q36" s="317">
        <v>12.4</v>
      </c>
      <c r="R36" s="317">
        <v>15.1</v>
      </c>
      <c r="S36" s="317">
        <v>12</v>
      </c>
      <c r="T36" s="318">
        <v>9.4</v>
      </c>
      <c r="U36" s="319">
        <v>10.9</v>
      </c>
      <c r="V36" s="319">
        <v>10.199999999999999</v>
      </c>
      <c r="W36" s="319">
        <v>11</v>
      </c>
      <c r="X36" s="314">
        <v>8.5</v>
      </c>
      <c r="Y36" s="315">
        <v>7.3</v>
      </c>
      <c r="Z36" s="316">
        <v>7.9</v>
      </c>
      <c r="AA36" s="316">
        <v>7.3</v>
      </c>
      <c r="AB36" s="317">
        <v>5.8</v>
      </c>
      <c r="AC36" s="317">
        <v>6.4</v>
      </c>
      <c r="AD36" s="317">
        <v>5.5</v>
      </c>
      <c r="AE36" s="318">
        <v>6.2</v>
      </c>
      <c r="AF36" s="319">
        <v>3.6</v>
      </c>
      <c r="AG36" s="319">
        <v>3.5</v>
      </c>
      <c r="AH36" s="319">
        <v>3.8</v>
      </c>
      <c r="AI36" s="314">
        <v>4</v>
      </c>
      <c r="AJ36" s="315">
        <v>1.6</v>
      </c>
      <c r="AK36" s="316">
        <v>1.9</v>
      </c>
      <c r="AL36" s="316">
        <v>-1.2</v>
      </c>
      <c r="AM36" s="331">
        <v>0</v>
      </c>
      <c r="AN36" s="332">
        <v>0</v>
      </c>
      <c r="AO36" s="322">
        <v>0</v>
      </c>
      <c r="AP36" s="323">
        <v>0</v>
      </c>
      <c r="AQ36" s="323">
        <v>0</v>
      </c>
      <c r="AR36" s="323">
        <v>0</v>
      </c>
      <c r="AS36" s="324">
        <v>0</v>
      </c>
      <c r="AT36" s="325"/>
      <c r="AU36" s="326"/>
      <c r="AV36" s="326"/>
      <c r="AW36" s="327"/>
      <c r="AX36" s="327"/>
      <c r="AY36" s="327"/>
      <c r="AZ36" s="328"/>
      <c r="BA36" s="329"/>
      <c r="BB36" s="329"/>
      <c r="BC36" s="329"/>
      <c r="BD36" s="330"/>
      <c r="BE36" s="325"/>
      <c r="BF36" s="326"/>
      <c r="BG36" s="326"/>
      <c r="BH36" s="327"/>
      <c r="BI36" s="327"/>
      <c r="BJ36" s="327"/>
      <c r="BK36" s="328"/>
      <c r="BL36" s="329"/>
      <c r="BM36" s="329"/>
      <c r="BN36" s="329"/>
      <c r="BO36" s="330"/>
      <c r="BP36" s="325"/>
      <c r="BQ36" s="326"/>
      <c r="BR36" s="326"/>
      <c r="BS36" s="327"/>
      <c r="BT36" s="327"/>
      <c r="BU36" s="327"/>
      <c r="BV36" s="327"/>
      <c r="BW36" s="330"/>
    </row>
    <row r="37" spans="1:78" s="311" customFormat="1">
      <c r="A37" s="310" t="s">
        <v>374</v>
      </c>
      <c r="B37" s="314"/>
      <c r="C37" s="315">
        <v>2</v>
      </c>
      <c r="D37" s="316">
        <v>-3.9</v>
      </c>
      <c r="E37" s="316">
        <v>116.3</v>
      </c>
      <c r="F37" s="317">
        <v>11.7</v>
      </c>
      <c r="G37" s="317">
        <v>-13.4</v>
      </c>
      <c r="H37" s="317">
        <v>-6</v>
      </c>
      <c r="I37" s="318">
        <v>-18.5</v>
      </c>
      <c r="J37" s="319">
        <v>4.0999999999999996</v>
      </c>
      <c r="K37" s="319">
        <v>1.1000000000000001</v>
      </c>
      <c r="L37" s="319">
        <v>0.7</v>
      </c>
      <c r="M37" s="314">
        <v>-2</v>
      </c>
      <c r="N37" s="315">
        <v>-2.2999999999999998</v>
      </c>
      <c r="O37" s="316">
        <v>-1.3</v>
      </c>
      <c r="P37" s="316">
        <v>5.8</v>
      </c>
      <c r="Q37" s="317">
        <v>-2</v>
      </c>
      <c r="R37" s="317">
        <v>-0.6</v>
      </c>
      <c r="S37" s="317">
        <v>2.4</v>
      </c>
      <c r="T37" s="318">
        <v>14.9</v>
      </c>
      <c r="U37" s="319">
        <v>19.600000000000001</v>
      </c>
      <c r="V37" s="319">
        <v>4.8</v>
      </c>
      <c r="W37" s="319">
        <v>1.7</v>
      </c>
      <c r="X37" s="314">
        <v>-9.1</v>
      </c>
      <c r="Y37" s="315">
        <v>-10.4</v>
      </c>
      <c r="Z37" s="316">
        <v>-3.5</v>
      </c>
      <c r="AA37" s="316">
        <v>-2.7</v>
      </c>
      <c r="AB37" s="317">
        <v>-1.1000000000000001</v>
      </c>
      <c r="AC37" s="317">
        <v>0.5</v>
      </c>
      <c r="AD37" s="317">
        <v>0.1</v>
      </c>
      <c r="AE37" s="318">
        <v>3.6</v>
      </c>
      <c r="AF37" s="319">
        <v>-0.3</v>
      </c>
      <c r="AG37" s="319">
        <v>2.9</v>
      </c>
      <c r="AH37" s="319">
        <v>4.3</v>
      </c>
      <c r="AI37" s="314">
        <v>7.7</v>
      </c>
      <c r="AJ37" s="315">
        <v>6.9</v>
      </c>
      <c r="AK37" s="316">
        <v>3.7</v>
      </c>
      <c r="AL37" s="316">
        <v>4.7</v>
      </c>
      <c r="AM37" s="331">
        <v>6.7</v>
      </c>
      <c r="AN37" s="332">
        <v>-4.2</v>
      </c>
      <c r="AO37" s="322">
        <v>2.4</v>
      </c>
      <c r="AP37" s="323">
        <v>-0.8</v>
      </c>
      <c r="AQ37" s="323">
        <v>0.8</v>
      </c>
      <c r="AR37" s="323">
        <v>-0.9</v>
      </c>
      <c r="AS37" s="324">
        <v>20.2</v>
      </c>
      <c r="AT37" s="333">
        <v>-19.5</v>
      </c>
      <c r="AU37" s="334">
        <v>-0.1</v>
      </c>
      <c r="AV37" s="334">
        <v>-3.4</v>
      </c>
      <c r="AW37" s="335">
        <v>3</v>
      </c>
      <c r="AX37" s="335">
        <v>-2.6</v>
      </c>
      <c r="AY37" s="335">
        <v>-3.5</v>
      </c>
      <c r="AZ37" s="336">
        <v>1.7</v>
      </c>
      <c r="BA37" s="337">
        <v>5.0999999999999996</v>
      </c>
      <c r="BB37" s="337">
        <v>2.2000000000000002</v>
      </c>
      <c r="BC37" s="337">
        <v>9.6999999999999993</v>
      </c>
      <c r="BD37" s="338">
        <v>5.5</v>
      </c>
      <c r="BE37" s="333">
        <v>27</v>
      </c>
      <c r="BF37" s="334">
        <v>2.8</v>
      </c>
      <c r="BG37" s="334">
        <v>-10.199999999999999</v>
      </c>
      <c r="BH37" s="335">
        <v>14.6</v>
      </c>
      <c r="BI37" s="335">
        <v>9.6</v>
      </c>
      <c r="BJ37" s="335">
        <v>3.1</v>
      </c>
      <c r="BK37" s="336">
        <v>4.9000000000000004</v>
      </c>
      <c r="BL37" s="337">
        <v>5.4</v>
      </c>
      <c r="BM37" s="337">
        <v>1.7</v>
      </c>
      <c r="BN37" s="337">
        <v>-7.7</v>
      </c>
      <c r="BO37" s="338">
        <v>-11.5</v>
      </c>
      <c r="BP37" s="333">
        <v>0.6</v>
      </c>
      <c r="BQ37" s="334">
        <v>-6.9</v>
      </c>
      <c r="BR37" s="334">
        <v>-0.9</v>
      </c>
      <c r="BS37" s="335">
        <v>-0.3</v>
      </c>
      <c r="BT37" s="335">
        <v>-12.1</v>
      </c>
      <c r="BU37" s="335"/>
      <c r="BV37" s="335"/>
      <c r="BW37" s="338"/>
    </row>
    <row r="38" spans="1:78" s="311" customFormat="1">
      <c r="A38" s="310" t="s">
        <v>375</v>
      </c>
      <c r="B38" s="314"/>
      <c r="C38" s="315">
        <v>-54.7</v>
      </c>
      <c r="D38" s="316">
        <v>105</v>
      </c>
      <c r="E38" s="316">
        <v>444.2</v>
      </c>
      <c r="F38" s="317">
        <v>39.4</v>
      </c>
      <c r="G38" s="317">
        <v>-30.6</v>
      </c>
      <c r="H38" s="317">
        <v>-53.2</v>
      </c>
      <c r="I38" s="318">
        <v>-29.3</v>
      </c>
      <c r="J38" s="319">
        <v>16.600000000000001</v>
      </c>
      <c r="K38" s="319">
        <v>11.1</v>
      </c>
      <c r="L38" s="319">
        <v>1.9</v>
      </c>
      <c r="M38" s="314">
        <v>27.8</v>
      </c>
      <c r="N38" s="315">
        <v>-11.3</v>
      </c>
      <c r="O38" s="316">
        <v>4.5</v>
      </c>
      <c r="P38" s="316">
        <v>32</v>
      </c>
      <c r="Q38" s="317">
        <v>3.1</v>
      </c>
      <c r="R38" s="317">
        <v>-11</v>
      </c>
      <c r="S38" s="317">
        <v>-13.7</v>
      </c>
      <c r="T38" s="318">
        <v>33.799999999999997</v>
      </c>
      <c r="U38" s="319">
        <v>9.6999999999999993</v>
      </c>
      <c r="V38" s="319">
        <v>-2.1</v>
      </c>
      <c r="W38" s="319">
        <v>-16</v>
      </c>
      <c r="X38" s="314">
        <v>-15.4</v>
      </c>
      <c r="Y38" s="315">
        <v>-17.2</v>
      </c>
      <c r="Z38" s="316">
        <v>5.0999999999999996</v>
      </c>
      <c r="AA38" s="316">
        <v>-9.6999999999999993</v>
      </c>
      <c r="AB38" s="317">
        <v>-11.2</v>
      </c>
      <c r="AC38" s="317">
        <v>-12.2</v>
      </c>
      <c r="AD38" s="317">
        <v>13.5</v>
      </c>
      <c r="AE38" s="318">
        <v>28.5</v>
      </c>
      <c r="AF38" s="319">
        <v>-3.5</v>
      </c>
      <c r="AG38" s="319">
        <v>-4</v>
      </c>
      <c r="AH38" s="319">
        <v>2</v>
      </c>
      <c r="AI38" s="314">
        <v>25.6</v>
      </c>
      <c r="AJ38" s="315">
        <v>26.3</v>
      </c>
      <c r="AK38" s="316">
        <v>19.100000000000001</v>
      </c>
      <c r="AL38" s="316">
        <v>3.7</v>
      </c>
      <c r="AM38" s="331">
        <v>9.1</v>
      </c>
      <c r="AN38" s="332">
        <v>-7.4</v>
      </c>
      <c r="AO38" s="322">
        <v>-16.100000000000001</v>
      </c>
      <c r="AP38" s="323">
        <v>-4</v>
      </c>
      <c r="AQ38" s="323">
        <v>-4.3</v>
      </c>
      <c r="AR38" s="323">
        <v>-0.8</v>
      </c>
      <c r="AS38" s="324">
        <v>-14.2</v>
      </c>
      <c r="AT38" s="325">
        <v>-14.2</v>
      </c>
      <c r="AU38" s="326">
        <v>-17.8</v>
      </c>
      <c r="AV38" s="326">
        <v>-17.899999999999999</v>
      </c>
      <c r="AW38" s="327">
        <v>-2.7</v>
      </c>
      <c r="AX38" s="327">
        <v>-3.8</v>
      </c>
      <c r="AY38" s="327">
        <v>-0.3</v>
      </c>
      <c r="AZ38" s="328">
        <v>3.2</v>
      </c>
      <c r="BA38" s="329">
        <v>12.5</v>
      </c>
      <c r="BB38" s="329">
        <v>6</v>
      </c>
      <c r="BC38" s="329">
        <v>12.2</v>
      </c>
      <c r="BD38" s="330">
        <v>-1.4</v>
      </c>
      <c r="BE38" s="325">
        <v>22.5</v>
      </c>
      <c r="BF38" s="326">
        <v>3.2</v>
      </c>
      <c r="BG38" s="326">
        <v>13.3</v>
      </c>
      <c r="BH38" s="327">
        <v>6.5</v>
      </c>
      <c r="BI38" s="327">
        <v>24.5</v>
      </c>
      <c r="BJ38" s="327">
        <v>21.5</v>
      </c>
      <c r="BK38" s="328">
        <v>-19.100000000000001</v>
      </c>
      <c r="BL38" s="329">
        <v>-1.3</v>
      </c>
      <c r="BM38" s="329">
        <v>-4.5</v>
      </c>
      <c r="BN38" s="329">
        <v>-11.6</v>
      </c>
      <c r="BO38" s="330">
        <v>-18.5</v>
      </c>
      <c r="BP38" s="325">
        <v>1.3</v>
      </c>
      <c r="BQ38" s="326">
        <v>0.2</v>
      </c>
      <c r="BR38" s="326">
        <v>14.4</v>
      </c>
      <c r="BS38" s="327">
        <v>-1.2</v>
      </c>
      <c r="BT38" s="327">
        <v>-5.7</v>
      </c>
      <c r="BU38" s="327"/>
      <c r="BV38" s="327"/>
      <c r="BW38" s="330"/>
    </row>
    <row r="39" spans="1:78" s="311" customFormat="1">
      <c r="A39" s="310" t="s">
        <v>376</v>
      </c>
      <c r="B39" s="314"/>
      <c r="C39" s="315">
        <v>-48.9</v>
      </c>
      <c r="D39" s="316">
        <v>134.30000000000001</v>
      </c>
      <c r="E39" s="316">
        <v>102.4</v>
      </c>
      <c r="F39" s="317">
        <v>36.1</v>
      </c>
      <c r="G39" s="317">
        <v>24.7</v>
      </c>
      <c r="H39" s="317">
        <v>-0.4</v>
      </c>
      <c r="I39" s="318">
        <v>-1.8</v>
      </c>
      <c r="J39" s="319">
        <v>30.4</v>
      </c>
      <c r="K39" s="319">
        <v>19.2</v>
      </c>
      <c r="L39" s="319">
        <v>-6.5</v>
      </c>
      <c r="M39" s="314">
        <v>29</v>
      </c>
      <c r="N39" s="315">
        <v>6.7</v>
      </c>
      <c r="O39" s="316">
        <v>4.2</v>
      </c>
      <c r="P39" s="316">
        <v>5.7</v>
      </c>
      <c r="Q39" s="317">
        <v>8.1</v>
      </c>
      <c r="R39" s="317">
        <v>-1.1000000000000001</v>
      </c>
      <c r="S39" s="317">
        <v>-9.1</v>
      </c>
      <c r="T39" s="318">
        <v>0.7</v>
      </c>
      <c r="U39" s="319">
        <v>2.8</v>
      </c>
      <c r="V39" s="319">
        <v>-1.6</v>
      </c>
      <c r="W39" s="319">
        <v>0.9</v>
      </c>
      <c r="X39" s="314">
        <v>-7.7</v>
      </c>
      <c r="Y39" s="315">
        <v>-9.3000000000000007</v>
      </c>
      <c r="Z39" s="316">
        <v>0.9</v>
      </c>
      <c r="AA39" s="316">
        <v>-0.9</v>
      </c>
      <c r="AB39" s="317">
        <v>-6.8</v>
      </c>
      <c r="AC39" s="317">
        <v>-4.5999999999999996</v>
      </c>
      <c r="AD39" s="317">
        <v>-0.4</v>
      </c>
      <c r="AE39" s="318">
        <v>5</v>
      </c>
      <c r="AF39" s="319">
        <v>0.2</v>
      </c>
      <c r="AG39" s="319">
        <v>-1.9</v>
      </c>
      <c r="AH39" s="319">
        <v>-0.3</v>
      </c>
      <c r="AI39" s="314">
        <v>13.1</v>
      </c>
      <c r="AJ39" s="315">
        <v>14.7</v>
      </c>
      <c r="AK39" s="316">
        <v>9.5</v>
      </c>
      <c r="AL39" s="316">
        <v>13.6</v>
      </c>
      <c r="AM39" s="331">
        <v>13</v>
      </c>
      <c r="AN39" s="332">
        <v>4.5999999999999996</v>
      </c>
      <c r="AO39" s="322">
        <v>2.8</v>
      </c>
      <c r="AP39" s="323">
        <v>-1.5</v>
      </c>
      <c r="AQ39" s="323">
        <v>-1.3</v>
      </c>
      <c r="AR39" s="323">
        <v>-6.4</v>
      </c>
      <c r="AS39" s="324">
        <v>-4</v>
      </c>
      <c r="AT39" s="325">
        <v>-1.4</v>
      </c>
      <c r="AU39" s="326">
        <v>2.2000000000000002</v>
      </c>
      <c r="AV39" s="326">
        <v>-10.7</v>
      </c>
      <c r="AW39" s="327">
        <v>-2.1</v>
      </c>
      <c r="AX39" s="327">
        <v>-0.6</v>
      </c>
      <c r="AY39" s="327">
        <v>2.6</v>
      </c>
      <c r="AZ39" s="328">
        <v>0.6</v>
      </c>
      <c r="BA39" s="329">
        <v>2</v>
      </c>
      <c r="BB39" s="329">
        <v>-0.8</v>
      </c>
      <c r="BC39" s="329">
        <v>5.7</v>
      </c>
      <c r="BD39" s="330">
        <v>15.4</v>
      </c>
      <c r="BE39" s="325">
        <v>17.100000000000001</v>
      </c>
      <c r="BF39" s="326">
        <v>8.4</v>
      </c>
      <c r="BG39" s="326">
        <v>3.4</v>
      </c>
      <c r="BH39" s="327">
        <v>3</v>
      </c>
      <c r="BI39" s="327">
        <v>4</v>
      </c>
      <c r="BJ39" s="327">
        <v>0.6</v>
      </c>
      <c r="BK39" s="328">
        <v>-0.9</v>
      </c>
      <c r="BL39" s="329">
        <v>-1.1000000000000001</v>
      </c>
      <c r="BM39" s="329">
        <v>-6.2</v>
      </c>
      <c r="BN39" s="329">
        <v>-7.5</v>
      </c>
      <c r="BO39" s="330">
        <v>-13.1</v>
      </c>
      <c r="BP39" s="325">
        <v>-1</v>
      </c>
      <c r="BQ39" s="326">
        <v>-0.6</v>
      </c>
      <c r="BR39" s="326">
        <v>7.2</v>
      </c>
      <c r="BS39" s="327">
        <v>-0.6</v>
      </c>
      <c r="BT39" s="327">
        <v>15.5</v>
      </c>
      <c r="BU39" s="327"/>
      <c r="BV39" s="327"/>
      <c r="BW39" s="330"/>
    </row>
    <row r="40" spans="1:78" s="311" customFormat="1">
      <c r="A40" s="310" t="s">
        <v>377</v>
      </c>
      <c r="B40" s="314"/>
      <c r="C40" s="319">
        <v>-50</v>
      </c>
      <c r="D40" s="318">
        <v>190.5</v>
      </c>
      <c r="E40" s="319">
        <v>530</v>
      </c>
      <c r="F40" s="318">
        <v>62</v>
      </c>
      <c r="G40" s="319">
        <v>-42.5</v>
      </c>
      <c r="H40" s="319">
        <v>-84.8</v>
      </c>
      <c r="I40" s="318">
        <v>148.80000000000001</v>
      </c>
      <c r="J40" s="319">
        <v>34.200000000000003</v>
      </c>
      <c r="K40" s="319">
        <v>10.9</v>
      </c>
      <c r="L40" s="319">
        <v>40.6</v>
      </c>
      <c r="M40" s="314">
        <v>-32.5</v>
      </c>
      <c r="N40" s="319">
        <v>-2.9</v>
      </c>
      <c r="O40" s="318">
        <v>-22.3</v>
      </c>
      <c r="P40" s="319">
        <v>-26.2</v>
      </c>
      <c r="Q40" s="318">
        <v>46.1</v>
      </c>
      <c r="R40" s="319">
        <v>-22.5</v>
      </c>
      <c r="S40" s="319">
        <v>6.1</v>
      </c>
      <c r="T40" s="318">
        <v>128.4</v>
      </c>
      <c r="U40" s="319">
        <v>-57.7</v>
      </c>
      <c r="V40" s="319">
        <v>33</v>
      </c>
      <c r="W40" s="319">
        <v>-27.2</v>
      </c>
      <c r="X40" s="314">
        <v>-21</v>
      </c>
      <c r="Y40" s="319">
        <v>24.6</v>
      </c>
      <c r="Z40" s="318">
        <v>-9.8000000000000007</v>
      </c>
      <c r="AA40" s="319">
        <v>-5.3</v>
      </c>
      <c r="AB40" s="318">
        <v>3</v>
      </c>
      <c r="AC40" s="319">
        <v>12.3</v>
      </c>
      <c r="AD40" s="319">
        <v>14</v>
      </c>
      <c r="AE40" s="318">
        <v>-8.1</v>
      </c>
      <c r="AF40" s="319">
        <v>-30.2</v>
      </c>
      <c r="AG40" s="319">
        <v>29.6</v>
      </c>
      <c r="AH40" s="319">
        <v>-6.5</v>
      </c>
      <c r="AI40" s="314">
        <v>39.700000000000003</v>
      </c>
      <c r="AJ40" s="319">
        <v>38.9</v>
      </c>
      <c r="AK40" s="318">
        <v>-10.5</v>
      </c>
      <c r="AL40" s="319">
        <v>-3.1</v>
      </c>
      <c r="AM40" s="331">
        <v>17.8</v>
      </c>
      <c r="AN40" s="332">
        <v>-7</v>
      </c>
      <c r="AO40" s="322">
        <v>-6.9</v>
      </c>
      <c r="AP40" s="323">
        <v>0.7</v>
      </c>
      <c r="AQ40" s="323">
        <v>3.5</v>
      </c>
      <c r="AR40" s="323">
        <v>-13</v>
      </c>
      <c r="AS40" s="324">
        <v>-1.6</v>
      </c>
      <c r="AT40" s="329">
        <v>-1.2</v>
      </c>
      <c r="AU40" s="328">
        <v>-14.9</v>
      </c>
      <c r="AV40" s="329">
        <v>29.2</v>
      </c>
      <c r="AW40" s="328">
        <v>-11.1</v>
      </c>
      <c r="AX40" s="329">
        <v>24.8</v>
      </c>
      <c r="AY40" s="329">
        <v>-17.899999999999999</v>
      </c>
      <c r="AZ40" s="328">
        <v>-5.5</v>
      </c>
      <c r="BA40" s="329">
        <v>-2.8</v>
      </c>
      <c r="BB40" s="329">
        <v>-7</v>
      </c>
      <c r="BC40" s="329">
        <v>4.3</v>
      </c>
      <c r="BD40" s="330">
        <v>19.600000000000001</v>
      </c>
      <c r="BE40" s="329">
        <v>-1.9</v>
      </c>
      <c r="BF40" s="328">
        <v>-10.4</v>
      </c>
      <c r="BG40" s="329">
        <v>15.4</v>
      </c>
      <c r="BH40" s="328">
        <v>28.5</v>
      </c>
      <c r="BI40" s="329">
        <v>43.9</v>
      </c>
      <c r="BJ40" s="329">
        <v>55.6</v>
      </c>
      <c r="BK40" s="328">
        <v>19.5</v>
      </c>
      <c r="BL40" s="329">
        <v>-16.8</v>
      </c>
      <c r="BM40" s="329">
        <v>-30.4</v>
      </c>
      <c r="BN40" s="329">
        <v>-29.9</v>
      </c>
      <c r="BO40" s="330">
        <v>-30</v>
      </c>
      <c r="BP40" s="329">
        <v>2.5</v>
      </c>
      <c r="BQ40" s="328">
        <v>-33.799999999999997</v>
      </c>
      <c r="BR40" s="329">
        <v>20.3</v>
      </c>
      <c r="BS40" s="328">
        <v>-5.9</v>
      </c>
      <c r="BT40" s="329">
        <v>23.5</v>
      </c>
      <c r="BU40" s="329"/>
      <c r="BV40" s="329"/>
      <c r="BW40" s="330"/>
    </row>
    <row r="41" spans="1:78" s="312" customFormat="1">
      <c r="A41" s="339"/>
      <c r="B41" s="340"/>
      <c r="C41" s="341">
        <v>-6.7</v>
      </c>
      <c r="D41" s="342">
        <v>13.4</v>
      </c>
      <c r="E41" s="343">
        <v>154.4</v>
      </c>
      <c r="F41" s="342">
        <v>31.1</v>
      </c>
      <c r="G41" s="343">
        <v>-16.600000000000001</v>
      </c>
      <c r="H41" s="343">
        <v>-23.7</v>
      </c>
      <c r="I41" s="342">
        <v>-10.9</v>
      </c>
      <c r="J41" s="343">
        <v>1.1000000000000001</v>
      </c>
      <c r="K41" s="343">
        <v>4.5999999999999996</v>
      </c>
      <c r="L41" s="343">
        <v>-0.9</v>
      </c>
      <c r="M41" s="340">
        <v>4.7</v>
      </c>
      <c r="N41" s="341">
        <v>-3.1</v>
      </c>
      <c r="O41" s="342">
        <v>0.3</v>
      </c>
      <c r="P41" s="343">
        <v>13.8</v>
      </c>
      <c r="Q41" s="342">
        <v>0.7</v>
      </c>
      <c r="R41" s="343">
        <v>-3.3</v>
      </c>
      <c r="S41" s="343">
        <v>-3.4</v>
      </c>
      <c r="T41" s="342">
        <v>17.7</v>
      </c>
      <c r="U41" s="343">
        <v>9.5</v>
      </c>
      <c r="V41" s="343">
        <v>2.1</v>
      </c>
      <c r="W41" s="343">
        <v>-3</v>
      </c>
      <c r="X41" s="340">
        <v>-8.8000000000000007</v>
      </c>
      <c r="Y41" s="341">
        <v>-9.5</v>
      </c>
      <c r="Z41" s="342">
        <v>-3.7</v>
      </c>
      <c r="AA41" s="343">
        <v>-5</v>
      </c>
      <c r="AB41" s="342">
        <v>-4.2</v>
      </c>
      <c r="AC41" s="343">
        <v>-3.1</v>
      </c>
      <c r="AD41" s="343">
        <v>1.5</v>
      </c>
      <c r="AE41" s="342">
        <v>6</v>
      </c>
      <c r="AF41" s="343">
        <v>-1.5</v>
      </c>
      <c r="AG41" s="343">
        <v>0.2</v>
      </c>
      <c r="AH41" s="343">
        <v>2</v>
      </c>
      <c r="AI41" s="340">
        <v>11.5</v>
      </c>
      <c r="AJ41" s="341">
        <v>10.3</v>
      </c>
      <c r="AK41" s="342">
        <v>7</v>
      </c>
      <c r="AL41" s="343">
        <v>4.2</v>
      </c>
      <c r="AM41" s="344">
        <v>6.8</v>
      </c>
      <c r="AN41" s="345">
        <v>-3.9</v>
      </c>
      <c r="AO41" s="346">
        <v>-3.1</v>
      </c>
      <c r="AP41" s="347">
        <v>-2</v>
      </c>
      <c r="AQ41" s="347">
        <v>-1.2</v>
      </c>
      <c r="AR41" s="347">
        <v>-2</v>
      </c>
      <c r="AS41" s="348">
        <v>-9.1</v>
      </c>
      <c r="AT41" s="349">
        <v>-0.6</v>
      </c>
      <c r="AU41" s="350">
        <v>-5.5</v>
      </c>
      <c r="AV41" s="351">
        <v>-7.9</v>
      </c>
      <c r="AW41" s="350">
        <v>-0.5</v>
      </c>
      <c r="AX41" s="351">
        <v>-2.6</v>
      </c>
      <c r="AY41" s="351">
        <v>-1</v>
      </c>
      <c r="AZ41" s="350">
        <v>-2.5</v>
      </c>
      <c r="BA41" s="351">
        <v>4.9000000000000004</v>
      </c>
      <c r="BB41" s="351">
        <v>1.8</v>
      </c>
      <c r="BC41" s="351">
        <v>6.4</v>
      </c>
      <c r="BD41" s="352">
        <v>5.6</v>
      </c>
      <c r="BE41" s="349">
        <v>22.7</v>
      </c>
      <c r="BF41" s="350">
        <v>4.3</v>
      </c>
      <c r="BG41" s="351">
        <v>-1.2</v>
      </c>
      <c r="BH41" s="350">
        <v>7.3</v>
      </c>
      <c r="BI41" s="351">
        <v>9.5</v>
      </c>
      <c r="BJ41" s="351">
        <v>8.8000000000000007</v>
      </c>
      <c r="BK41" s="350">
        <v>-2.9</v>
      </c>
      <c r="BL41" s="351">
        <v>2.4</v>
      </c>
      <c r="BM41" s="351">
        <v>-2.6</v>
      </c>
      <c r="BN41" s="351">
        <v>-6.7</v>
      </c>
      <c r="BO41" s="352">
        <v>-12.2</v>
      </c>
      <c r="BP41" s="349">
        <v>0.6</v>
      </c>
      <c r="BQ41" s="350">
        <v>-5.2</v>
      </c>
      <c r="BR41" s="351">
        <v>3.3</v>
      </c>
      <c r="BS41" s="350">
        <v>-2.2999999999999998</v>
      </c>
      <c r="BT41" s="351">
        <v>-4</v>
      </c>
      <c r="BU41" s="351"/>
      <c r="BV41" s="351"/>
      <c r="BW41" s="352"/>
    </row>
    <row r="42" spans="1:78" s="293" customFormat="1" ht="9.5" customHeight="1"/>
    <row r="43" spans="1:78">
      <c r="A43" s="353" t="s">
        <v>382</v>
      </c>
    </row>
    <row r="45" spans="1:78">
      <c r="D45" s="281">
        <v>14.086</v>
      </c>
      <c r="E45" s="281">
        <f t="shared" ref="E45:BP45" si="42">E17/1000</f>
        <v>47.533999999999999</v>
      </c>
      <c r="F45" s="281">
        <f t="shared" si="42"/>
        <v>60.195999999999998</v>
      </c>
      <c r="G45" s="281">
        <f t="shared" si="42"/>
        <v>48.603000000000002</v>
      </c>
      <c r="H45" s="281">
        <f t="shared" si="42"/>
        <v>34.319000000000003</v>
      </c>
      <c r="I45" s="281">
        <f t="shared" si="42"/>
        <v>30.425000000000001</v>
      </c>
      <c r="J45" s="281">
        <f t="shared" si="42"/>
        <v>32.790999999999997</v>
      </c>
      <c r="K45" s="281">
        <f t="shared" si="42"/>
        <v>35.915999999999997</v>
      </c>
      <c r="L45" s="281">
        <f t="shared" si="42"/>
        <v>36.970999999999997</v>
      </c>
      <c r="M45" s="281">
        <f t="shared" si="42"/>
        <v>41.402000000000001</v>
      </c>
      <c r="N45" s="281">
        <f t="shared" si="42"/>
        <v>40.906999999999996</v>
      </c>
      <c r="O45" s="281">
        <f t="shared" si="42"/>
        <v>41.386000000000003</v>
      </c>
      <c r="P45" s="281">
        <f t="shared" si="42"/>
        <v>48.014000000000003</v>
      </c>
      <c r="Q45" s="281">
        <f t="shared" si="42"/>
        <v>49.56</v>
      </c>
      <c r="R45" s="281">
        <f t="shared" si="42"/>
        <v>49.627000000000002</v>
      </c>
      <c r="S45" s="281">
        <f t="shared" si="42"/>
        <v>49.058</v>
      </c>
      <c r="T45" s="281">
        <f t="shared" si="42"/>
        <v>63.555</v>
      </c>
      <c r="U45" s="281">
        <f t="shared" si="42"/>
        <v>72.177000000000007</v>
      </c>
      <c r="V45" s="281">
        <f t="shared" si="42"/>
        <v>76.286000000000001</v>
      </c>
      <c r="W45" s="281">
        <f t="shared" si="42"/>
        <v>76.905000000000001</v>
      </c>
      <c r="X45" s="281">
        <f t="shared" si="42"/>
        <v>74.082999999999998</v>
      </c>
      <c r="Y45" s="281">
        <f t="shared" si="42"/>
        <v>71.159000000000006</v>
      </c>
      <c r="Z45" s="281">
        <f t="shared" si="42"/>
        <v>75.006</v>
      </c>
      <c r="AA45" s="281">
        <f t="shared" si="42"/>
        <v>77.555000000000007</v>
      </c>
      <c r="AB45" s="281">
        <f t="shared" si="42"/>
        <v>80.991</v>
      </c>
      <c r="AC45" s="281">
        <f t="shared" si="42"/>
        <v>85.661000000000001</v>
      </c>
      <c r="AD45" s="281">
        <f t="shared" si="42"/>
        <v>95.507999999999996</v>
      </c>
      <c r="AE45" s="281">
        <f t="shared" si="42"/>
        <v>108.33799999999999</v>
      </c>
      <c r="AF45" s="281">
        <f t="shared" si="42"/>
        <v>115.322</v>
      </c>
      <c r="AG45" s="281">
        <f t="shared" si="42"/>
        <v>125.004</v>
      </c>
      <c r="AH45" s="281">
        <f t="shared" si="42"/>
        <v>142.62100000000001</v>
      </c>
      <c r="AI45" s="281">
        <f t="shared" si="42"/>
        <v>178.36500000000001</v>
      </c>
      <c r="AJ45" s="281">
        <f t="shared" si="42"/>
        <v>213.751</v>
      </c>
      <c r="AK45" s="281">
        <f t="shared" si="42"/>
        <v>239.47399999999999</v>
      </c>
      <c r="AL45" s="281">
        <f t="shared" si="42"/>
        <v>258.14999999999998</v>
      </c>
      <c r="AM45" s="281">
        <f t="shared" si="42"/>
        <v>286.80200000000002</v>
      </c>
      <c r="AN45" s="281">
        <f t="shared" si="42"/>
        <v>281.39</v>
      </c>
      <c r="AO45" s="281">
        <f t="shared" si="42"/>
        <v>279.46899999999999</v>
      </c>
      <c r="AP45" s="281">
        <f t="shared" si="42"/>
        <v>283.755</v>
      </c>
      <c r="AQ45" s="281">
        <f t="shared" si="42"/>
        <v>290.83699999999999</v>
      </c>
      <c r="AR45" s="281">
        <f t="shared" si="42"/>
        <v>292.99900000000002</v>
      </c>
      <c r="AS45" s="281">
        <f t="shared" si="42"/>
        <v>276.20800000000003</v>
      </c>
      <c r="AT45" s="281">
        <f t="shared" si="42"/>
        <v>281.88299999999998</v>
      </c>
      <c r="AU45" s="281">
        <f t="shared" si="42"/>
        <v>267.40199999999999</v>
      </c>
      <c r="AV45" s="281">
        <f t="shared" si="42"/>
        <v>251.364</v>
      </c>
      <c r="AW45" s="281">
        <f t="shared" si="42"/>
        <v>255.727</v>
      </c>
      <c r="AX45" s="281">
        <f t="shared" si="42"/>
        <v>254.56899999999999</v>
      </c>
      <c r="AY45" s="281">
        <f t="shared" si="42"/>
        <v>258.00599999999997</v>
      </c>
      <c r="AZ45" s="281">
        <f t="shared" si="42"/>
        <v>258.58300000000003</v>
      </c>
      <c r="BA45" s="281">
        <f t="shared" si="42"/>
        <v>278.59500000000003</v>
      </c>
      <c r="BB45" s="281">
        <f t="shared" si="42"/>
        <v>290.53399999999999</v>
      </c>
      <c r="BC45" s="281">
        <f t="shared" si="42"/>
        <v>319.428</v>
      </c>
      <c r="BD45" s="281">
        <f t="shared" si="42"/>
        <v>345.63200000000001</v>
      </c>
      <c r="BE45" s="281">
        <f t="shared" si="42"/>
        <v>437.80099999999999</v>
      </c>
      <c r="BF45" s="281">
        <f t="shared" si="42"/>
        <v>471.01100000000002</v>
      </c>
      <c r="BG45" s="281">
        <f t="shared" si="42"/>
        <v>483.91300000000001</v>
      </c>
      <c r="BH45" s="281">
        <f t="shared" si="42"/>
        <v>536.46199999999999</v>
      </c>
      <c r="BI45" s="281">
        <f t="shared" si="42"/>
        <v>602.24599999999998</v>
      </c>
      <c r="BJ45" s="281">
        <f t="shared" si="42"/>
        <v>673.48699999999997</v>
      </c>
      <c r="BK45" s="281">
        <f t="shared" si="42"/>
        <v>664.524</v>
      </c>
      <c r="BL45" s="281">
        <f t="shared" si="42"/>
        <v>695.673</v>
      </c>
      <c r="BM45" s="281">
        <f t="shared" si="42"/>
        <v>690.78099999999995</v>
      </c>
      <c r="BN45" s="281">
        <f t="shared" si="42"/>
        <v>655.38800000000003</v>
      </c>
      <c r="BO45" s="281">
        <f t="shared" si="42"/>
        <v>585.36099999999999</v>
      </c>
      <c r="BP45" s="281">
        <f t="shared" si="42"/>
        <v>595.74</v>
      </c>
      <c r="BQ45" s="281">
        <f t="shared" ref="BQ45:BU45" si="43">BQ17/1000</f>
        <v>570.84400000000005</v>
      </c>
      <c r="BR45" s="281">
        <f t="shared" si="43"/>
        <v>595.72400000000005</v>
      </c>
      <c r="BS45" s="281">
        <f t="shared" si="43"/>
        <v>626.23900000000003</v>
      </c>
      <c r="BT45" s="281">
        <f t="shared" si="43"/>
        <v>618.64300000000003</v>
      </c>
      <c r="BU45" s="281">
        <f t="shared" si="43"/>
        <v>695.06600000000003</v>
      </c>
    </row>
    <row r="46" spans="1:78" ht="15" thickBot="1">
      <c r="D46" s="281">
        <v>47.533999999999999</v>
      </c>
      <c r="BB46" s="281" t="s">
        <v>785</v>
      </c>
      <c r="BC46" s="287">
        <v>2001</v>
      </c>
      <c r="BD46" s="286">
        <v>2002</v>
      </c>
      <c r="BE46" s="287">
        <v>2003</v>
      </c>
      <c r="BF46" s="286">
        <v>2004</v>
      </c>
      <c r="BG46" s="287">
        <v>2005</v>
      </c>
      <c r="BH46" s="286">
        <v>2006</v>
      </c>
      <c r="BI46" s="287">
        <v>2007</v>
      </c>
      <c r="BJ46" s="286">
        <v>2008</v>
      </c>
      <c r="BK46" s="287">
        <v>2009</v>
      </c>
      <c r="BL46" s="286">
        <v>2010</v>
      </c>
      <c r="BM46" s="287">
        <v>2011</v>
      </c>
      <c r="BN46" s="286">
        <v>2012</v>
      </c>
      <c r="BO46" s="287">
        <v>2013</v>
      </c>
      <c r="BP46" s="286">
        <v>2014</v>
      </c>
      <c r="BQ46" s="287">
        <v>2015</v>
      </c>
      <c r="BR46" s="286">
        <v>2016</v>
      </c>
      <c r="BS46" s="286">
        <v>2017</v>
      </c>
      <c r="BT46" s="288">
        <v>2018</v>
      </c>
      <c r="BU46" s="289">
        <v>2019</v>
      </c>
      <c r="BV46" s="281" t="s">
        <v>786</v>
      </c>
    </row>
    <row r="47" spans="1:78" ht="15" thickBot="1">
      <c r="D47" s="281">
        <v>60.195999999999998</v>
      </c>
      <c r="BB47" s="281" t="s">
        <v>784</v>
      </c>
      <c r="BC47" s="395">
        <f>(BC23+BC24)/1000</f>
        <v>146.69368626689905</v>
      </c>
      <c r="BD47" s="395">
        <f t="shared" ref="BD47:BU47" si="44">(BD23+BD24)/1000</f>
        <v>154.42309040638119</v>
      </c>
      <c r="BE47" s="395">
        <f t="shared" si="44"/>
        <v>185.69388425562238</v>
      </c>
      <c r="BF47" s="395">
        <f t="shared" si="44"/>
        <v>195.96268046199248</v>
      </c>
      <c r="BG47" s="395">
        <f t="shared" si="44"/>
        <v>212.78119888025654</v>
      </c>
      <c r="BH47" s="395">
        <f t="shared" si="44"/>
        <v>222.0186769889026</v>
      </c>
      <c r="BI47" s="395">
        <f t="shared" si="44"/>
        <v>256.27271666080975</v>
      </c>
      <c r="BJ47" s="395">
        <f t="shared" si="44"/>
        <v>290.58586860062121</v>
      </c>
      <c r="BK47" s="395">
        <f t="shared" si="44"/>
        <v>253.02256559039694</v>
      </c>
      <c r="BL47" s="395">
        <f t="shared" si="44"/>
        <v>251.53111629544188</v>
      </c>
      <c r="BM47" s="395">
        <f t="shared" si="44"/>
        <v>238.0054286308204</v>
      </c>
      <c r="BN47" s="395">
        <f t="shared" si="44"/>
        <v>213.28647150810784</v>
      </c>
      <c r="BO47" s="395">
        <f t="shared" si="44"/>
        <v>177.52413184733717</v>
      </c>
      <c r="BP47" s="395">
        <f t="shared" si="44"/>
        <v>177.36255783946817</v>
      </c>
      <c r="BQ47" s="395">
        <f t="shared" si="44"/>
        <v>177.48544028571428</v>
      </c>
      <c r="BR47" s="395">
        <f t="shared" si="44"/>
        <v>199.19000040721363</v>
      </c>
      <c r="BS47" s="395">
        <f t="shared" si="44"/>
        <v>206.25407822234033</v>
      </c>
      <c r="BT47" s="395">
        <f t="shared" si="44"/>
        <v>204.40385718562658</v>
      </c>
      <c r="BU47" s="395">
        <f t="shared" si="44"/>
        <v>237.179</v>
      </c>
      <c r="BV47" s="397">
        <f>SUM(BC47:BU47)</f>
        <v>3999.6764503339527</v>
      </c>
    </row>
    <row r="48" spans="1:78" ht="15" thickBot="1">
      <c r="D48" s="281">
        <v>48.603000000000002</v>
      </c>
      <c r="BB48" s="281" t="s">
        <v>787</v>
      </c>
      <c r="BC48" s="396">
        <f>OCO_DoD_BA!G38+OCO_DoD_BA!G39</f>
        <v>2.0624202299498768</v>
      </c>
      <c r="BD48" s="396">
        <f>OCO_DoD_BA!H38+OCO_DoD_BA!H39</f>
        <v>1.634869158602611</v>
      </c>
      <c r="BE48" s="396">
        <f>OCO_DoD_BA!I38+OCO_DoD_BA!I39</f>
        <v>6.1760655097500781</v>
      </c>
      <c r="BF48" s="396">
        <f>OCO_DoD_BA!J38+OCO_DoD_BA!J39</f>
        <v>9.6234160883280762</v>
      </c>
      <c r="BG48" s="396">
        <f>OCO_DoD_BA!K38+OCO_DoD_BA!K39</f>
        <v>23.37211870267604</v>
      </c>
      <c r="BH48" s="396">
        <f>OCO_DoD_BA!L38+OCO_DoD_BA!L39</f>
        <v>33.081188974208573</v>
      </c>
      <c r="BI48" s="396">
        <f>OCO_DoD_BA!M38+OCO_DoD_BA!M39</f>
        <v>61.814646502878531</v>
      </c>
      <c r="BJ48" s="396">
        <f>OCO_DoD_BA!N38+OCO_DoD_BA!N39</f>
        <v>80.171820501707543</v>
      </c>
      <c r="BK48" s="396">
        <f>OCO_DoD_BA!O38+OCO_DoD_BA!O39</f>
        <v>41.297630911288451</v>
      </c>
      <c r="BL48" s="396">
        <f>OCO_DoD_BA!P38+OCO_DoD_BA!P39</f>
        <v>39.118990602418606</v>
      </c>
      <c r="BM48" s="396">
        <f>OCO_DoD_BA!Q38+OCO_DoD_BA!Q39</f>
        <v>35.624649362527713</v>
      </c>
      <c r="BN48" s="396">
        <f>OCO_DoD_BA!R38+OCO_DoD_BA!R39</f>
        <v>18.575587731344424</v>
      </c>
      <c r="BO48" s="396">
        <f>OCO_DoD_BA!S38+OCO_DoD_BA!S39</f>
        <v>9.1753674253167183</v>
      </c>
      <c r="BP48" s="396">
        <f>OCO_DoD_BA!T38+OCO_DoD_BA!T39</f>
        <v>9.2562112979655087</v>
      </c>
      <c r="BQ48" s="396">
        <f>OCO_DoD_BA!U38+OCO_DoD_BA!U39</f>
        <v>9.2122320779220779</v>
      </c>
      <c r="BR48" s="396">
        <f>OCO_DoD_BA!V38+OCO_DoD_BA!V39</f>
        <v>9.0959888849598975</v>
      </c>
      <c r="BS48" s="396">
        <f>OCO_DoD_BA!W38+OCO_DoD_BA!W39</f>
        <v>18.503692636263995</v>
      </c>
      <c r="BT48" s="396">
        <f>OCO_DoD_BA!X38+OCO_DoD_BA!X39</f>
        <v>21.664798084539751</v>
      </c>
      <c r="BU48" s="396">
        <f>OCO_DoD_BA!Y38+OCO_DoD_BA!Y39</f>
        <v>14.09</v>
      </c>
      <c r="BV48" s="397">
        <f>SUM(BC48:BU48)</f>
        <v>443.55169468264847</v>
      </c>
    </row>
    <row r="49" spans="4:74" ht="15" thickBot="1">
      <c r="D49" s="281">
        <v>34.319000000000003</v>
      </c>
      <c r="BV49" s="398">
        <f>BV48/BV47</f>
        <v>0.11089689383390353</v>
      </c>
    </row>
    <row r="50" spans="4:74">
      <c r="D50" s="281">
        <v>30.425000000000001</v>
      </c>
    </row>
    <row r="51" spans="4:74">
      <c r="D51" s="281">
        <v>32.790999999999997</v>
      </c>
    </row>
    <row r="52" spans="4:74">
      <c r="D52" s="281">
        <v>35.915999999999997</v>
      </c>
    </row>
    <row r="53" spans="4:74">
      <c r="D53" s="281">
        <v>36.970999999999997</v>
      </c>
    </row>
    <row r="54" spans="4:74">
      <c r="D54" s="281">
        <v>41.402000000000001</v>
      </c>
    </row>
    <row r="55" spans="4:74">
      <c r="D55" s="281">
        <v>40.906999999999996</v>
      </c>
    </row>
    <row r="56" spans="4:74">
      <c r="D56" s="281">
        <v>41.386000000000003</v>
      </c>
    </row>
    <row r="57" spans="4:74">
      <c r="D57" s="281">
        <v>48.014000000000003</v>
      </c>
    </row>
    <row r="58" spans="4:74">
      <c r="D58" s="281">
        <v>49.56</v>
      </c>
    </row>
    <row r="59" spans="4:74">
      <c r="D59" s="281">
        <v>49.627000000000002</v>
      </c>
    </row>
    <row r="60" spans="4:74">
      <c r="D60" s="281">
        <v>49.058</v>
      </c>
    </row>
    <row r="61" spans="4:74">
      <c r="D61" s="281">
        <v>63.555</v>
      </c>
    </row>
    <row r="62" spans="4:74">
      <c r="D62" s="281">
        <v>72.177000000000007</v>
      </c>
    </row>
    <row r="63" spans="4:74">
      <c r="D63" s="281">
        <v>76.286000000000001</v>
      </c>
    </row>
    <row r="64" spans="4:74">
      <c r="D64" s="281">
        <v>76.905000000000001</v>
      </c>
    </row>
    <row r="65" spans="4:4">
      <c r="D65" s="281">
        <v>74.082999999999998</v>
      </c>
    </row>
    <row r="66" spans="4:4">
      <c r="D66" s="281">
        <v>71.159000000000006</v>
      </c>
    </row>
    <row r="67" spans="4:4">
      <c r="D67" s="281">
        <v>75.006</v>
      </c>
    </row>
    <row r="68" spans="4:4">
      <c r="D68" s="281">
        <v>77.555000000000007</v>
      </c>
    </row>
    <row r="69" spans="4:4">
      <c r="D69" s="281">
        <v>80.991</v>
      </c>
    </row>
    <row r="70" spans="4:4">
      <c r="D70" s="281">
        <v>85.661000000000001</v>
      </c>
    </row>
    <row r="71" spans="4:4">
      <c r="D71" s="281">
        <v>95.507999999999996</v>
      </c>
    </row>
    <row r="72" spans="4:4">
      <c r="D72" s="281">
        <v>108.33799999999999</v>
      </c>
    </row>
    <row r="73" spans="4:4">
      <c r="D73" s="281">
        <v>115.322</v>
      </c>
    </row>
    <row r="74" spans="4:4">
      <c r="D74" s="281">
        <v>125.004</v>
      </c>
    </row>
    <row r="75" spans="4:4">
      <c r="D75" s="281">
        <v>142.62100000000001</v>
      </c>
    </row>
    <row r="76" spans="4:4">
      <c r="D76" s="281">
        <v>178.36500000000001</v>
      </c>
    </row>
    <row r="77" spans="4:4">
      <c r="D77" s="281">
        <v>213.751</v>
      </c>
    </row>
    <row r="78" spans="4:4">
      <c r="D78" s="281">
        <v>239.47399999999999</v>
      </c>
    </row>
    <row r="79" spans="4:4">
      <c r="D79" s="281">
        <v>258.14999999999998</v>
      </c>
    </row>
    <row r="80" spans="4:4">
      <c r="D80" s="281">
        <v>286.80200000000002</v>
      </c>
    </row>
    <row r="81" spans="4:4">
      <c r="D81" s="281">
        <v>281.39</v>
      </c>
    </row>
    <row r="82" spans="4:4">
      <c r="D82" s="281">
        <v>279.46899999999999</v>
      </c>
    </row>
    <row r="83" spans="4:4">
      <c r="D83" s="281">
        <v>283.755</v>
      </c>
    </row>
    <row r="84" spans="4:4">
      <c r="D84" s="281">
        <v>290.83699999999999</v>
      </c>
    </row>
    <row r="85" spans="4:4">
      <c r="D85" s="281">
        <v>292.99900000000002</v>
      </c>
    </row>
    <row r="86" spans="4:4">
      <c r="D86" s="281">
        <v>276.20800000000003</v>
      </c>
    </row>
    <row r="87" spans="4:4">
      <c r="D87" s="281">
        <v>281.88299999999998</v>
      </c>
    </row>
    <row r="88" spans="4:4">
      <c r="D88" s="281">
        <v>267.40199999999999</v>
      </c>
    </row>
    <row r="89" spans="4:4">
      <c r="D89" s="281">
        <v>251.364</v>
      </c>
    </row>
    <row r="90" spans="4:4">
      <c r="D90" s="281">
        <v>255.727</v>
      </c>
    </row>
    <row r="91" spans="4:4">
      <c r="D91" s="281">
        <v>254.56899999999999</v>
      </c>
    </row>
    <row r="92" spans="4:4">
      <c r="D92" s="281">
        <v>258.00599999999997</v>
      </c>
    </row>
    <row r="93" spans="4:4">
      <c r="D93" s="281">
        <v>258.58300000000003</v>
      </c>
    </row>
    <row r="94" spans="4:4">
      <c r="D94" s="281">
        <v>278.59500000000003</v>
      </c>
    </row>
    <row r="95" spans="4:4">
      <c r="D95" s="281">
        <v>290.53399999999999</v>
      </c>
    </row>
    <row r="96" spans="4:4">
      <c r="D96" s="281">
        <v>319.428</v>
      </c>
    </row>
    <row r="97" spans="4:4">
      <c r="D97" s="281">
        <v>345.63200000000001</v>
      </c>
    </row>
    <row r="98" spans="4:4">
      <c r="D98" s="281">
        <v>437.80099999999999</v>
      </c>
    </row>
    <row r="99" spans="4:4">
      <c r="D99" s="281">
        <v>471.01100000000002</v>
      </c>
    </row>
    <row r="100" spans="4:4">
      <c r="D100" s="281">
        <v>483.91300000000001</v>
      </c>
    </row>
    <row r="101" spans="4:4">
      <c r="D101" s="281">
        <v>536.46199999999999</v>
      </c>
    </row>
    <row r="102" spans="4:4">
      <c r="D102" s="281">
        <v>602.24599999999998</v>
      </c>
    </row>
    <row r="103" spans="4:4">
      <c r="D103" s="281">
        <v>673.48699999999997</v>
      </c>
    </row>
    <row r="104" spans="4:4">
      <c r="D104" s="281">
        <v>664.524</v>
      </c>
    </row>
    <row r="105" spans="4:4">
      <c r="D105" s="281">
        <v>695.673</v>
      </c>
    </row>
    <row r="106" spans="4:4">
      <c r="D106" s="281">
        <v>690.78099999999995</v>
      </c>
    </row>
    <row r="107" spans="4:4">
      <c r="D107" s="281">
        <v>655.38800000000003</v>
      </c>
    </row>
    <row r="108" spans="4:4">
      <c r="D108" s="281">
        <v>585.36099999999999</v>
      </c>
    </row>
    <row r="109" spans="4:4">
      <c r="D109" s="281">
        <v>595.74</v>
      </c>
    </row>
    <row r="110" spans="4:4">
      <c r="D110" s="281">
        <v>570.84400000000005</v>
      </c>
    </row>
    <row r="111" spans="4:4">
      <c r="D111" s="281">
        <v>595.72400000000005</v>
      </c>
    </row>
    <row r="112" spans="4:4">
      <c r="D112" s="281">
        <v>626.23900000000003</v>
      </c>
    </row>
    <row r="113" spans="4:4">
      <c r="D113" s="281">
        <v>618.64300000000003</v>
      </c>
    </row>
    <row r="114" spans="4:4">
      <c r="D114" s="281">
        <v>695.06600000000003</v>
      </c>
    </row>
  </sheetData>
  <printOptions horizontalCentered="1"/>
  <pageMargins left="0.5" right="0.5" top="0.75" bottom="0.5" header="0.3" footer="0.3"/>
  <pageSetup orientation="landscape" r:id="rId1"/>
  <ignoredErrors>
    <ignoredError sqref="BV18:BY18" formulaRange="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0"/>
  <sheetViews>
    <sheetView workbookViewId="0">
      <selection activeCell="B7" sqref="B7"/>
    </sheetView>
  </sheetViews>
  <sheetFormatPr baseColWidth="10" defaultRowHeight="16"/>
  <cols>
    <col min="1" max="1" width="30" style="107" customWidth="1"/>
    <col min="2" max="16384" width="10.83203125" style="107"/>
  </cols>
  <sheetData>
    <row r="1" spans="1:25" s="109" customFormat="1">
      <c r="A1" s="109" t="s">
        <v>330</v>
      </c>
      <c r="B1" s="118">
        <f>pgdp!BA3</f>
        <v>0.71033050332114134</v>
      </c>
      <c r="C1" s="118">
        <f>pgdp!BB3</f>
        <v>0.72177029812501559</v>
      </c>
      <c r="D1" s="118">
        <f>pgdp!BC3</f>
        <v>0.73558157581522121</v>
      </c>
      <c r="E1" s="118">
        <f>pgdp!BD3</f>
        <v>0.75378638244667995</v>
      </c>
      <c r="F1" s="118">
        <f>pgdp!BE3</f>
        <v>0.77750760344715164</v>
      </c>
      <c r="G1" s="118">
        <f>pgdp!BF3</f>
        <v>0.80275228380407149</v>
      </c>
      <c r="H1" s="118">
        <f>pgdp!BG3</f>
        <v>0.82459421647952613</v>
      </c>
      <c r="I1" s="118">
        <f>pgdp!BH3</f>
        <v>0.84165483055935886</v>
      </c>
      <c r="J1" s="118">
        <f>pgdp!BI3</f>
        <v>0.85147741466177274</v>
      </c>
      <c r="K1" s="118">
        <f>pgdp!BJ3</f>
        <v>0.85894343086456204</v>
      </c>
      <c r="L1" s="118">
        <f>pgdp!BK3</f>
        <v>0.87638757317399019</v>
      </c>
      <c r="M1" s="118">
        <f>pgdp!BL3</f>
        <v>0.89246166741880806</v>
      </c>
      <c r="N1" s="118">
        <f>pgdp!BM3</f>
        <v>0.9075385882666781</v>
      </c>
      <c r="O1" s="118">
        <f>pgdp!BN3</f>
        <v>0.9240281714268912</v>
      </c>
      <c r="P1" s="118">
        <f>pgdp!BO3</f>
        <v>0.9351696664966358</v>
      </c>
      <c r="Q1" s="118">
        <f>pgdp!BP3</f>
        <v>0.94602138468179731</v>
      </c>
      <c r="R1" s="118">
        <f>pgdp!BQ3</f>
        <v>0.96224036736890672</v>
      </c>
      <c r="S1" s="118">
        <f>pgdp!BR3</f>
        <v>0.9807153483309915</v>
      </c>
      <c r="T1" s="118">
        <f>pgdp!BS3</f>
        <v>1</v>
      </c>
    </row>
    <row r="3" spans="1:25" s="110" customFormat="1" ht="17">
      <c r="A3" s="111" t="s">
        <v>645</v>
      </c>
      <c r="B3" s="112">
        <v>2001</v>
      </c>
      <c r="C3" s="112">
        <v>2002</v>
      </c>
      <c r="D3" s="112">
        <v>2003</v>
      </c>
      <c r="E3" s="112">
        <v>2004</v>
      </c>
      <c r="F3" s="112">
        <v>2005</v>
      </c>
      <c r="G3" s="112">
        <v>2006</v>
      </c>
      <c r="H3" s="112">
        <v>2007</v>
      </c>
      <c r="I3" s="112">
        <v>2008</v>
      </c>
      <c r="J3" s="112">
        <v>2009</v>
      </c>
      <c r="K3" s="112">
        <v>2010</v>
      </c>
      <c r="L3" s="112">
        <v>2011</v>
      </c>
      <c r="M3" s="112">
        <v>2012</v>
      </c>
      <c r="N3" s="112">
        <v>2013</v>
      </c>
      <c r="O3" s="112">
        <v>2014</v>
      </c>
      <c r="P3" s="112">
        <v>2015</v>
      </c>
      <c r="Q3" s="112">
        <v>2016</v>
      </c>
      <c r="R3" s="112">
        <v>2017</v>
      </c>
      <c r="S3" s="112">
        <v>2018</v>
      </c>
      <c r="T3" s="112">
        <v>2019</v>
      </c>
    </row>
    <row r="4" spans="1:25" s="110" customFormat="1">
      <c r="A4" s="111"/>
      <c r="B4" s="112"/>
      <c r="C4" s="112"/>
      <c r="D4" s="112"/>
      <c r="E4" s="112"/>
      <c r="F4" s="112"/>
      <c r="G4" s="112"/>
      <c r="H4" s="112"/>
      <c r="I4" s="112"/>
      <c r="J4" s="112"/>
      <c r="K4" s="112"/>
      <c r="L4" s="112"/>
      <c r="M4" s="112"/>
      <c r="N4" s="112"/>
      <c r="O4" s="112"/>
      <c r="P4" s="112"/>
      <c r="Q4" s="112"/>
      <c r="R4" s="112"/>
      <c r="S4" s="112"/>
      <c r="T4" s="112"/>
    </row>
    <row r="5" spans="1:25" s="109" customFormat="1" ht="17">
      <c r="A5" s="113" t="s">
        <v>643</v>
      </c>
      <c r="B5" s="114">
        <v>287.39999999999998</v>
      </c>
      <c r="C5" s="114">
        <v>328.2</v>
      </c>
      <c r="D5" s="114">
        <v>364.9</v>
      </c>
      <c r="E5" s="114">
        <v>376.5</v>
      </c>
      <c r="F5" s="114">
        <v>400.1</v>
      </c>
      <c r="G5" s="114">
        <v>410.6</v>
      </c>
      <c r="H5" s="114">
        <v>431.5</v>
      </c>
      <c r="I5" s="114">
        <v>479</v>
      </c>
      <c r="J5" s="114">
        <v>513.20000000000005</v>
      </c>
      <c r="K5" s="114">
        <v>527.9</v>
      </c>
      <c r="L5" s="114">
        <v>528.20000000000005</v>
      </c>
      <c r="M5" s="114">
        <v>530.4</v>
      </c>
      <c r="N5" s="114">
        <v>495.5</v>
      </c>
      <c r="O5" s="114">
        <v>496.3</v>
      </c>
      <c r="P5" s="114">
        <v>497.3</v>
      </c>
      <c r="Q5" s="114">
        <v>521.29999999999995</v>
      </c>
      <c r="R5" s="114">
        <f>R8-R7-R6</f>
        <v>523</v>
      </c>
      <c r="S5" s="114">
        <f t="shared" ref="S5:T5" si="0">S8-S7-S6</f>
        <v>524</v>
      </c>
      <c r="T5" s="114">
        <f t="shared" si="0"/>
        <v>617</v>
      </c>
    </row>
    <row r="6" spans="1:25" s="109" customFormat="1" ht="17">
      <c r="A6" s="113" t="s">
        <v>636</v>
      </c>
      <c r="B6" s="114">
        <v>22.9</v>
      </c>
      <c r="C6" s="114">
        <v>16.899999999999999</v>
      </c>
      <c r="D6" s="114">
        <v>72.5</v>
      </c>
      <c r="E6" s="114">
        <v>90.8</v>
      </c>
      <c r="F6" s="114">
        <v>75.599999999999994</v>
      </c>
      <c r="G6" s="114">
        <v>115.8</v>
      </c>
      <c r="H6" s="114">
        <v>166.3</v>
      </c>
      <c r="I6" s="114">
        <v>186.9</v>
      </c>
      <c r="J6" s="114">
        <v>145.69999999999999</v>
      </c>
      <c r="K6" s="114">
        <v>162.4</v>
      </c>
      <c r="L6" s="114">
        <v>158.80000000000001</v>
      </c>
      <c r="M6" s="114">
        <v>115.1</v>
      </c>
      <c r="N6" s="114">
        <v>82</v>
      </c>
      <c r="O6" s="114">
        <v>84.9</v>
      </c>
      <c r="P6" s="114">
        <v>61</v>
      </c>
      <c r="Q6" s="114">
        <v>56.9</v>
      </c>
      <c r="R6" s="114">
        <v>79</v>
      </c>
      <c r="S6" s="114">
        <f>88-S7</f>
        <v>77</v>
      </c>
      <c r="T6" s="114">
        <f>69-T7</f>
        <v>61</v>
      </c>
    </row>
    <row r="7" spans="1:25" s="109" customFormat="1" ht="17">
      <c r="A7" s="113" t="s">
        <v>644</v>
      </c>
      <c r="B7" s="114">
        <v>5.8</v>
      </c>
      <c r="C7" s="113">
        <v>0</v>
      </c>
      <c r="D7" s="113">
        <v>0</v>
      </c>
      <c r="E7" s="114">
        <v>0.3</v>
      </c>
      <c r="F7" s="114">
        <v>3.2</v>
      </c>
      <c r="G7" s="114">
        <v>8.1999999999999993</v>
      </c>
      <c r="H7" s="114">
        <v>3.1</v>
      </c>
      <c r="I7" s="113">
        <v>0</v>
      </c>
      <c r="J7" s="114">
        <v>7.4</v>
      </c>
      <c r="K7" s="114">
        <v>0.7</v>
      </c>
      <c r="L7" s="113">
        <v>0</v>
      </c>
      <c r="M7" s="113">
        <v>0</v>
      </c>
      <c r="N7" s="114">
        <v>0.1</v>
      </c>
      <c r="O7" s="114">
        <v>0.2</v>
      </c>
      <c r="P7" s="114">
        <v>2</v>
      </c>
      <c r="Q7" s="113">
        <v>2</v>
      </c>
      <c r="R7" s="113">
        <v>4</v>
      </c>
      <c r="S7" s="113">
        <f>5+6</f>
        <v>11</v>
      </c>
      <c r="T7" s="113">
        <v>8</v>
      </c>
    </row>
    <row r="8" spans="1:25" s="117" customFormat="1" ht="17">
      <c r="A8" s="115" t="s">
        <v>9</v>
      </c>
      <c r="B8" s="116">
        <f>SUM(B5:B7)</f>
        <v>316.09999999999997</v>
      </c>
      <c r="C8" s="116">
        <f t="shared" ref="C8:Q8" si="1">SUM(C5:C7)</f>
        <v>345.09999999999997</v>
      </c>
      <c r="D8" s="116">
        <f t="shared" si="1"/>
        <v>437.4</v>
      </c>
      <c r="E8" s="116">
        <f t="shared" si="1"/>
        <v>467.6</v>
      </c>
      <c r="F8" s="116">
        <f t="shared" si="1"/>
        <v>478.90000000000003</v>
      </c>
      <c r="G8" s="116">
        <f t="shared" si="1"/>
        <v>534.6</v>
      </c>
      <c r="H8" s="116">
        <f t="shared" si="1"/>
        <v>600.9</v>
      </c>
      <c r="I8" s="116">
        <f t="shared" si="1"/>
        <v>665.9</v>
      </c>
      <c r="J8" s="116">
        <f t="shared" si="1"/>
        <v>666.30000000000007</v>
      </c>
      <c r="K8" s="116">
        <f t="shared" si="1"/>
        <v>691</v>
      </c>
      <c r="L8" s="116">
        <f t="shared" si="1"/>
        <v>687</v>
      </c>
      <c r="M8" s="116">
        <f t="shared" si="1"/>
        <v>645.5</v>
      </c>
      <c r="N8" s="116">
        <f t="shared" si="1"/>
        <v>577.6</v>
      </c>
      <c r="O8" s="116">
        <f t="shared" si="1"/>
        <v>581.40000000000009</v>
      </c>
      <c r="P8" s="116">
        <f t="shared" si="1"/>
        <v>560.29999999999995</v>
      </c>
      <c r="Q8" s="116">
        <f t="shared" si="1"/>
        <v>580.19999999999993</v>
      </c>
      <c r="R8" s="116">
        <v>606</v>
      </c>
      <c r="S8" s="116">
        <v>612</v>
      </c>
      <c r="T8" s="116">
        <v>686</v>
      </c>
    </row>
    <row r="9" spans="1:25" ht="17" thickBot="1">
      <c r="J9" s="108"/>
      <c r="K9" s="108"/>
      <c r="L9" s="108"/>
      <c r="M9" s="108"/>
      <c r="N9" s="108"/>
      <c r="O9" s="108"/>
      <c r="P9" s="108"/>
    </row>
    <row r="10" spans="1:25" s="110" customFormat="1" ht="17">
      <c r="A10" s="111" t="s">
        <v>759</v>
      </c>
      <c r="B10" s="112">
        <v>2001</v>
      </c>
      <c r="C10" s="112">
        <v>2002</v>
      </c>
      <c r="D10" s="112">
        <v>2003</v>
      </c>
      <c r="E10" s="112">
        <v>2004</v>
      </c>
      <c r="F10" s="112">
        <v>2005</v>
      </c>
      <c r="G10" s="112">
        <v>2006</v>
      </c>
      <c r="H10" s="112">
        <v>2007</v>
      </c>
      <c r="I10" s="112">
        <v>2008</v>
      </c>
      <c r="J10" s="112">
        <v>2009</v>
      </c>
      <c r="K10" s="112">
        <v>2010</v>
      </c>
      <c r="L10" s="112">
        <v>2011</v>
      </c>
      <c r="M10" s="112">
        <v>2012</v>
      </c>
      <c r="N10" s="112">
        <v>2013</v>
      </c>
      <c r="O10" s="112">
        <v>2014</v>
      </c>
      <c r="P10" s="112">
        <v>2015</v>
      </c>
      <c r="Q10" s="112">
        <v>2016</v>
      </c>
      <c r="R10" s="112">
        <v>2017</v>
      </c>
      <c r="S10" s="112">
        <v>2018</v>
      </c>
      <c r="T10" s="112">
        <v>2019</v>
      </c>
      <c r="W10" s="269" t="s">
        <v>9</v>
      </c>
      <c r="X10" s="270" t="s">
        <v>646</v>
      </c>
      <c r="Y10" s="271"/>
    </row>
    <row r="11" spans="1:25" s="109" customFormat="1" ht="17">
      <c r="A11" s="113" t="s">
        <v>643</v>
      </c>
      <c r="B11" s="114">
        <f>B5/B$1</f>
        <v>404.60039186866521</v>
      </c>
      <c r="C11" s="114">
        <f t="shared" ref="C11:T13" si="2">C5/C$1</f>
        <v>454.71530326557365</v>
      </c>
      <c r="D11" s="114">
        <f t="shared" si="2"/>
        <v>496.07006482672318</v>
      </c>
      <c r="E11" s="114">
        <f t="shared" si="2"/>
        <v>499.47837844713547</v>
      </c>
      <c r="F11" s="114">
        <f t="shared" si="2"/>
        <v>514.59303835244793</v>
      </c>
      <c r="G11" s="114">
        <f t="shared" si="2"/>
        <v>511.49029194193554</v>
      </c>
      <c r="H11" s="114">
        <f t="shared" si="2"/>
        <v>523.28768669057683</v>
      </c>
      <c r="I11" s="114">
        <f t="shared" si="2"/>
        <v>569.11691421251567</v>
      </c>
      <c r="J11" s="114">
        <f t="shared" si="2"/>
        <v>602.71710225438619</v>
      </c>
      <c r="K11" s="114">
        <f t="shared" si="2"/>
        <v>614.59227817674423</v>
      </c>
      <c r="L11" s="114">
        <f t="shared" si="2"/>
        <v>602.70138026607538</v>
      </c>
      <c r="M11" s="114">
        <f t="shared" si="2"/>
        <v>594.31123975781657</v>
      </c>
      <c r="N11" s="114">
        <f t="shared" si="2"/>
        <v>545.98229365250802</v>
      </c>
      <c r="O11" s="114">
        <f t="shared" si="2"/>
        <v>537.10483656965766</v>
      </c>
      <c r="P11" s="114">
        <f t="shared" si="2"/>
        <v>531.77516103896107</v>
      </c>
      <c r="Q11" s="114">
        <f t="shared" si="2"/>
        <v>551.04462588374133</v>
      </c>
      <c r="R11" s="114">
        <f t="shared" si="2"/>
        <v>543.52323778523271</v>
      </c>
      <c r="S11" s="114">
        <f t="shared" si="2"/>
        <v>534.3038639007309</v>
      </c>
      <c r="T11" s="114">
        <f t="shared" si="2"/>
        <v>617</v>
      </c>
      <c r="W11" s="272">
        <f>SUM(B11:S11)</f>
        <v>9631.4080888914286</v>
      </c>
      <c r="X11" s="273">
        <f>W11/$W$14</f>
        <v>0.81858010413779836</v>
      </c>
      <c r="Y11" s="274"/>
    </row>
    <row r="12" spans="1:25" s="109" customFormat="1" ht="17">
      <c r="A12" s="113" t="s">
        <v>636</v>
      </c>
      <c r="B12" s="114">
        <f t="shared" ref="B12:Q13" si="3">B6/B$1</f>
        <v>32.238514174643122</v>
      </c>
      <c r="C12" s="114">
        <f t="shared" si="3"/>
        <v>23.414651508800105</v>
      </c>
      <c r="D12" s="114">
        <f t="shared" si="3"/>
        <v>98.561468073273318</v>
      </c>
      <c r="E12" s="114">
        <f t="shared" si="3"/>
        <v>120.45853057901699</v>
      </c>
      <c r="F12" s="114">
        <f t="shared" si="3"/>
        <v>97.233775804661491</v>
      </c>
      <c r="G12" s="114">
        <f t="shared" si="3"/>
        <v>144.25371604207533</v>
      </c>
      <c r="H12" s="114">
        <f t="shared" si="3"/>
        <v>201.67495317877854</v>
      </c>
      <c r="I12" s="114">
        <f t="shared" si="3"/>
        <v>222.06252873970598</v>
      </c>
      <c r="J12" s="114">
        <f t="shared" si="3"/>
        <v>171.11434489178498</v>
      </c>
      <c r="K12" s="114">
        <f t="shared" si="3"/>
        <v>189.0694941767442</v>
      </c>
      <c r="L12" s="114">
        <f t="shared" si="3"/>
        <v>181.19837028824833</v>
      </c>
      <c r="M12" s="114">
        <f t="shared" si="3"/>
        <v>128.96912461561971</v>
      </c>
      <c r="N12" s="114">
        <f t="shared" si="3"/>
        <v>90.354284721504854</v>
      </c>
      <c r="O12" s="114">
        <f t="shared" si="3"/>
        <v>91.880315584855808</v>
      </c>
      <c r="P12" s="114">
        <f t="shared" si="3"/>
        <v>65.22880519480519</v>
      </c>
      <c r="Q12" s="114">
        <f t="shared" si="3"/>
        <v>60.146631906358884</v>
      </c>
      <c r="R12" s="114">
        <f t="shared" si="2"/>
        <v>82.100068422625981</v>
      </c>
      <c r="S12" s="114">
        <f t="shared" si="2"/>
        <v>78.51411740526008</v>
      </c>
      <c r="T12" s="114">
        <f t="shared" si="2"/>
        <v>61</v>
      </c>
      <c r="W12" s="272">
        <f>SUM(B12:S12)</f>
        <v>2078.4736953087627</v>
      </c>
      <c r="X12" s="273">
        <f>W12/$W$14</f>
        <v>0.17665093185241118</v>
      </c>
      <c r="Y12" s="274"/>
    </row>
    <row r="13" spans="1:25" s="109" customFormat="1" ht="17">
      <c r="A13" s="113" t="s">
        <v>644</v>
      </c>
      <c r="B13" s="114">
        <f t="shared" si="3"/>
        <v>8.1652131970711839</v>
      </c>
      <c r="C13" s="114">
        <f t="shared" si="2"/>
        <v>0</v>
      </c>
      <c r="D13" s="114">
        <f t="shared" si="2"/>
        <v>0</v>
      </c>
      <c r="E13" s="114">
        <f t="shared" si="2"/>
        <v>0.39799073979851429</v>
      </c>
      <c r="F13" s="114">
        <f t="shared" si="2"/>
        <v>4.1157153779750901</v>
      </c>
      <c r="G13" s="114">
        <f t="shared" si="2"/>
        <v>10.214857267228131</v>
      </c>
      <c r="H13" s="114">
        <f t="shared" si="2"/>
        <v>3.7594248638256973</v>
      </c>
      <c r="I13" s="114">
        <f t="shared" si="2"/>
        <v>0</v>
      </c>
      <c r="J13" s="114">
        <f t="shared" si="2"/>
        <v>8.6907766108387712</v>
      </c>
      <c r="K13" s="114">
        <f t="shared" si="2"/>
        <v>0.81495471627906979</v>
      </c>
      <c r="L13" s="114">
        <f t="shared" si="2"/>
        <v>0</v>
      </c>
      <c r="M13" s="114">
        <f t="shared" si="2"/>
        <v>0</v>
      </c>
      <c r="N13" s="114">
        <f t="shared" si="2"/>
        <v>0.11018815209939617</v>
      </c>
      <c r="O13" s="114">
        <f t="shared" si="2"/>
        <v>0.2164436173965979</v>
      </c>
      <c r="P13" s="114">
        <f t="shared" si="2"/>
        <v>2.1386493506493509</v>
      </c>
      <c r="Q13" s="114">
        <f t="shared" si="2"/>
        <v>2.1141171144590118</v>
      </c>
      <c r="R13" s="114">
        <f t="shared" si="2"/>
        <v>4.1569654897532144</v>
      </c>
      <c r="S13" s="114">
        <f t="shared" si="2"/>
        <v>11.216302486465725</v>
      </c>
      <c r="T13" s="114">
        <f t="shared" si="2"/>
        <v>8</v>
      </c>
      <c r="W13" s="272">
        <f>SUM(B13:S13)</f>
        <v>56.111598983839755</v>
      </c>
      <c r="X13" s="273">
        <f>W13/$W$14</f>
        <v>4.7689640097906671E-3</v>
      </c>
      <c r="Y13" s="275">
        <f>SUM(X12:X13)</f>
        <v>0.18141989586220184</v>
      </c>
    </row>
    <row r="14" spans="1:25" s="117" customFormat="1" ht="18" thickBot="1">
      <c r="A14" s="115" t="s">
        <v>9</v>
      </c>
      <c r="B14" s="116">
        <f>SUM(B11:B13)</f>
        <v>445.00411924037951</v>
      </c>
      <c r="C14" s="116">
        <f t="shared" ref="C14:T14" si="4">SUM(C11:C13)</f>
        <v>478.12995477437374</v>
      </c>
      <c r="D14" s="116">
        <f t="shared" si="4"/>
        <v>594.6315328999965</v>
      </c>
      <c r="E14" s="116">
        <f t="shared" si="4"/>
        <v>620.33489976595092</v>
      </c>
      <c r="F14" s="116">
        <f t="shared" si="4"/>
        <v>615.94252953508453</v>
      </c>
      <c r="G14" s="116">
        <f t="shared" si="4"/>
        <v>665.95886525123899</v>
      </c>
      <c r="H14" s="116">
        <f t="shared" si="4"/>
        <v>728.72206473318101</v>
      </c>
      <c r="I14" s="116">
        <f t="shared" si="4"/>
        <v>791.17944295222162</v>
      </c>
      <c r="J14" s="116">
        <f t="shared" si="4"/>
        <v>782.5222237570099</v>
      </c>
      <c r="K14" s="116">
        <f t="shared" si="4"/>
        <v>804.47672706976755</v>
      </c>
      <c r="L14" s="116">
        <f t="shared" si="4"/>
        <v>783.89975055432365</v>
      </c>
      <c r="M14" s="116">
        <f t="shared" si="4"/>
        <v>723.28036437343621</v>
      </c>
      <c r="N14" s="116">
        <f t="shared" si="4"/>
        <v>636.44676652611224</v>
      </c>
      <c r="O14" s="116">
        <f t="shared" si="4"/>
        <v>629.20159577191009</v>
      </c>
      <c r="P14" s="116">
        <f t="shared" si="4"/>
        <v>599.14261558441558</v>
      </c>
      <c r="Q14" s="116">
        <f t="shared" si="4"/>
        <v>613.30537490455913</v>
      </c>
      <c r="R14" s="116">
        <f t="shared" si="4"/>
        <v>629.78027169761197</v>
      </c>
      <c r="S14" s="116">
        <f t="shared" si="4"/>
        <v>624.03428379245668</v>
      </c>
      <c r="T14" s="116">
        <f t="shared" si="4"/>
        <v>686</v>
      </c>
      <c r="W14" s="276">
        <f>SUM(B14:S14)</f>
        <v>11765.993383184028</v>
      </c>
      <c r="X14" s="277">
        <f>SUM(X11:X13)</f>
        <v>1.0000000000000002</v>
      </c>
      <c r="Y14" s="278"/>
    </row>
    <row r="15" spans="1:25" ht="17">
      <c r="A15" s="113" t="s">
        <v>647</v>
      </c>
      <c r="B15" s="119">
        <f>1-B11/B14</f>
        <v>9.0794052515026924E-2</v>
      </c>
      <c r="C15" s="119">
        <f t="shared" ref="C15:T15" si="5">1-C11/C14</f>
        <v>4.8971312662996258E-2</v>
      </c>
      <c r="D15" s="119">
        <f t="shared" si="5"/>
        <v>0.16575217192501146</v>
      </c>
      <c r="E15" s="119">
        <f t="shared" si="5"/>
        <v>0.1948246364414028</v>
      </c>
      <c r="F15" s="119">
        <f t="shared" si="5"/>
        <v>0.16454374608477762</v>
      </c>
      <c r="G15" s="119">
        <f t="shared" si="5"/>
        <v>0.23194912083800967</v>
      </c>
      <c r="H15" s="119">
        <f t="shared" si="5"/>
        <v>0.28191046763188543</v>
      </c>
      <c r="I15" s="119">
        <f t="shared" si="5"/>
        <v>0.28067277368974319</v>
      </c>
      <c r="J15" s="119">
        <f t="shared" si="5"/>
        <v>0.22977637700735398</v>
      </c>
      <c r="K15" s="119">
        <f t="shared" si="5"/>
        <v>0.2360347322720695</v>
      </c>
      <c r="L15" s="119">
        <f t="shared" si="5"/>
        <v>0.2311499272197961</v>
      </c>
      <c r="M15" s="119">
        <f t="shared" si="5"/>
        <v>0.1783113865220759</v>
      </c>
      <c r="N15" s="119">
        <f t="shared" si="5"/>
        <v>0.14213988919667586</v>
      </c>
      <c r="O15" s="119">
        <f t="shared" si="5"/>
        <v>0.14637082903336773</v>
      </c>
      <c r="P15" s="119">
        <f t="shared" si="5"/>
        <v>0.11243976441192216</v>
      </c>
      <c r="Q15" s="119">
        <f t="shared" si="5"/>
        <v>0.10151671837297471</v>
      </c>
      <c r="R15" s="119">
        <f t="shared" si="5"/>
        <v>0.13696369636963701</v>
      </c>
      <c r="S15" s="119">
        <f t="shared" si="5"/>
        <v>0.14379084967320255</v>
      </c>
      <c r="T15" s="119">
        <f t="shared" si="5"/>
        <v>0.1005830903790087</v>
      </c>
    </row>
    <row r="17" spans="1:20" ht="17">
      <c r="A17" s="113" t="s">
        <v>648</v>
      </c>
      <c r="B17" s="120">
        <f>OCO_CBO_TOA!G44</f>
        <v>21.830682939134977</v>
      </c>
      <c r="C17" s="120">
        <f>OCO_CBO_TOA!H44</f>
        <v>42.514911017694679</v>
      </c>
      <c r="D17" s="120">
        <f>OCO_CBO_TOA!I44</f>
        <v>106.82159883207619</v>
      </c>
      <c r="E17" s="120">
        <f>OCO_CBO_TOA!J44</f>
        <v>91.818125946173808</v>
      </c>
      <c r="F17" s="120">
        <f>OCO_CBO_TOA!K44</f>
        <v>130.48071369361944</v>
      </c>
      <c r="G17" s="120">
        <f>OCO_CBO_TOA!L44</f>
        <v>154.12475616226018</v>
      </c>
      <c r="H17" s="120">
        <f>OCO_CBO_TOA!M44</f>
        <v>205.03418120226149</v>
      </c>
      <c r="I17" s="120">
        <f>OCO_CBO_TOA!N44</f>
        <v>221.92114061279301</v>
      </c>
      <c r="J17" s="120">
        <f>OCO_CBO_TOA!O44</f>
        <v>179.84622652713446</v>
      </c>
      <c r="K17" s="120">
        <f>OCO_CBO_TOA!P44</f>
        <v>186.69448328930233</v>
      </c>
      <c r="L17" s="120">
        <f>OCO_CBO_TOA!Q44</f>
        <v>181.32046238913523</v>
      </c>
      <c r="M17" s="120">
        <f>OCO_CBO_TOA!R44</f>
        <v>128.95007617844797</v>
      </c>
      <c r="N17" s="120">
        <f>OCO_CBO_TOA!S44</f>
        <v>90.665015310425161</v>
      </c>
      <c r="O17" s="120">
        <f>OCO_CBO_TOA!T44</f>
        <v>92.196323266254836</v>
      </c>
      <c r="P17" s="120">
        <f>OCO_CBO_TOA!U44</f>
        <v>68.797141636363648</v>
      </c>
      <c r="Q17" s="120">
        <f>OCO_CBO_TOA!V44</f>
        <v>61.985913795938224</v>
      </c>
      <c r="R17" s="120">
        <f>OCO_CBO_TOA!W44</f>
        <v>85.727020812435669</v>
      </c>
      <c r="S17" s="120">
        <f>OCO_CBO_TOA!X44</f>
        <v>89.850740227489709</v>
      </c>
      <c r="T17" s="120">
        <f>OCO_CBO_TOA!Y44</f>
        <v>69.000000000000014</v>
      </c>
    </row>
    <row r="18" spans="1:20" ht="17">
      <c r="A18" s="113" t="s">
        <v>650</v>
      </c>
      <c r="B18" s="121">
        <f>B17-B12-B13</f>
        <v>-18.57304443257933</v>
      </c>
      <c r="C18" s="122">
        <f t="shared" ref="C18:T18" si="6">C17-C12-C13</f>
        <v>19.100259508894574</v>
      </c>
      <c r="D18" s="120">
        <f t="shared" si="6"/>
        <v>8.2601307588028732</v>
      </c>
      <c r="E18" s="121">
        <f t="shared" si="6"/>
        <v>-29.038395372641702</v>
      </c>
      <c r="F18" s="122">
        <f t="shared" si="6"/>
        <v>29.131222510982855</v>
      </c>
      <c r="G18" s="120">
        <f t="shared" si="6"/>
        <v>-0.34381714704327315</v>
      </c>
      <c r="H18" s="120">
        <f t="shared" si="6"/>
        <v>-0.40019684034274139</v>
      </c>
      <c r="I18" s="120">
        <f t="shared" si="6"/>
        <v>-0.14138812691297176</v>
      </c>
      <c r="J18" s="120">
        <f t="shared" si="6"/>
        <v>4.1105024510709853E-2</v>
      </c>
      <c r="K18" s="120">
        <f t="shared" si="6"/>
        <v>-3.1899656037209443</v>
      </c>
      <c r="L18" s="120">
        <f t="shared" si="6"/>
        <v>0.1220921008869027</v>
      </c>
      <c r="M18" s="120">
        <f t="shared" si="6"/>
        <v>-1.9048437171733212E-2</v>
      </c>
      <c r="N18" s="120">
        <f t="shared" si="6"/>
        <v>0.20054243682091141</v>
      </c>
      <c r="O18" s="120">
        <f t="shared" si="6"/>
        <v>9.9564064002430785E-2</v>
      </c>
      <c r="P18" s="120">
        <f t="shared" si="6"/>
        <v>1.4296870909091068</v>
      </c>
      <c r="Q18" s="120">
        <f t="shared" si="6"/>
        <v>-0.27483522487967216</v>
      </c>
      <c r="R18" s="120">
        <f t="shared" si="6"/>
        <v>-0.53001309994352663</v>
      </c>
      <c r="S18" s="120">
        <f t="shared" si="6"/>
        <v>0.12032033576390333</v>
      </c>
      <c r="T18" s="120">
        <f t="shared" si="6"/>
        <v>1.4210854715202004E-14</v>
      </c>
    </row>
    <row r="19" spans="1:20">
      <c r="A19" s="107" t="s">
        <v>649</v>
      </c>
      <c r="B19" s="119">
        <f>'GB_Tab2-1'!C41/1000/B1-DoD_Overview_PB19!B12-DoD_Overview_PB19!B13</f>
        <v>0.10417685803160559</v>
      </c>
      <c r="C19" s="119">
        <f>'GB_Tab2-1'!D41/1000/C1-DoD_Overview_PB19!C12-DoD_Overview_PB19!C13</f>
        <v>-4.1564470133959475E-2</v>
      </c>
      <c r="D19" s="119">
        <f>'GB_Tab2-1'!E41/1000/D1-DoD_Overview_PB19!D12-DoD_Overview_PB19!D13</f>
        <v>4.8940866905354596E-2</v>
      </c>
      <c r="E19" s="119">
        <f>'GB_Tab2-1'!F41/1000/E1-DoD_Overview_PB19!E12-DoD_Overview_PB19!E13</f>
        <v>-1.4592993792602593E-2</v>
      </c>
      <c r="F19" s="119">
        <f>'GB_Tab2-1'!G41/1000/F1-DoD_Overview_PB19!F12-DoD_Overview_PB19!F13</f>
        <v>5.4018764335924452E-2</v>
      </c>
      <c r="G19" s="119">
        <f>'GB_Tab2-1'!H41/1000/G1-DoD_Overview_PB19!G12-DoD_Overview_PB19!G13</f>
        <v>-0.10464000127402606</v>
      </c>
      <c r="H19" s="119">
        <f>'GB_Tab2-1'!I41/1000/H1-DoD_Overview_PB19!H12-DoD_Overview_PB19!H13</f>
        <v>1.0914459282051148E-2</v>
      </c>
      <c r="I19" s="119">
        <f>'GB_Tab2-1'!J41/1000/I1-DoD_Overview_PB19!I12-DoD_Overview_PB19!I13</f>
        <v>9.5050841622139615E-3</v>
      </c>
      <c r="J19" s="119">
        <f>'GB_Tab2-1'!K41/1000/J1-DoD_Overview_PB19!J12-DoD_Overview_PB19!J13</f>
        <v>2.8186302521628903E-2</v>
      </c>
      <c r="K19" s="119">
        <f>'GB_Tab2-1'!L41/1000/K1-DoD_Overview_PB19!K12-DoD_Overview_PB19!K13</f>
        <v>-6.4032156279077546E-2</v>
      </c>
      <c r="L19" s="119">
        <f>'GB_Tab2-1'!M41/1000/L1-DoD_Overview_PB19!L12-DoD_Overview_PB19!L13</f>
        <v>-1.369257206206953E-2</v>
      </c>
      <c r="M19" s="119">
        <f>'GB_Tab2-1'!N41/1000/M1-DoD_Overview_PB19!M12-DoD_Overview_PB19!M13</f>
        <v>-1.9048437171733212E-2</v>
      </c>
      <c r="N19" s="119">
        <f>'GB_Tab2-1'!O41/1000/N1-DoD_Overview_PB19!N12-DoD_Overview_PB19!N13</f>
        <v>-1.5426341293916429E-2</v>
      </c>
      <c r="O19" s="119">
        <f>'GB_Tab2-1'!P41/1000/O1-DoD_Overview_PB19!O12-DoD_Overview_PB19!O13</f>
        <v>5.8439776697065571E-2</v>
      </c>
      <c r="P19" s="119">
        <f>'GB_Tab2-1'!Q41/1000/P1-DoD_Overview_PB19!P12-DoD_Overview_PB19!P13</f>
        <v>0.10158584415584349</v>
      </c>
      <c r="Q19" s="119">
        <f>'GB_Tab2-1'!R41/1000/Q1-DoD_Overview_PB19!Q12-DoD_Overview_PB19!Q13</f>
        <v>4.4396459403637234E-2</v>
      </c>
      <c r="R19" s="119">
        <f>'GB_Tab2-1'!S41/1000/R1-DoD_Overview_PB19!R12-DoD_Overview_PB19!R13</f>
        <v>-0.53001309994354084</v>
      </c>
    </row>
    <row r="20" spans="1:20">
      <c r="A20" s="113"/>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92"/>
  <sheetViews>
    <sheetView workbookViewId="0">
      <selection activeCell="D10" sqref="D10"/>
    </sheetView>
  </sheetViews>
  <sheetFormatPr baseColWidth="10" defaultRowHeight="16"/>
  <cols>
    <col min="1" max="1" width="40.33203125" style="107" bestFit="1" customWidth="1"/>
    <col min="2" max="2" width="21.1640625" style="109" bestFit="1" customWidth="1"/>
    <col min="3" max="3" width="15" style="109" bestFit="1" customWidth="1"/>
    <col min="4" max="4" width="22.83203125" style="109" bestFit="1" customWidth="1"/>
    <col min="5" max="5" width="15" style="109" bestFit="1" customWidth="1"/>
    <col min="6" max="6" width="16" style="109" bestFit="1" customWidth="1"/>
    <col min="7" max="10" width="6.5" style="109" bestFit="1" customWidth="1"/>
    <col min="11" max="11" width="8.33203125" style="109" bestFit="1" customWidth="1"/>
    <col min="12" max="16384" width="10.83203125" style="107"/>
  </cols>
  <sheetData>
    <row r="1" spans="1:11" s="171" customFormat="1" ht="21">
      <c r="A1" s="171" t="s">
        <v>672</v>
      </c>
      <c r="B1" s="172"/>
      <c r="C1" s="172"/>
      <c r="D1" s="172"/>
      <c r="E1" s="172"/>
      <c r="F1" s="172"/>
      <c r="G1" s="172"/>
      <c r="H1" s="172"/>
      <c r="I1" s="172"/>
      <c r="J1" s="172"/>
      <c r="K1" s="172"/>
    </row>
    <row r="2" spans="1:11">
      <c r="A2" s="107" t="s">
        <v>681</v>
      </c>
    </row>
    <row r="3" spans="1:11" s="171" customFormat="1" ht="22">
      <c r="A3" s="166" t="s">
        <v>675</v>
      </c>
      <c r="B3" s="167">
        <v>1990</v>
      </c>
      <c r="C3" s="167">
        <v>1991</v>
      </c>
      <c r="D3" s="167">
        <v>1992</v>
      </c>
      <c r="E3" s="168"/>
      <c r="F3" s="169"/>
      <c r="G3" s="169"/>
      <c r="H3" s="169"/>
      <c r="I3" s="169"/>
      <c r="J3" s="169"/>
      <c r="K3" s="170" t="s">
        <v>670</v>
      </c>
    </row>
    <row r="4" spans="1:11" ht="17">
      <c r="A4" s="160" t="s">
        <v>2</v>
      </c>
      <c r="B4" s="161">
        <v>281</v>
      </c>
      <c r="C4" s="161">
        <v>5824</v>
      </c>
      <c r="D4" s="161">
        <v>2409</v>
      </c>
      <c r="E4" s="162"/>
      <c r="F4" s="162"/>
      <c r="G4" s="162"/>
      <c r="H4" s="162"/>
      <c r="I4" s="162"/>
      <c r="J4" s="162"/>
      <c r="K4" s="163">
        <f>SUM(B4:D4)</f>
        <v>8514</v>
      </c>
    </row>
    <row r="5" spans="1:11" ht="34">
      <c r="A5" s="108" t="s">
        <v>676</v>
      </c>
      <c r="B5" s="161">
        <v>1328</v>
      </c>
      <c r="C5" s="161">
        <v>24366</v>
      </c>
      <c r="D5" s="161">
        <v>8132</v>
      </c>
      <c r="E5" s="162"/>
      <c r="F5" s="162"/>
      <c r="G5" s="162"/>
      <c r="H5" s="162"/>
      <c r="I5" s="162"/>
      <c r="J5" s="162"/>
      <c r="K5" s="163">
        <f t="shared" ref="K5:K11" si="0">SUM(B5:D5)</f>
        <v>33826</v>
      </c>
    </row>
    <row r="6" spans="1:11" ht="17">
      <c r="A6" s="160" t="s">
        <v>4</v>
      </c>
      <c r="B6" s="161">
        <v>10</v>
      </c>
      <c r="C6" s="161">
        <v>5278</v>
      </c>
      <c r="D6" s="161">
        <v>1950</v>
      </c>
      <c r="E6" s="162"/>
      <c r="F6" s="162"/>
      <c r="G6" s="162"/>
      <c r="H6" s="162"/>
      <c r="I6" s="162"/>
      <c r="J6" s="162"/>
      <c r="K6" s="163">
        <f t="shared" si="0"/>
        <v>7238</v>
      </c>
    </row>
    <row r="7" spans="1:11" ht="17">
      <c r="A7" s="160" t="s">
        <v>5</v>
      </c>
      <c r="B7" s="161">
        <v>9</v>
      </c>
      <c r="C7" s="161">
        <v>69</v>
      </c>
      <c r="D7" s="161">
        <v>106</v>
      </c>
      <c r="E7" s="162"/>
      <c r="F7" s="162"/>
      <c r="G7" s="162"/>
      <c r="H7" s="162"/>
      <c r="I7" s="162"/>
      <c r="J7" s="162"/>
      <c r="K7" s="163">
        <f t="shared" si="0"/>
        <v>184</v>
      </c>
    </row>
    <row r="8" spans="1:11" ht="17">
      <c r="A8" s="160" t="s">
        <v>671</v>
      </c>
      <c r="B8" s="162"/>
      <c r="C8" s="162">
        <v>35</v>
      </c>
      <c r="D8" s="162">
        <v>0</v>
      </c>
      <c r="E8" s="162"/>
      <c r="F8" s="162"/>
      <c r="G8" s="162"/>
      <c r="H8" s="162"/>
      <c r="I8" s="162"/>
      <c r="J8" s="162"/>
      <c r="K8" s="163">
        <f t="shared" si="0"/>
        <v>35</v>
      </c>
    </row>
    <row r="9" spans="1:11" ht="17">
      <c r="A9" s="160" t="s">
        <v>303</v>
      </c>
      <c r="B9" s="162">
        <v>400</v>
      </c>
      <c r="C9" s="162">
        <v>271</v>
      </c>
      <c r="D9" s="162">
        <v>0</v>
      </c>
      <c r="E9" s="162"/>
      <c r="F9" s="162"/>
      <c r="G9" s="163"/>
      <c r="H9" s="162"/>
      <c r="I9" s="162"/>
      <c r="J9" s="162"/>
      <c r="K9" s="163">
        <f t="shared" si="0"/>
        <v>671</v>
      </c>
    </row>
    <row r="10" spans="1:11" ht="17">
      <c r="A10" s="160" t="s">
        <v>677</v>
      </c>
      <c r="B10" s="162" t="s">
        <v>590</v>
      </c>
      <c r="C10" s="161">
        <v>-43154</v>
      </c>
      <c r="D10" s="161">
        <v>-5240</v>
      </c>
      <c r="E10" s="162"/>
      <c r="F10" s="162"/>
      <c r="G10" s="162"/>
      <c r="H10" s="162"/>
      <c r="I10" s="162"/>
      <c r="J10" s="162"/>
      <c r="K10" s="163">
        <f t="shared" si="0"/>
        <v>-48394</v>
      </c>
    </row>
    <row r="11" spans="1:11" ht="17">
      <c r="A11" s="160" t="s">
        <v>678</v>
      </c>
      <c r="B11" s="161">
        <f>SUM(B4:B10)</f>
        <v>2028</v>
      </c>
      <c r="C11" s="161">
        <f t="shared" ref="C11:D11" si="1">SUM(C4:C10)</f>
        <v>-7311</v>
      </c>
      <c r="D11" s="161">
        <f t="shared" si="1"/>
        <v>7357</v>
      </c>
      <c r="E11" s="162"/>
      <c r="F11" s="162"/>
      <c r="G11" s="162"/>
      <c r="H11" s="162"/>
      <c r="I11" s="162"/>
      <c r="J11" s="162"/>
      <c r="K11" s="163">
        <f t="shared" si="0"/>
        <v>2074</v>
      </c>
    </row>
    <row r="12" spans="1:11">
      <c r="A12" s="160"/>
      <c r="B12" s="161"/>
      <c r="C12" s="161"/>
      <c r="D12" s="161"/>
      <c r="E12" s="162"/>
      <c r="F12" s="162"/>
      <c r="G12" s="162"/>
      <c r="H12" s="162"/>
      <c r="I12" s="162"/>
      <c r="J12" s="162"/>
      <c r="K12" s="161"/>
    </row>
    <row r="13" spans="1:11" s="171" customFormat="1" ht="22">
      <c r="A13" s="166" t="s">
        <v>679</v>
      </c>
      <c r="B13" s="167">
        <v>1990</v>
      </c>
      <c r="C13" s="167">
        <v>1991</v>
      </c>
      <c r="D13" s="167">
        <v>1992</v>
      </c>
      <c r="E13" s="168">
        <v>1993</v>
      </c>
      <c r="F13" s="169">
        <v>1994</v>
      </c>
      <c r="G13" s="169">
        <v>1995</v>
      </c>
      <c r="H13" s="169">
        <v>1996</v>
      </c>
      <c r="I13" s="169">
        <v>1997</v>
      </c>
      <c r="J13" s="169">
        <v>1998</v>
      </c>
      <c r="K13" s="170" t="s">
        <v>670</v>
      </c>
    </row>
    <row r="14" spans="1:11" ht="17">
      <c r="A14" s="160" t="s">
        <v>2</v>
      </c>
      <c r="B14" s="161">
        <v>267</v>
      </c>
      <c r="C14" s="161">
        <v>5382</v>
      </c>
      <c r="D14" s="161">
        <v>2734</v>
      </c>
      <c r="E14" s="161">
        <v>114</v>
      </c>
      <c r="F14" s="162"/>
      <c r="G14" s="162"/>
      <c r="H14" s="162"/>
      <c r="I14" s="162"/>
      <c r="J14" s="162"/>
      <c r="K14" s="163">
        <f>SUM(B14:J14)</f>
        <v>8497</v>
      </c>
    </row>
    <row r="15" spans="1:11" ht="34">
      <c r="A15" s="108" t="s">
        <v>676</v>
      </c>
      <c r="B15" s="161">
        <v>1033</v>
      </c>
      <c r="C15" s="161">
        <v>16212</v>
      </c>
      <c r="D15" s="161">
        <v>11152</v>
      </c>
      <c r="E15" s="161">
        <v>3974</v>
      </c>
      <c r="F15" s="161">
        <v>1142</v>
      </c>
      <c r="G15" s="161">
        <v>147</v>
      </c>
      <c r="H15" s="161">
        <v>51</v>
      </c>
      <c r="I15" s="161">
        <v>21</v>
      </c>
      <c r="J15" s="161">
        <v>4</v>
      </c>
      <c r="K15" s="163">
        <f t="shared" ref="K15:K21" si="2">SUM(B15:J15)</f>
        <v>33736</v>
      </c>
    </row>
    <row r="16" spans="1:11" ht="17">
      <c r="A16" s="160" t="s">
        <v>4</v>
      </c>
      <c r="B16" s="161">
        <v>1</v>
      </c>
      <c r="C16" s="161">
        <v>-152</v>
      </c>
      <c r="D16" s="161">
        <v>2154</v>
      </c>
      <c r="E16" s="161">
        <v>2619</v>
      </c>
      <c r="F16" s="161">
        <v>1369</v>
      </c>
      <c r="G16" s="161">
        <v>729</v>
      </c>
      <c r="H16" s="161">
        <v>378</v>
      </c>
      <c r="I16" s="161">
        <v>44</v>
      </c>
      <c r="J16" s="161">
        <v>17</v>
      </c>
      <c r="K16" s="163">
        <f t="shared" si="2"/>
        <v>7159</v>
      </c>
    </row>
    <row r="17" spans="1:11" ht="17">
      <c r="A17" s="160" t="s">
        <v>5</v>
      </c>
      <c r="B17" s="161">
        <v>5</v>
      </c>
      <c r="C17" s="161">
        <v>40</v>
      </c>
      <c r="D17" s="161">
        <v>76</v>
      </c>
      <c r="E17" s="161">
        <v>45</v>
      </c>
      <c r="F17" s="161">
        <v>11</v>
      </c>
      <c r="G17" s="161">
        <v>41</v>
      </c>
      <c r="H17" s="162"/>
      <c r="I17" s="162"/>
      <c r="J17" s="162"/>
      <c r="K17" s="163">
        <f t="shared" si="2"/>
        <v>218</v>
      </c>
    </row>
    <row r="18" spans="1:11" ht="17">
      <c r="A18" s="160" t="s">
        <v>6</v>
      </c>
      <c r="B18" s="162"/>
      <c r="C18" s="161">
        <v>10</v>
      </c>
      <c r="D18" s="161">
        <v>13</v>
      </c>
      <c r="E18" s="161">
        <v>7</v>
      </c>
      <c r="F18" s="161">
        <v>2</v>
      </c>
      <c r="G18" s="161">
        <v>21</v>
      </c>
      <c r="H18" s="162"/>
      <c r="I18" s="162"/>
      <c r="J18" s="162"/>
      <c r="K18" s="163">
        <f t="shared" si="2"/>
        <v>53</v>
      </c>
    </row>
    <row r="19" spans="1:11" ht="17">
      <c r="A19" s="160" t="s">
        <v>303</v>
      </c>
      <c r="B19" s="161">
        <v>156</v>
      </c>
      <c r="C19" s="161">
        <v>-1778</v>
      </c>
      <c r="D19" s="161">
        <v>1348</v>
      </c>
      <c r="E19" s="161">
        <v>429</v>
      </c>
      <c r="F19" s="161">
        <v>259</v>
      </c>
      <c r="G19" s="161">
        <v>166</v>
      </c>
      <c r="H19" s="161">
        <v>79</v>
      </c>
      <c r="I19" s="161">
        <v>11</v>
      </c>
      <c r="J19" s="162"/>
      <c r="K19" s="163">
        <f t="shared" si="2"/>
        <v>670</v>
      </c>
    </row>
    <row r="20" spans="1:11" ht="17">
      <c r="A20" s="160" t="s">
        <v>677</v>
      </c>
      <c r="B20" s="162"/>
      <c r="C20" s="161">
        <v>-43154</v>
      </c>
      <c r="D20" s="161">
        <v>-5240</v>
      </c>
      <c r="E20" s="162"/>
      <c r="F20" s="162"/>
      <c r="G20" s="162"/>
      <c r="H20" s="162"/>
      <c r="I20" s="162"/>
      <c r="J20" s="162"/>
      <c r="K20" s="163">
        <f t="shared" si="2"/>
        <v>-48394</v>
      </c>
    </row>
    <row r="21" spans="1:11" ht="17">
      <c r="A21" s="160" t="s">
        <v>680</v>
      </c>
      <c r="B21" s="161">
        <f>SUM(B14:B20)</f>
        <v>1462</v>
      </c>
      <c r="C21" s="161">
        <f t="shared" ref="C21" si="3">SUM(C14:C20)</f>
        <v>-23440</v>
      </c>
      <c r="D21" s="161">
        <f t="shared" ref="D21:E21" si="4">SUM(D14:D20)</f>
        <v>12237</v>
      </c>
      <c r="E21" s="161">
        <f t="shared" si="4"/>
        <v>7188</v>
      </c>
      <c r="F21" s="161">
        <f t="shared" ref="F21" si="5">SUM(F14:F20)</f>
        <v>2783</v>
      </c>
      <c r="G21" s="161">
        <f t="shared" ref="G21:H21" si="6">SUM(G14:G20)</f>
        <v>1104</v>
      </c>
      <c r="H21" s="161">
        <f t="shared" si="6"/>
        <v>508</v>
      </c>
      <c r="I21" s="161">
        <f t="shared" ref="I21" si="7">SUM(I14:I20)</f>
        <v>76</v>
      </c>
      <c r="J21" s="161">
        <f t="shared" ref="J21" si="8">SUM(J14:J20)</f>
        <v>21</v>
      </c>
      <c r="K21" s="163">
        <f t="shared" si="2"/>
        <v>1939</v>
      </c>
    </row>
    <row r="22" spans="1:11">
      <c r="A22" s="164"/>
      <c r="B22" s="165"/>
      <c r="C22" s="165"/>
      <c r="D22" s="165"/>
      <c r="E22" s="165"/>
      <c r="F22" s="165"/>
      <c r="G22" s="165"/>
      <c r="H22" s="165"/>
      <c r="I22" s="165"/>
      <c r="J22" s="165"/>
      <c r="K22" s="165"/>
    </row>
    <row r="23" spans="1:11">
      <c r="A23" s="164"/>
      <c r="B23" s="165"/>
      <c r="C23" s="165"/>
      <c r="D23" s="165"/>
      <c r="E23" s="165"/>
      <c r="F23" s="165"/>
      <c r="G23" s="165"/>
      <c r="H23" s="165"/>
      <c r="I23" s="165"/>
      <c r="J23" s="165"/>
      <c r="K23" s="165"/>
    </row>
    <row r="31" spans="1:11" s="93" customFormat="1" ht="21">
      <c r="A31" s="93" t="s">
        <v>627</v>
      </c>
      <c r="B31" s="93" t="s">
        <v>628</v>
      </c>
      <c r="D31" s="100" t="s">
        <v>635</v>
      </c>
    </row>
    <row r="32" spans="1:11" customFormat="1">
      <c r="A32" t="s">
        <v>600</v>
      </c>
      <c r="B32" s="94">
        <v>4863700000</v>
      </c>
      <c r="D32" s="2">
        <f>B32/1000/1000/1000</f>
        <v>4.8636999999999997</v>
      </c>
    </row>
    <row r="33" spans="1:4" customFormat="1">
      <c r="A33" t="s">
        <v>601</v>
      </c>
      <c r="B33" s="94">
        <v>797400000</v>
      </c>
      <c r="D33" s="2">
        <f t="shared" ref="D33:D56" si="9">B33/1000/1000/1000</f>
        <v>0.7974</v>
      </c>
    </row>
    <row r="34" spans="1:4" customFormat="1">
      <c r="A34" t="s">
        <v>602</v>
      </c>
      <c r="B34" s="94">
        <v>983400000</v>
      </c>
      <c r="D34" s="2">
        <f t="shared" si="9"/>
        <v>0.98339999999999994</v>
      </c>
    </row>
    <row r="35" spans="1:4" customFormat="1">
      <c r="A35" t="s">
        <v>603</v>
      </c>
      <c r="B35" s="94">
        <v>1278200000</v>
      </c>
      <c r="D35" s="2">
        <f t="shared" si="9"/>
        <v>1.2782</v>
      </c>
    </row>
    <row r="36" spans="1:4" s="7" customFormat="1" ht="19">
      <c r="A36" s="7" t="s">
        <v>589</v>
      </c>
      <c r="D36" s="95">
        <f>SUM(D32:D35)</f>
        <v>7.922699999999999</v>
      </c>
    </row>
    <row r="37" spans="1:4" customFormat="1">
      <c r="A37" t="s">
        <v>604</v>
      </c>
      <c r="B37" s="94">
        <v>15082750000</v>
      </c>
      <c r="D37" s="2">
        <f t="shared" si="9"/>
        <v>15.082750000000001</v>
      </c>
    </row>
    <row r="38" spans="1:4" customFormat="1">
      <c r="A38" t="s">
        <v>605</v>
      </c>
      <c r="B38" s="94">
        <v>2758500000</v>
      </c>
      <c r="D38" s="2">
        <f t="shared" si="9"/>
        <v>2.7585000000000002</v>
      </c>
    </row>
    <row r="39" spans="1:4" customFormat="1">
      <c r="A39" t="s">
        <v>606</v>
      </c>
      <c r="B39" s="94">
        <v>1205000000</v>
      </c>
      <c r="D39" s="2">
        <f t="shared" si="9"/>
        <v>1.2050000000000001</v>
      </c>
    </row>
    <row r="40" spans="1:4" customFormat="1">
      <c r="A40" t="s">
        <v>607</v>
      </c>
      <c r="B40" s="94">
        <v>3701000000</v>
      </c>
      <c r="D40" s="2">
        <f t="shared" si="9"/>
        <v>3.7010000000000001</v>
      </c>
    </row>
    <row r="41" spans="1:4" customFormat="1">
      <c r="A41" t="s">
        <v>608</v>
      </c>
      <c r="B41" s="94">
        <v>203000000</v>
      </c>
      <c r="D41" s="2">
        <f t="shared" si="9"/>
        <v>0.20300000000000001</v>
      </c>
    </row>
    <row r="42" spans="1:4" customFormat="1">
      <c r="A42" t="s">
        <v>609</v>
      </c>
      <c r="B42" s="94">
        <v>16000000</v>
      </c>
      <c r="D42" s="2">
        <f t="shared" si="9"/>
        <v>1.6E-2</v>
      </c>
    </row>
    <row r="43" spans="1:4" customFormat="1">
      <c r="A43" t="s">
        <v>610</v>
      </c>
      <c r="B43" s="94">
        <v>55000000</v>
      </c>
      <c r="D43" s="2">
        <f t="shared" si="9"/>
        <v>5.5E-2</v>
      </c>
    </row>
    <row r="44" spans="1:4" s="7" customFormat="1" ht="19">
      <c r="A44" s="7" t="s">
        <v>3</v>
      </c>
      <c r="D44" s="95">
        <f>SUM(D37:D43)</f>
        <v>23.021249999999998</v>
      </c>
    </row>
    <row r="45" spans="1:4" customFormat="1">
      <c r="A45" t="s">
        <v>611</v>
      </c>
      <c r="B45" s="94">
        <v>71000000</v>
      </c>
      <c r="D45" s="2">
        <f t="shared" si="9"/>
        <v>7.0999999999999994E-2</v>
      </c>
    </row>
    <row r="46" spans="1:4" customFormat="1">
      <c r="A46" t="s">
        <v>612</v>
      </c>
      <c r="B46" s="94">
        <v>663500000</v>
      </c>
      <c r="D46" s="2">
        <f t="shared" si="9"/>
        <v>0.66349999999999998</v>
      </c>
    </row>
    <row r="47" spans="1:4" customFormat="1">
      <c r="A47" t="s">
        <v>613</v>
      </c>
      <c r="B47" s="94">
        <v>26300000</v>
      </c>
      <c r="D47" s="2">
        <f t="shared" si="9"/>
        <v>2.63E-2</v>
      </c>
    </row>
    <row r="48" spans="1:4" customFormat="1">
      <c r="A48" t="s">
        <v>614</v>
      </c>
      <c r="B48" s="94">
        <v>62300000</v>
      </c>
      <c r="D48" s="2">
        <f t="shared" si="9"/>
        <v>6.2299999999999994E-2</v>
      </c>
    </row>
    <row r="49" spans="1:5" customFormat="1">
      <c r="A49" t="s">
        <v>615</v>
      </c>
      <c r="B49" s="94">
        <v>25200000</v>
      </c>
      <c r="D49" s="2">
        <f t="shared" si="9"/>
        <v>2.52E-2</v>
      </c>
    </row>
    <row r="50" spans="1:5" customFormat="1">
      <c r="A50" t="s">
        <v>616</v>
      </c>
      <c r="B50" s="94">
        <v>815600000</v>
      </c>
      <c r="D50" s="2">
        <f t="shared" si="9"/>
        <v>0.81559999999999999</v>
      </c>
    </row>
    <row r="51" spans="1:5" customFormat="1">
      <c r="A51" t="s">
        <v>619</v>
      </c>
      <c r="B51" s="94">
        <v>34800000</v>
      </c>
      <c r="D51" s="2">
        <f t="shared" si="9"/>
        <v>3.4799999999999998E-2</v>
      </c>
    </row>
    <row r="52" spans="1:5" customFormat="1">
      <c r="A52" t="s">
        <v>617</v>
      </c>
      <c r="B52" s="94">
        <v>127450000</v>
      </c>
      <c r="D52" s="2">
        <f t="shared" si="9"/>
        <v>0.12745000000000001</v>
      </c>
    </row>
    <row r="53" spans="1:5" customFormat="1">
      <c r="A53" t="s">
        <v>618</v>
      </c>
      <c r="B53" s="94">
        <v>59600000</v>
      </c>
      <c r="D53" s="2">
        <f t="shared" si="9"/>
        <v>5.96E-2</v>
      </c>
    </row>
    <row r="54" spans="1:5" customFormat="1">
      <c r="A54" t="s">
        <v>620</v>
      </c>
      <c r="B54" s="94">
        <v>645500000</v>
      </c>
      <c r="D54" s="2">
        <f t="shared" si="9"/>
        <v>0.64549999999999996</v>
      </c>
    </row>
    <row r="55" spans="1:5" customFormat="1">
      <c r="A55" t="s">
        <v>621</v>
      </c>
      <c r="B55" s="94">
        <v>422800000</v>
      </c>
      <c r="D55" s="2">
        <f t="shared" si="9"/>
        <v>0.42280000000000001</v>
      </c>
    </row>
    <row r="56" spans="1:5" customFormat="1">
      <c r="A56" t="s">
        <v>622</v>
      </c>
      <c r="B56" s="94">
        <v>15400000</v>
      </c>
      <c r="D56" s="2">
        <f t="shared" si="9"/>
        <v>1.54E-2</v>
      </c>
    </row>
    <row r="57" spans="1:5" s="7" customFormat="1" ht="19">
      <c r="A57" s="7" t="s">
        <v>4</v>
      </c>
      <c r="D57" s="95">
        <f>SUM(D45:D56)</f>
        <v>2.9694500000000001</v>
      </c>
    </row>
    <row r="58" spans="1:5" customFormat="1">
      <c r="A58" t="s">
        <v>623</v>
      </c>
      <c r="B58" s="94">
        <v>30100000</v>
      </c>
      <c r="D58" s="2">
        <f>B58/1000/1000/1000</f>
        <v>3.0100000000000002E-2</v>
      </c>
    </row>
    <row r="59" spans="1:5" customFormat="1">
      <c r="A59" t="s">
        <v>624</v>
      </c>
      <c r="B59" s="94">
        <v>39000000</v>
      </c>
      <c r="D59" s="2">
        <f>B59/1000/1000/1000</f>
        <v>3.9E-2</v>
      </c>
    </row>
    <row r="60" spans="1:5" s="7" customFormat="1" ht="19">
      <c r="A60" s="7" t="s">
        <v>17</v>
      </c>
      <c r="D60" s="95">
        <f>SUM(D58:D59)</f>
        <v>6.9099999999999995E-2</v>
      </c>
    </row>
    <row r="61" spans="1:5" customFormat="1">
      <c r="A61" t="s">
        <v>625</v>
      </c>
      <c r="B61" s="94">
        <v>214000000</v>
      </c>
      <c r="D61" s="2">
        <f>B61/1000/1000/1000</f>
        <v>0.214</v>
      </c>
    </row>
    <row r="62" spans="1:5" customFormat="1">
      <c r="A62" t="s">
        <v>626</v>
      </c>
      <c r="B62" s="94">
        <v>57000000</v>
      </c>
      <c r="D62" s="2">
        <f>B62/1000/1000/1000</f>
        <v>5.7000000000000002E-2</v>
      </c>
    </row>
    <row r="63" spans="1:5" s="7" customFormat="1" ht="19">
      <c r="A63" s="7" t="s">
        <v>591</v>
      </c>
      <c r="D63" s="95">
        <f>SUM(D61:D62)</f>
        <v>0.27100000000000002</v>
      </c>
    </row>
    <row r="64" spans="1:5" s="7" customFormat="1" ht="19">
      <c r="A64" s="7" t="s">
        <v>9</v>
      </c>
      <c r="D64" s="95">
        <f>D63+D60+D57+D44+D36</f>
        <v>34.253500000000003</v>
      </c>
      <c r="E64" s="7">
        <f>D64/0.595</f>
        <v>57.568907563025213</v>
      </c>
    </row>
    <row r="65" spans="1:6" customFormat="1">
      <c r="D65" s="2"/>
    </row>
    <row r="66" spans="1:6" s="18" customFormat="1" ht="19">
      <c r="A66" s="17" t="s">
        <v>335</v>
      </c>
      <c r="B66" s="17"/>
      <c r="C66" s="17"/>
      <c r="D66" s="17"/>
      <c r="E66" s="17"/>
    </row>
    <row r="67" spans="1:6" customFormat="1">
      <c r="B67" t="s">
        <v>306</v>
      </c>
      <c r="C67" t="s">
        <v>3</v>
      </c>
      <c r="D67" s="2" t="s">
        <v>16</v>
      </c>
      <c r="E67" t="s">
        <v>17</v>
      </c>
      <c r="F67" t="s">
        <v>9</v>
      </c>
    </row>
    <row r="68" spans="1:6" customFormat="1">
      <c r="A68" t="s">
        <v>12</v>
      </c>
      <c r="B68" s="15">
        <f>23869226000+2363300000+3379500000</f>
        <v>29612026000</v>
      </c>
      <c r="C68" s="15">
        <f>21515694000+909100000+1980400000+376520000+151100000</f>
        <v>24932814000</v>
      </c>
      <c r="D68" s="15">
        <f>1096182000+2218422000+2172021000+1367549000+2453057000</f>
        <v>9307231000</v>
      </c>
      <c r="E68" s="15">
        <f>5607379000</f>
        <v>5607379000</v>
      </c>
      <c r="F68" s="16">
        <f>SUM(B68:E68)</f>
        <v>69459450000</v>
      </c>
    </row>
    <row r="69" spans="1:6" customFormat="1">
      <c r="A69" t="s">
        <v>13</v>
      </c>
      <c r="B69" s="15">
        <f>19065967000+1645000000</f>
        <v>20710967000</v>
      </c>
      <c r="C69" s="15">
        <f>23161647000+998000000+238700000+26350000</f>
        <v>24424697000</v>
      </c>
      <c r="D69" s="15">
        <f>7810452000+5825171000+10160804000+5627160000</f>
        <v>29423587000</v>
      </c>
      <c r="E69" s="15">
        <v>9037684000</v>
      </c>
      <c r="F69" s="16">
        <f t="shared" ref="F69:F75" si="10">SUM(B69:E69)</f>
        <v>83596935000</v>
      </c>
    </row>
    <row r="70" spans="1:6" customFormat="1">
      <c r="A70" t="s">
        <v>14</v>
      </c>
      <c r="B70" s="15">
        <f>19738372000+686800000+1098400000</f>
        <v>21523572000</v>
      </c>
      <c r="C70" s="15">
        <f>20060735000+1065900000+2247200000+1152110000</f>
        <v>24525945000</v>
      </c>
      <c r="D70" s="15">
        <f>9541455000+5813532000+7503356000</f>
        <v>22858343000</v>
      </c>
      <c r="E70" s="15">
        <v>11961310000</v>
      </c>
      <c r="F70" s="16">
        <f t="shared" si="10"/>
        <v>80869170000</v>
      </c>
    </row>
    <row r="71" spans="1:6" customFormat="1">
      <c r="A71" t="s">
        <v>327</v>
      </c>
      <c r="B71" s="15">
        <f>5897502000+336400000</f>
        <v>6233902000</v>
      </c>
      <c r="C71" s="15">
        <f>1892200000+84800000</f>
        <v>1977000000</v>
      </c>
      <c r="D71" s="15">
        <f>719141000</f>
        <v>719141000</v>
      </c>
      <c r="E71" s="15"/>
      <c r="F71" s="16">
        <f t="shared" si="10"/>
        <v>8930043000</v>
      </c>
    </row>
    <row r="72" spans="1:6" customFormat="1">
      <c r="A72" t="s">
        <v>331</v>
      </c>
      <c r="B72" s="15">
        <v>0</v>
      </c>
      <c r="C72" s="15">
        <f>8448957000+4000000+35420000+99500000</f>
        <v>8587877000</v>
      </c>
      <c r="D72" s="15">
        <v>2354646000</v>
      </c>
      <c r="E72" s="15">
        <v>9115699000</v>
      </c>
      <c r="F72" s="16">
        <f t="shared" si="10"/>
        <v>20058222000</v>
      </c>
    </row>
    <row r="73" spans="1:6" customFormat="1">
      <c r="A73" t="s">
        <v>332</v>
      </c>
      <c r="B73" s="15">
        <v>0</v>
      </c>
      <c r="C73" s="15">
        <f>5000000+5400000+1062527000+15000000+159100000+1084100000+1000000000</f>
        <v>3331127000</v>
      </c>
      <c r="D73" s="15">
        <v>2463700000</v>
      </c>
      <c r="E73" s="15">
        <f>237720000+15000000</f>
        <v>252720000</v>
      </c>
      <c r="F73" s="16">
        <f t="shared" si="10"/>
        <v>6047547000</v>
      </c>
    </row>
    <row r="74" spans="1:6" customFormat="1">
      <c r="A74" t="s">
        <v>333</v>
      </c>
      <c r="B74" s="15"/>
      <c r="C74" s="15"/>
      <c r="D74" s="15"/>
      <c r="E74" s="15"/>
      <c r="F74" s="16">
        <f t="shared" si="10"/>
        <v>0</v>
      </c>
    </row>
    <row r="75" spans="1:6" customFormat="1">
      <c r="A75" t="s">
        <v>334</v>
      </c>
      <c r="B75" s="16">
        <f>SUM(B68:B73)</f>
        <v>78080467000</v>
      </c>
      <c r="C75" s="15">
        <f>SUM(C68:C74)</f>
        <v>87779460000</v>
      </c>
      <c r="D75" s="15">
        <f>SUM(D68:D73)</f>
        <v>67126648000</v>
      </c>
      <c r="E75" s="15">
        <f>SUM(E68:E73)</f>
        <v>35974792000</v>
      </c>
      <c r="F75" s="16">
        <f t="shared" si="10"/>
        <v>268961367000</v>
      </c>
    </row>
    <row r="76" spans="1:6" customFormat="1">
      <c r="C76" s="15"/>
      <c r="D76" s="15"/>
      <c r="E76" s="15"/>
    </row>
    <row r="77" spans="1:6" customFormat="1"/>
    <row r="78" spans="1:6" customFormat="1"/>
    <row r="79" spans="1:6" customFormat="1">
      <c r="B79" s="14">
        <v>1991</v>
      </c>
    </row>
    <row r="80" spans="1:6" customFormat="1">
      <c r="A80" t="s">
        <v>629</v>
      </c>
    </row>
    <row r="81" spans="1:2" customFormat="1">
      <c r="A81" t="s">
        <v>12</v>
      </c>
      <c r="B81">
        <v>15082.75</v>
      </c>
    </row>
    <row r="82" spans="1:2" customFormat="1">
      <c r="A82" t="s">
        <v>14</v>
      </c>
      <c r="B82">
        <v>3701</v>
      </c>
    </row>
    <row r="83" spans="1:2" customFormat="1">
      <c r="A83" t="s">
        <v>327</v>
      </c>
      <c r="B83">
        <v>1205</v>
      </c>
    </row>
    <row r="84" spans="1:2" customFormat="1">
      <c r="A84" t="s">
        <v>328</v>
      </c>
      <c r="B84">
        <v>2758.5</v>
      </c>
    </row>
    <row r="85" spans="1:2" customFormat="1">
      <c r="A85" t="s">
        <v>329</v>
      </c>
      <c r="B85">
        <v>0.20300000000000001</v>
      </c>
    </row>
    <row r="86" spans="1:2" customFormat="1">
      <c r="B86">
        <f>SUM(B81:B85)</f>
        <v>22747.453000000001</v>
      </c>
    </row>
    <row r="87" spans="1:2" customFormat="1"/>
    <row r="88" spans="1:2" customFormat="1">
      <c r="A88" t="s">
        <v>302</v>
      </c>
      <c r="B88" s="11">
        <v>7.9226999999999999</v>
      </c>
    </row>
    <row r="89" spans="1:2" customFormat="1">
      <c r="A89" t="s">
        <v>3</v>
      </c>
      <c r="B89" s="11">
        <v>22.747453</v>
      </c>
    </row>
    <row r="90" spans="1:2" customFormat="1">
      <c r="A90" t="s">
        <v>4</v>
      </c>
      <c r="B90" s="11">
        <v>3.4151500000000001</v>
      </c>
    </row>
    <row r="91" spans="1:2" customFormat="1">
      <c r="A91" t="s">
        <v>5</v>
      </c>
      <c r="B91" s="11">
        <f>69.1/1000</f>
        <v>6.9099999999999995E-2</v>
      </c>
    </row>
    <row r="92" spans="1:2" customFormat="1">
      <c r="B92" s="2">
        <f>SUM(B88:B91)</f>
        <v>34.154402999999995</v>
      </c>
    </row>
  </sheetData>
  <pageMargins left="0.7" right="0.7" top="0.75" bottom="0.75" header="0.3" footer="0.3"/>
  <ignoredErrors>
    <ignoredError sqref="B21:J21 C11" formulaRange="1"/>
  </ignoredErrors>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2"/>
  <sheetViews>
    <sheetView workbookViewId="0">
      <selection activeCell="K5" sqref="K5:U6"/>
    </sheetView>
  </sheetViews>
  <sheetFormatPr baseColWidth="10" defaultRowHeight="16"/>
  <cols>
    <col min="1" max="1" width="32" bestFit="1" customWidth="1"/>
    <col min="2" max="2" width="1.6640625" bestFit="1" customWidth="1"/>
  </cols>
  <sheetData>
    <row r="1" spans="1:21">
      <c r="B1" t="s">
        <v>18</v>
      </c>
      <c r="C1" s="141" t="s">
        <v>660</v>
      </c>
      <c r="D1" s="141"/>
      <c r="E1" s="141"/>
      <c r="F1" s="141"/>
      <c r="G1" s="141"/>
      <c r="H1" s="141"/>
      <c r="I1" s="141"/>
      <c r="J1" s="141"/>
      <c r="K1" s="140" t="s">
        <v>326</v>
      </c>
      <c r="L1" s="140"/>
      <c r="M1" s="140"/>
      <c r="N1" s="140"/>
      <c r="O1" s="140"/>
      <c r="P1" s="140"/>
      <c r="Q1" s="140"/>
      <c r="R1" s="140"/>
      <c r="S1" s="140"/>
      <c r="T1" s="140"/>
      <c r="U1" s="140"/>
    </row>
    <row r="2" spans="1:21" ht="19">
      <c r="A2" s="123" t="s">
        <v>651</v>
      </c>
      <c r="B2" s="123"/>
      <c r="C2" s="132">
        <v>2001</v>
      </c>
      <c r="D2" s="132">
        <v>2002</v>
      </c>
      <c r="E2" s="132">
        <v>2003</v>
      </c>
      <c r="F2" s="132">
        <v>2004</v>
      </c>
      <c r="G2" s="132">
        <v>2005</v>
      </c>
      <c r="H2" s="132">
        <v>2006</v>
      </c>
      <c r="I2" s="132">
        <v>2007</v>
      </c>
      <c r="J2" s="132">
        <v>2008</v>
      </c>
      <c r="K2" s="132">
        <v>2009</v>
      </c>
      <c r="L2" s="132">
        <v>2010</v>
      </c>
      <c r="M2" s="123">
        <v>2011</v>
      </c>
      <c r="N2" s="123">
        <v>2012</v>
      </c>
      <c r="O2" s="123">
        <v>2013</v>
      </c>
      <c r="P2" s="123">
        <v>2014</v>
      </c>
      <c r="Q2" s="123">
        <v>2015</v>
      </c>
      <c r="R2" s="123">
        <v>2016</v>
      </c>
      <c r="S2" s="123">
        <v>2017</v>
      </c>
      <c r="T2" s="123">
        <v>2018</v>
      </c>
      <c r="U2" s="123">
        <v>2019</v>
      </c>
    </row>
    <row r="3" spans="1:21">
      <c r="A3" s="124" t="s">
        <v>581</v>
      </c>
      <c r="B3" s="124"/>
      <c r="C3" s="135">
        <v>0</v>
      </c>
      <c r="D3" s="135">
        <v>5241.666666666667</v>
      </c>
      <c r="E3" s="135">
        <v>10387.5</v>
      </c>
      <c r="F3" s="135">
        <v>15346.153846153846</v>
      </c>
      <c r="G3" s="135">
        <v>18269.166666666668</v>
      </c>
      <c r="H3" s="135">
        <v>20241.666666666668</v>
      </c>
      <c r="I3" s="135">
        <v>23153.833333333332</v>
      </c>
      <c r="J3" s="135">
        <v>30076.666666666668</v>
      </c>
      <c r="K3" s="135">
        <v>44300</v>
      </c>
      <c r="L3" s="135">
        <v>84000</v>
      </c>
      <c r="M3" s="125">
        <v>98345</v>
      </c>
      <c r="N3" s="126">
        <v>89446</v>
      </c>
      <c r="O3" s="126">
        <v>62763</v>
      </c>
      <c r="P3" s="126">
        <v>34813</v>
      </c>
      <c r="Q3" s="126">
        <v>10012</v>
      </c>
      <c r="R3" s="125">
        <v>9737</v>
      </c>
      <c r="S3" s="126">
        <v>8674</v>
      </c>
      <c r="T3" s="126">
        <v>11958</v>
      </c>
      <c r="U3" s="126">
        <v>11958</v>
      </c>
    </row>
    <row r="4" spans="1:21">
      <c r="A4" s="124" t="s">
        <v>582</v>
      </c>
      <c r="B4" s="124"/>
      <c r="C4" s="135"/>
      <c r="D4" s="135">
        <v>0</v>
      </c>
      <c r="E4" s="135">
        <v>67725</v>
      </c>
      <c r="F4" s="135">
        <v>130946.15384615384</v>
      </c>
      <c r="G4" s="135">
        <v>142679.68333333332</v>
      </c>
      <c r="H4" s="135">
        <v>138836.9</v>
      </c>
      <c r="I4" s="135">
        <v>145065.5</v>
      </c>
      <c r="J4" s="135">
        <v>156533.83333333334</v>
      </c>
      <c r="K4" s="135">
        <v>140700</v>
      </c>
      <c r="L4" s="135">
        <v>96000</v>
      </c>
      <c r="M4" s="125">
        <v>46568</v>
      </c>
      <c r="N4" s="126">
        <v>9176</v>
      </c>
      <c r="O4" s="126" t="s">
        <v>652</v>
      </c>
      <c r="P4" s="126" t="s">
        <v>652</v>
      </c>
      <c r="Q4" s="126">
        <v>3180</v>
      </c>
      <c r="R4" s="125">
        <v>3550</v>
      </c>
      <c r="S4" s="126">
        <v>5765</v>
      </c>
      <c r="T4" s="126">
        <v>5765</v>
      </c>
      <c r="U4" s="126">
        <v>5765</v>
      </c>
    </row>
    <row r="5" spans="1:21">
      <c r="A5" s="124" t="s">
        <v>653</v>
      </c>
      <c r="B5" s="124"/>
      <c r="C5" s="135"/>
      <c r="D5" s="135"/>
      <c r="E5" s="135"/>
      <c r="F5" s="135"/>
      <c r="G5" s="135"/>
      <c r="H5" s="135"/>
      <c r="I5" s="135"/>
      <c r="J5" s="135"/>
      <c r="K5" s="135">
        <v>48200</v>
      </c>
      <c r="L5" s="135">
        <v>62500</v>
      </c>
      <c r="M5" s="125">
        <v>70889</v>
      </c>
      <c r="N5" s="126">
        <v>68240</v>
      </c>
      <c r="O5" s="126">
        <v>64417</v>
      </c>
      <c r="P5" s="126">
        <v>59738</v>
      </c>
      <c r="Q5" s="126">
        <v>55958</v>
      </c>
      <c r="R5" s="125">
        <v>55831</v>
      </c>
      <c r="S5" s="126">
        <v>62486</v>
      </c>
      <c r="T5" s="126">
        <v>56310</v>
      </c>
      <c r="U5" s="126">
        <v>59463</v>
      </c>
    </row>
    <row r="6" spans="1:21">
      <c r="A6" s="124" t="s">
        <v>654</v>
      </c>
      <c r="B6" s="124"/>
      <c r="C6" s="133"/>
      <c r="D6" s="133"/>
      <c r="E6" s="134"/>
      <c r="F6" s="134"/>
      <c r="G6" s="134"/>
      <c r="H6" s="134"/>
      <c r="I6" s="134"/>
      <c r="J6" s="134"/>
      <c r="K6" s="135">
        <v>63800</v>
      </c>
      <c r="L6" s="135">
        <v>51000</v>
      </c>
      <c r="M6" s="125">
        <v>48206</v>
      </c>
      <c r="N6" s="126">
        <v>37568</v>
      </c>
      <c r="O6" s="126">
        <v>26139</v>
      </c>
      <c r="P6" s="126">
        <v>20367</v>
      </c>
      <c r="Q6" s="126">
        <v>16020</v>
      </c>
      <c r="R6" s="125">
        <v>15991</v>
      </c>
      <c r="S6" s="126">
        <v>13085</v>
      </c>
      <c r="T6" s="126">
        <v>16611</v>
      </c>
      <c r="U6" s="126">
        <v>16611</v>
      </c>
    </row>
    <row r="7" spans="1:21" ht="19">
      <c r="A7" s="127" t="s">
        <v>655</v>
      </c>
      <c r="B7" s="127"/>
      <c r="C7" s="136"/>
      <c r="D7" s="136"/>
      <c r="E7" s="136"/>
      <c r="F7" s="136"/>
      <c r="G7" s="136"/>
      <c r="H7" s="136"/>
      <c r="I7" s="136"/>
      <c r="J7" s="136"/>
      <c r="K7" s="136">
        <f>K6+K5</f>
        <v>112000</v>
      </c>
      <c r="L7" s="136">
        <f t="shared" ref="L7:T7" si="0">L6+L5</f>
        <v>113500</v>
      </c>
      <c r="M7" s="128">
        <f t="shared" si="0"/>
        <v>119095</v>
      </c>
      <c r="N7" s="128">
        <f t="shared" si="0"/>
        <v>105808</v>
      </c>
      <c r="O7" s="128">
        <f t="shared" si="0"/>
        <v>90556</v>
      </c>
      <c r="P7" s="128">
        <f t="shared" si="0"/>
        <v>80105</v>
      </c>
      <c r="Q7" s="128">
        <f t="shared" si="0"/>
        <v>71978</v>
      </c>
      <c r="R7" s="128">
        <f t="shared" si="0"/>
        <v>71822</v>
      </c>
      <c r="S7" s="128">
        <f t="shared" si="0"/>
        <v>75571</v>
      </c>
      <c r="T7" s="128">
        <f t="shared" si="0"/>
        <v>72921</v>
      </c>
      <c r="U7" s="128">
        <f t="shared" ref="U7" si="1">U6+U5</f>
        <v>76074</v>
      </c>
    </row>
    <row r="8" spans="1:21" ht="19">
      <c r="A8" s="127" t="s">
        <v>665</v>
      </c>
      <c r="B8" s="127"/>
      <c r="C8" s="136">
        <v>0</v>
      </c>
      <c r="D8" s="136">
        <f t="shared" ref="D8:J8" si="2">SUM(D3:D6)</f>
        <v>5241.666666666667</v>
      </c>
      <c r="E8" s="136">
        <f t="shared" si="2"/>
        <v>78112.5</v>
      </c>
      <c r="F8" s="136">
        <f t="shared" si="2"/>
        <v>146292.30769230769</v>
      </c>
      <c r="G8" s="136">
        <f t="shared" si="2"/>
        <v>160948.84999999998</v>
      </c>
      <c r="H8" s="136">
        <f t="shared" si="2"/>
        <v>159078.56666666665</v>
      </c>
      <c r="I8" s="136">
        <f t="shared" si="2"/>
        <v>168219.33333333334</v>
      </c>
      <c r="J8" s="136">
        <f t="shared" si="2"/>
        <v>186610.5</v>
      </c>
      <c r="K8" s="136">
        <f>SUM(K3:K6)</f>
        <v>297000</v>
      </c>
      <c r="L8" s="136">
        <f t="shared" ref="L8:T8" si="3">SUM(L3:L6)</f>
        <v>293500</v>
      </c>
      <c r="M8" s="128">
        <f t="shared" si="3"/>
        <v>264008</v>
      </c>
      <c r="N8" s="128">
        <f t="shared" si="3"/>
        <v>204430</v>
      </c>
      <c r="O8" s="128">
        <f t="shared" si="3"/>
        <v>153319</v>
      </c>
      <c r="P8" s="128">
        <f t="shared" si="3"/>
        <v>114918</v>
      </c>
      <c r="Q8" s="128">
        <f t="shared" si="3"/>
        <v>85170</v>
      </c>
      <c r="R8" s="128">
        <f t="shared" si="3"/>
        <v>85109</v>
      </c>
      <c r="S8" s="128">
        <f t="shared" si="3"/>
        <v>90010</v>
      </c>
      <c r="T8" s="128">
        <f t="shared" si="3"/>
        <v>90644</v>
      </c>
      <c r="U8" s="128">
        <f t="shared" ref="U8" si="4">SUM(U3:U6)</f>
        <v>93797</v>
      </c>
    </row>
    <row r="9" spans="1:21">
      <c r="A9" s="129" t="s">
        <v>656</v>
      </c>
      <c r="B9" s="129"/>
      <c r="C9" s="137">
        <f t="shared" ref="C9:J9" si="5">C8/C12/1000</f>
        <v>0</v>
      </c>
      <c r="D9" s="137">
        <f t="shared" si="5"/>
        <v>2.2883528298083969E-3</v>
      </c>
      <c r="E9" s="137">
        <f t="shared" si="5"/>
        <v>3.3822900284742378E-2</v>
      </c>
      <c r="F9" s="137">
        <f t="shared" si="5"/>
        <v>6.4490298258982365E-2</v>
      </c>
      <c r="G9" s="137">
        <f t="shared" si="5"/>
        <v>7.2809644508159299E-2</v>
      </c>
      <c r="H9" s="137">
        <f t="shared" si="5"/>
        <v>7.1656624678905628E-2</v>
      </c>
      <c r="I9" s="137">
        <f t="shared" si="5"/>
        <v>7.73129321734356E-2</v>
      </c>
      <c r="J9" s="137">
        <f t="shared" si="5"/>
        <v>8.3306957257364284E-2</v>
      </c>
      <c r="K9" s="137">
        <f>K8/K12/1000</f>
        <v>0.13115889259499855</v>
      </c>
      <c r="L9" s="137">
        <f t="shared" ref="L9:T9" si="6">L8/L12/1000</f>
        <v>0.12871090872094246</v>
      </c>
      <c r="M9" s="130">
        <f t="shared" si="6"/>
        <v>0.11614718041465925</v>
      </c>
      <c r="N9" s="130">
        <f t="shared" si="6"/>
        <v>9.1265755988324704E-2</v>
      </c>
      <c r="O9" s="130">
        <f t="shared" si="6"/>
        <v>6.915619153124318E-2</v>
      </c>
      <c r="P9" s="130">
        <f t="shared" si="6"/>
        <v>5.3138273817615843E-2</v>
      </c>
      <c r="Q9" s="130">
        <f t="shared" si="6"/>
        <v>3.992645693830596E-2</v>
      </c>
      <c r="R9" s="130">
        <f t="shared" si="6"/>
        <v>4.0292098660228183E-2</v>
      </c>
      <c r="S9" s="130">
        <f t="shared" si="6"/>
        <v>4.3209639479621718E-2</v>
      </c>
      <c r="T9" s="130">
        <f t="shared" si="6"/>
        <v>4.3513993567279537E-2</v>
      </c>
      <c r="U9" s="130">
        <f t="shared" ref="U9" si="7">U8/U12/1000</f>
        <v>4.5027603091546256E-2</v>
      </c>
    </row>
    <row r="10" spans="1:21">
      <c r="A10" s="129" t="s">
        <v>657</v>
      </c>
      <c r="B10" s="129"/>
      <c r="C10" s="137">
        <f>C8/C13/1000</f>
        <v>0</v>
      </c>
      <c r="D10" s="137">
        <f t="shared" ref="D10:T10" si="8">D8/D13/1000</f>
        <v>3.701741996233522E-3</v>
      </c>
      <c r="E10" s="137">
        <f t="shared" si="8"/>
        <v>5.4471757322175733E-2</v>
      </c>
      <c r="F10" s="137">
        <f t="shared" si="8"/>
        <v>0.10244559362206421</v>
      </c>
      <c r="G10" s="137">
        <f t="shared" si="8"/>
        <v>0.11579053956834531</v>
      </c>
      <c r="H10" s="137">
        <f t="shared" si="8"/>
        <v>0.11460991834774255</v>
      </c>
      <c r="I10" s="137">
        <f t="shared" si="8"/>
        <v>0.125536815920398</v>
      </c>
      <c r="J10" s="137">
        <f t="shared" si="8"/>
        <v>0.13310306704707559</v>
      </c>
      <c r="K10" s="137">
        <f t="shared" si="8"/>
        <v>0.20930232558139533</v>
      </c>
      <c r="L10" s="137">
        <f t="shared" si="8"/>
        <v>0.20510132774283718</v>
      </c>
      <c r="M10" s="137">
        <f t="shared" si="8"/>
        <v>0.18526877192982458</v>
      </c>
      <c r="N10" s="137">
        <f t="shared" si="8"/>
        <v>0.14602142857142858</v>
      </c>
      <c r="O10" s="137">
        <f t="shared" si="8"/>
        <v>0.11093994211287989</v>
      </c>
      <c r="P10" s="137">
        <f t="shared" si="8"/>
        <v>8.5887892376681624E-2</v>
      </c>
      <c r="Q10" s="137">
        <f t="shared" si="8"/>
        <v>6.481735159817352E-2</v>
      </c>
      <c r="R10" s="137">
        <f t="shared" si="8"/>
        <v>6.5418139892390467E-2</v>
      </c>
      <c r="S10" s="137">
        <f t="shared" si="8"/>
        <v>7.0210608424336962E-2</v>
      </c>
      <c r="T10" s="137">
        <f t="shared" si="8"/>
        <v>7.0430458430458434E-2</v>
      </c>
      <c r="U10" s="137">
        <f t="shared" ref="U10" si="9">U8/U13/1000</f>
        <v>7.288034188034187E-2</v>
      </c>
    </row>
    <row r="11" spans="1:21">
      <c r="A11" s="131"/>
      <c r="B11" s="131"/>
      <c r="C11" s="138"/>
      <c r="D11" s="138"/>
      <c r="E11" s="134"/>
      <c r="F11" s="134"/>
      <c r="G11" s="134"/>
      <c r="H11" s="134"/>
      <c r="I11" s="134"/>
      <c r="J11" s="134"/>
      <c r="K11" s="138"/>
      <c r="L11" s="138"/>
      <c r="M11" s="131"/>
      <c r="N11" s="131"/>
      <c r="O11" s="131"/>
      <c r="P11" s="131"/>
      <c r="Q11" s="131"/>
      <c r="R11" s="131"/>
      <c r="S11" s="131"/>
      <c r="T11" s="131"/>
      <c r="U11" s="131"/>
    </row>
    <row r="12" spans="1:21">
      <c r="A12" s="124" t="s">
        <v>658</v>
      </c>
      <c r="B12" s="124"/>
      <c r="C12" s="139">
        <v>2102.2199999999998</v>
      </c>
      <c r="D12" s="139">
        <v>2290.585</v>
      </c>
      <c r="E12" s="139">
        <v>2309.4560000000001</v>
      </c>
      <c r="F12" s="139">
        <v>2268.4389999999999</v>
      </c>
      <c r="G12" s="139">
        <v>2210.5430000000001</v>
      </c>
      <c r="H12" s="139">
        <v>2220.0120000000002</v>
      </c>
      <c r="I12" s="139">
        <v>2175.8240000000001</v>
      </c>
      <c r="J12" s="139">
        <v>2240.0349999999999</v>
      </c>
      <c r="K12" s="139">
        <v>2264.4290000000001</v>
      </c>
      <c r="L12" s="139">
        <v>2280.3040000000001</v>
      </c>
      <c r="M12" s="139">
        <v>2273.047</v>
      </c>
      <c r="N12" s="139">
        <v>2239.942</v>
      </c>
      <c r="O12" s="139">
        <v>2216.9960000000001</v>
      </c>
      <c r="P12" s="139">
        <v>2162.6219999999998</v>
      </c>
      <c r="Q12" s="139">
        <v>2133.172</v>
      </c>
      <c r="R12" s="139">
        <v>2112.3000000000002</v>
      </c>
      <c r="S12" s="139">
        <v>2083.1</v>
      </c>
      <c r="T12" s="139">
        <v>2083.1</v>
      </c>
      <c r="U12" s="139">
        <v>2083.1</v>
      </c>
    </row>
    <row r="13" spans="1:21">
      <c r="A13" s="124" t="s">
        <v>659</v>
      </c>
      <c r="B13" s="124"/>
      <c r="C13" s="139">
        <v>1387</v>
      </c>
      <c r="D13" s="139">
        <v>1416</v>
      </c>
      <c r="E13" s="139">
        <v>1434</v>
      </c>
      <c r="F13" s="139">
        <v>1428</v>
      </c>
      <c r="G13" s="139">
        <v>1390</v>
      </c>
      <c r="H13" s="139">
        <v>1388</v>
      </c>
      <c r="I13" s="139">
        <v>1340</v>
      </c>
      <c r="J13" s="139">
        <v>1402</v>
      </c>
      <c r="K13" s="139">
        <v>1419</v>
      </c>
      <c r="L13" s="139">
        <v>1431</v>
      </c>
      <c r="M13" s="139">
        <v>1425</v>
      </c>
      <c r="N13" s="139">
        <v>1400</v>
      </c>
      <c r="O13" s="139">
        <v>1382</v>
      </c>
      <c r="P13" s="139">
        <v>1338</v>
      </c>
      <c r="Q13" s="139">
        <v>1314</v>
      </c>
      <c r="R13" s="139">
        <v>1301</v>
      </c>
      <c r="S13" s="139">
        <v>1282</v>
      </c>
      <c r="T13" s="139">
        <v>1287</v>
      </c>
      <c r="U13" s="139">
        <v>1287</v>
      </c>
    </row>
    <row r="14" spans="1:21">
      <c r="C14" s="13"/>
      <c r="D14" s="13"/>
      <c r="E14" s="13"/>
      <c r="F14" s="13"/>
      <c r="G14" s="13"/>
      <c r="H14" s="13"/>
      <c r="I14" s="13"/>
      <c r="J14" s="13"/>
      <c r="K14" s="13"/>
      <c r="L14" s="13"/>
      <c r="M14" s="13"/>
      <c r="N14" s="13"/>
      <c r="O14" s="13"/>
      <c r="P14" s="13"/>
      <c r="Q14" s="13"/>
      <c r="R14" s="13"/>
      <c r="S14" s="13"/>
      <c r="T14" s="13"/>
    </row>
    <row r="15" spans="1:21">
      <c r="A15" s="24"/>
      <c r="C15" s="24"/>
      <c r="D15" s="24"/>
      <c r="E15" s="24"/>
      <c r="F15" s="24"/>
      <c r="G15" s="24"/>
      <c r="H15" s="24"/>
      <c r="I15" s="24"/>
      <c r="J15" s="24"/>
      <c r="K15" s="24"/>
      <c r="L15" s="24"/>
      <c r="M15" s="24"/>
      <c r="N15" s="24"/>
      <c r="O15" s="24"/>
      <c r="P15" s="24"/>
      <c r="Q15" s="24"/>
      <c r="R15" s="24"/>
      <c r="S15" s="24"/>
    </row>
    <row r="16" spans="1:21">
      <c r="A16" s="24"/>
      <c r="C16" s="35"/>
      <c r="D16" s="35"/>
      <c r="E16" s="35"/>
      <c r="F16" s="35"/>
      <c r="G16" s="35"/>
      <c r="H16" s="35"/>
      <c r="I16" s="35"/>
      <c r="J16" s="35"/>
      <c r="K16" s="35"/>
      <c r="L16" s="35"/>
      <c r="M16" s="35"/>
      <c r="N16" s="35"/>
      <c r="O16" s="35"/>
      <c r="P16" s="35"/>
      <c r="Q16" s="35"/>
      <c r="R16" s="35"/>
      <c r="S16" s="35"/>
    </row>
    <row r="17" spans="1:19">
      <c r="A17" s="24"/>
      <c r="C17" s="35"/>
      <c r="D17" s="35"/>
      <c r="E17" s="35"/>
      <c r="F17" s="35"/>
      <c r="G17" s="35"/>
      <c r="H17" s="35"/>
      <c r="I17" s="35"/>
      <c r="J17" s="35"/>
      <c r="K17" s="35"/>
      <c r="L17" s="35"/>
      <c r="M17" s="35"/>
      <c r="N17" s="35"/>
      <c r="O17" s="35"/>
      <c r="P17" s="35"/>
      <c r="Q17" s="35"/>
      <c r="R17" s="35"/>
      <c r="S17" s="35"/>
    </row>
    <row r="20" spans="1:19">
      <c r="K20" s="135"/>
    </row>
    <row r="47" spans="1:21" ht="19">
      <c r="A47" s="123" t="s">
        <v>662</v>
      </c>
      <c r="B47" s="123"/>
      <c r="C47" s="132">
        <v>2001</v>
      </c>
      <c r="D47" s="132">
        <v>2002</v>
      </c>
      <c r="E47" s="132">
        <v>2003</v>
      </c>
      <c r="F47" s="132">
        <v>2004</v>
      </c>
      <c r="G47" s="132">
        <v>2005</v>
      </c>
      <c r="H47" s="132">
        <v>2006</v>
      </c>
      <c r="I47" s="132">
        <v>2007</v>
      </c>
      <c r="J47" s="132">
        <v>2008</v>
      </c>
      <c r="K47" s="132">
        <v>2009</v>
      </c>
      <c r="L47" s="132">
        <v>2010</v>
      </c>
      <c r="M47" s="123">
        <v>2011</v>
      </c>
      <c r="N47" s="123">
        <v>2012</v>
      </c>
      <c r="O47" s="123">
        <v>2013</v>
      </c>
      <c r="P47" s="123">
        <v>2014</v>
      </c>
      <c r="Q47" s="123">
        <v>2015</v>
      </c>
      <c r="R47" s="123">
        <v>2016</v>
      </c>
      <c r="S47" s="123">
        <v>2017</v>
      </c>
      <c r="T47" s="123">
        <v>2018</v>
      </c>
      <c r="U47" s="123">
        <v>2019</v>
      </c>
    </row>
    <row r="48" spans="1:21">
      <c r="A48" s="124" t="s">
        <v>581</v>
      </c>
      <c r="B48" s="124"/>
      <c r="C48" s="135"/>
      <c r="D48" s="135"/>
      <c r="E48" s="135"/>
      <c r="F48" s="135"/>
      <c r="G48" s="135"/>
      <c r="H48" s="135"/>
      <c r="I48" s="135"/>
      <c r="J48" s="135"/>
      <c r="K48" s="135"/>
      <c r="L48" s="135"/>
      <c r="M48" s="125"/>
      <c r="N48" s="126"/>
      <c r="O48" s="126"/>
      <c r="P48" s="126"/>
      <c r="Q48" s="126"/>
      <c r="R48" s="125"/>
      <c r="S48" s="126"/>
      <c r="T48" s="126"/>
      <c r="U48" s="126"/>
    </row>
    <row r="49" spans="1:21">
      <c r="A49" s="124" t="s">
        <v>582</v>
      </c>
      <c r="B49" s="124"/>
      <c r="C49" s="135"/>
      <c r="D49" s="135"/>
      <c r="E49" s="135"/>
      <c r="F49" s="135"/>
      <c r="G49" s="135"/>
      <c r="H49" s="135"/>
      <c r="I49" s="135"/>
      <c r="J49" s="135"/>
      <c r="K49" s="135"/>
      <c r="L49" s="135"/>
      <c r="M49" s="125"/>
      <c r="N49" s="126"/>
      <c r="O49" s="126"/>
      <c r="P49" s="126"/>
      <c r="Q49" s="126"/>
      <c r="R49" s="125"/>
      <c r="S49" s="126"/>
      <c r="T49" s="126"/>
      <c r="U49" s="126"/>
    </row>
    <row r="51" spans="1:21" ht="19">
      <c r="A51" s="123" t="s">
        <v>661</v>
      </c>
      <c r="B51" s="123"/>
      <c r="C51" s="132">
        <v>2001</v>
      </c>
      <c r="D51" s="132">
        <v>2002</v>
      </c>
      <c r="E51" s="132">
        <v>2003</v>
      </c>
      <c r="F51" s="132">
        <v>2004</v>
      </c>
      <c r="G51" s="132">
        <v>2005</v>
      </c>
      <c r="H51" s="132">
        <v>2006</v>
      </c>
      <c r="I51" s="132">
        <v>2007</v>
      </c>
      <c r="J51" s="132">
        <v>2008</v>
      </c>
      <c r="K51" s="132">
        <v>2009</v>
      </c>
      <c r="L51" s="132">
        <v>2010</v>
      </c>
      <c r="M51" s="123">
        <v>2011</v>
      </c>
      <c r="N51" s="123">
        <v>2012</v>
      </c>
      <c r="O51" s="123">
        <v>2013</v>
      </c>
      <c r="P51" s="123">
        <v>2014</v>
      </c>
      <c r="Q51" s="123">
        <v>2015</v>
      </c>
      <c r="R51" s="123">
        <v>2016</v>
      </c>
      <c r="S51" s="123">
        <v>2017</v>
      </c>
      <c r="T51" s="123">
        <v>2018</v>
      </c>
      <c r="U51" s="123">
        <v>2019</v>
      </c>
    </row>
    <row r="52" spans="1:21">
      <c r="A52" s="124" t="s">
        <v>663</v>
      </c>
      <c r="B52" s="124"/>
      <c r="C52" s="135"/>
      <c r="D52" s="135"/>
      <c r="E52" s="135"/>
      <c r="F52" s="135"/>
      <c r="G52" s="135"/>
      <c r="H52" s="135"/>
      <c r="I52" s="135">
        <v>29473</v>
      </c>
      <c r="J52" s="135">
        <v>49585</v>
      </c>
      <c r="K52" s="135">
        <v>79505.25</v>
      </c>
      <c r="L52" s="135">
        <v>99365.5</v>
      </c>
      <c r="M52" s="125">
        <v>93182.25</v>
      </c>
      <c r="N52" s="126">
        <v>113504.5</v>
      </c>
      <c r="O52" s="126">
        <v>101395.75</v>
      </c>
      <c r="P52" s="126">
        <v>59106.5</v>
      </c>
      <c r="Q52" s="126">
        <v>32392.75</v>
      </c>
      <c r="R52" s="125">
        <v>30455</v>
      </c>
      <c r="S52" s="126"/>
      <c r="T52" s="126"/>
      <c r="U52" s="126"/>
    </row>
    <row r="53" spans="1:21">
      <c r="A53" s="124" t="s">
        <v>664</v>
      </c>
      <c r="B53" s="124"/>
      <c r="C53" s="135"/>
      <c r="D53" s="135"/>
      <c r="E53" s="135"/>
      <c r="F53" s="135"/>
      <c r="G53" s="135"/>
      <c r="H53" s="135"/>
      <c r="I53" s="135">
        <v>154825</v>
      </c>
      <c r="J53" s="135">
        <v>159710.75</v>
      </c>
      <c r="K53" s="135">
        <v>128524.25</v>
      </c>
      <c r="L53" s="135">
        <v>87305.75</v>
      </c>
      <c r="M53" s="125">
        <v>62680.25</v>
      </c>
      <c r="N53" s="126">
        <v>12797.25</v>
      </c>
      <c r="O53" s="126">
        <v>7678.25</v>
      </c>
      <c r="P53" s="126">
        <v>3234</v>
      </c>
      <c r="Q53" s="126">
        <v>0</v>
      </c>
      <c r="R53" s="126">
        <v>0</v>
      </c>
      <c r="S53" s="126"/>
      <c r="T53" s="126"/>
      <c r="U53" s="126"/>
    </row>
    <row r="54" spans="1:21">
      <c r="I54" s="135"/>
      <c r="J54" s="135"/>
      <c r="K54" s="135"/>
      <c r="L54" s="135"/>
      <c r="M54" s="125"/>
      <c r="N54" s="126"/>
      <c r="O54" s="126"/>
      <c r="P54" s="126"/>
      <c r="Q54" s="126"/>
      <c r="R54" s="125"/>
    </row>
    <row r="55" spans="1:21" ht="19">
      <c r="A55" s="134"/>
      <c r="B55" s="134"/>
      <c r="C55" s="132">
        <v>2001</v>
      </c>
      <c r="D55" s="132">
        <v>2002</v>
      </c>
      <c r="E55" s="132">
        <v>2003</v>
      </c>
      <c r="F55" s="132">
        <v>2004</v>
      </c>
      <c r="G55" s="132">
        <v>2005</v>
      </c>
      <c r="H55" s="132">
        <v>2006</v>
      </c>
      <c r="I55" s="132">
        <v>2007</v>
      </c>
      <c r="J55" s="132">
        <v>2008</v>
      </c>
      <c r="K55" s="132">
        <v>2009</v>
      </c>
      <c r="L55" s="132">
        <v>2010</v>
      </c>
      <c r="M55" s="132">
        <v>2011</v>
      </c>
      <c r="N55" s="132">
        <v>2012</v>
      </c>
      <c r="O55" s="132">
        <v>2013</v>
      </c>
      <c r="P55" s="132">
        <v>2014</v>
      </c>
      <c r="Q55" s="132">
        <v>2015</v>
      </c>
      <c r="R55" s="132">
        <v>2016</v>
      </c>
      <c r="S55" s="132">
        <v>2017</v>
      </c>
      <c r="T55" s="132">
        <v>2018</v>
      </c>
      <c r="U55" s="123">
        <v>2019</v>
      </c>
    </row>
    <row r="56" spans="1:21">
      <c r="A56" s="134" t="s">
        <v>666</v>
      </c>
      <c r="B56" s="134"/>
      <c r="C56" s="142">
        <f>C53+C52+C49+C48+C8</f>
        <v>0</v>
      </c>
      <c r="D56" s="142">
        <f t="shared" ref="D56:T56" si="10">D53+D52+D49+D48+D8</f>
        <v>5241.666666666667</v>
      </c>
      <c r="E56" s="142">
        <f t="shared" si="10"/>
        <v>78112.5</v>
      </c>
      <c r="F56" s="142">
        <f t="shared" si="10"/>
        <v>146292.30769230769</v>
      </c>
      <c r="G56" s="142">
        <f t="shared" si="10"/>
        <v>160948.84999999998</v>
      </c>
      <c r="H56" s="142">
        <f t="shared" si="10"/>
        <v>159078.56666666665</v>
      </c>
      <c r="I56" s="142">
        <f t="shared" si="10"/>
        <v>352517.33333333337</v>
      </c>
      <c r="J56" s="142">
        <f t="shared" si="10"/>
        <v>395906.25</v>
      </c>
      <c r="K56" s="142">
        <f t="shared" si="10"/>
        <v>505029.5</v>
      </c>
      <c r="L56" s="142">
        <f t="shared" si="10"/>
        <v>480171.25</v>
      </c>
      <c r="M56" s="142">
        <f t="shared" si="10"/>
        <v>419870.5</v>
      </c>
      <c r="N56" s="142">
        <f t="shared" si="10"/>
        <v>330731.75</v>
      </c>
      <c r="O56" s="142">
        <f t="shared" si="10"/>
        <v>262393</v>
      </c>
      <c r="P56" s="142">
        <f t="shared" si="10"/>
        <v>177258.5</v>
      </c>
      <c r="Q56" s="142">
        <f t="shared" si="10"/>
        <v>117562.75</v>
      </c>
      <c r="R56" s="142">
        <f t="shared" si="10"/>
        <v>115564</v>
      </c>
      <c r="S56" s="142">
        <f t="shared" si="10"/>
        <v>90010</v>
      </c>
      <c r="T56" s="142">
        <f t="shared" si="10"/>
        <v>90644</v>
      </c>
      <c r="U56" s="142">
        <f t="shared" ref="U56" si="11">U53+U52+U49+U48+U8</f>
        <v>93797</v>
      </c>
    </row>
    <row r="58" spans="1:21">
      <c r="I58" s="24"/>
      <c r="J58" s="24"/>
      <c r="K58" s="24"/>
      <c r="L58" s="24"/>
      <c r="M58" s="24"/>
      <c r="N58" s="24"/>
      <c r="O58" s="24"/>
      <c r="P58" s="24"/>
      <c r="Q58" s="24"/>
      <c r="R58" s="24"/>
      <c r="S58" s="24"/>
      <c r="T58" s="24"/>
    </row>
    <row r="59" spans="1:21">
      <c r="I59" s="24"/>
      <c r="J59" s="24"/>
      <c r="K59" s="24"/>
      <c r="L59" s="24"/>
      <c r="M59" s="24"/>
      <c r="N59" s="24"/>
      <c r="O59" s="24"/>
      <c r="P59" s="24"/>
      <c r="Q59" s="24"/>
      <c r="R59" s="24"/>
      <c r="S59" s="24"/>
      <c r="T59" s="24"/>
    </row>
    <row r="60" spans="1:21">
      <c r="I60" s="24"/>
      <c r="J60" s="24"/>
      <c r="K60" s="24"/>
      <c r="L60" s="24"/>
      <c r="M60" s="24"/>
      <c r="N60" s="24"/>
      <c r="O60" s="24"/>
      <c r="P60" s="24"/>
      <c r="Q60" s="24"/>
      <c r="R60" s="24"/>
      <c r="S60" s="24"/>
      <c r="T60" s="24"/>
    </row>
    <row r="61" spans="1:21">
      <c r="I61" s="24"/>
      <c r="J61" s="24"/>
      <c r="K61" s="24"/>
      <c r="L61" s="24"/>
      <c r="M61" s="24"/>
      <c r="N61" s="24"/>
      <c r="O61" s="24"/>
      <c r="P61" s="24"/>
      <c r="Q61" s="24"/>
      <c r="R61" s="24"/>
      <c r="S61" s="24"/>
      <c r="T61" s="24"/>
    </row>
    <row r="62" spans="1:21">
      <c r="I62" s="24"/>
      <c r="J62" s="24"/>
      <c r="K62" s="24"/>
      <c r="L62" s="24"/>
      <c r="M62" s="24"/>
      <c r="N62" s="24"/>
      <c r="O62" s="24"/>
      <c r="P62" s="24"/>
      <c r="Q62" s="24"/>
      <c r="R62" s="24"/>
      <c r="S62" s="24"/>
      <c r="T62" s="2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244"/>
  <sheetViews>
    <sheetView workbookViewId="0">
      <pane ySplit="1" topLeftCell="A2" activePane="bottomLeft" state="frozen"/>
      <selection pane="bottomLeft" activeCell="Q8" sqref="Q8:AB12"/>
    </sheetView>
  </sheetViews>
  <sheetFormatPr baseColWidth="10" defaultColWidth="8.83203125" defaultRowHeight="15"/>
  <cols>
    <col min="1" max="1" width="8.83203125" style="30"/>
    <col min="2" max="2" width="23.6640625" style="30" customWidth="1"/>
    <col min="3" max="3" width="16.5" style="30" customWidth="1"/>
    <col min="4" max="16384" width="8.83203125" style="24"/>
  </cols>
  <sheetData>
    <row r="1" spans="1:29">
      <c r="A1" s="22" t="s">
        <v>386</v>
      </c>
      <c r="B1" s="23" t="s">
        <v>387</v>
      </c>
      <c r="C1" s="23" t="s">
        <v>388</v>
      </c>
    </row>
    <row r="2" spans="1:29">
      <c r="A2" s="25">
        <v>37165</v>
      </c>
      <c r="B2" s="26">
        <v>0</v>
      </c>
      <c r="C2" s="27">
        <v>0</v>
      </c>
    </row>
    <row r="3" spans="1:29" ht="16">
      <c r="A3" s="25">
        <v>37196</v>
      </c>
      <c r="B3" s="26">
        <v>0</v>
      </c>
      <c r="C3" s="27">
        <v>0</v>
      </c>
      <c r="F3" s="24" t="s">
        <v>432</v>
      </c>
      <c r="G3" s="24" t="s">
        <v>433</v>
      </c>
      <c r="H3" s="24" t="s">
        <v>434</v>
      </c>
      <c r="I3" t="s">
        <v>593</v>
      </c>
      <c r="L3" s="24" t="s">
        <v>432</v>
      </c>
      <c r="M3" s="24">
        <v>2001</v>
      </c>
      <c r="N3" s="24">
        <v>2002</v>
      </c>
      <c r="O3" s="24">
        <v>2003</v>
      </c>
      <c r="P3" s="24">
        <v>2004</v>
      </c>
      <c r="Q3" s="24">
        <v>2005</v>
      </c>
      <c r="R3" s="24">
        <v>2006</v>
      </c>
      <c r="S3" s="24">
        <v>2007</v>
      </c>
      <c r="T3" s="24">
        <v>2008</v>
      </c>
      <c r="U3" s="24">
        <v>2009</v>
      </c>
      <c r="V3" s="24">
        <v>2010</v>
      </c>
      <c r="W3" s="24">
        <v>2011</v>
      </c>
      <c r="X3" s="24">
        <v>2012</v>
      </c>
      <c r="Y3" s="24">
        <v>2013</v>
      </c>
      <c r="Z3" s="24">
        <v>2014</v>
      </c>
      <c r="AA3" s="24">
        <v>2015</v>
      </c>
      <c r="AB3" s="24">
        <v>2016</v>
      </c>
      <c r="AC3" s="24">
        <v>2017</v>
      </c>
    </row>
    <row r="4" spans="1:29">
      <c r="A4" s="25">
        <v>37226</v>
      </c>
      <c r="B4" s="26">
        <v>0</v>
      </c>
      <c r="C4" s="27">
        <v>0</v>
      </c>
      <c r="F4" s="24">
        <v>2001</v>
      </c>
      <c r="G4" s="24">
        <v>0</v>
      </c>
      <c r="H4" s="24">
        <v>0</v>
      </c>
      <c r="I4" s="24">
        <v>0</v>
      </c>
      <c r="L4" s="24" t="s">
        <v>433</v>
      </c>
      <c r="M4" s="24">
        <v>0</v>
      </c>
      <c r="N4" s="24">
        <v>5241.666666666667</v>
      </c>
      <c r="O4" s="24">
        <v>10387.5</v>
      </c>
      <c r="P4" s="24">
        <v>15346.153846153846</v>
      </c>
      <c r="Q4" s="24">
        <v>18269.166666666668</v>
      </c>
      <c r="R4" s="24">
        <v>20241.666666666668</v>
      </c>
      <c r="S4" s="24">
        <v>23153.833333333332</v>
      </c>
      <c r="T4" s="24">
        <v>30076.666666666668</v>
      </c>
      <c r="U4" s="24">
        <v>43807.291666666664</v>
      </c>
      <c r="V4" s="24">
        <v>81541.666666666672</v>
      </c>
      <c r="W4" s="24">
        <v>98266.666666666672</v>
      </c>
      <c r="X4" s="24">
        <v>89261.538461538468</v>
      </c>
      <c r="Y4" s="24">
        <v>63375</v>
      </c>
      <c r="Z4" s="24">
        <v>35925</v>
      </c>
      <c r="AA4" s="24">
        <v>11094.166666666666</v>
      </c>
      <c r="AB4" s="24">
        <v>9737</v>
      </c>
      <c r="AC4" s="24">
        <v>8674</v>
      </c>
    </row>
    <row r="5" spans="1:29">
      <c r="A5" s="25">
        <v>37257</v>
      </c>
      <c r="B5" s="27">
        <v>4100</v>
      </c>
      <c r="C5" s="27">
        <v>0</v>
      </c>
      <c r="F5" s="24">
        <v>2002</v>
      </c>
      <c r="G5" s="35">
        <f>AVERAGE(B2:B13)</f>
        <v>5241.666666666667</v>
      </c>
      <c r="H5" s="35">
        <f>AVERAGE(C2:C13)</f>
        <v>0</v>
      </c>
      <c r="I5" s="35">
        <f>G5+H5</f>
        <v>5241.666666666667</v>
      </c>
      <c r="L5" s="24" t="s">
        <v>434</v>
      </c>
      <c r="M5" s="24">
        <v>0</v>
      </c>
      <c r="N5" s="24">
        <v>0</v>
      </c>
      <c r="O5" s="24">
        <v>67725</v>
      </c>
      <c r="P5" s="24">
        <v>130946.15384615384</v>
      </c>
      <c r="Q5" s="24">
        <v>142679.68333333332</v>
      </c>
      <c r="R5" s="24">
        <v>138836.9</v>
      </c>
      <c r="S5" s="24">
        <v>145065.5</v>
      </c>
      <c r="T5" s="24">
        <v>156533.83333333334</v>
      </c>
      <c r="U5" s="24">
        <v>139850</v>
      </c>
      <c r="V5" s="24">
        <v>94605</v>
      </c>
      <c r="W5" s="24">
        <v>46587.083333333336</v>
      </c>
      <c r="X5" s="24">
        <v>10192.307692307691</v>
      </c>
      <c r="Y5" s="24">
        <v>0</v>
      </c>
      <c r="Z5" s="24">
        <v>0</v>
      </c>
      <c r="AA5" s="24">
        <v>0</v>
      </c>
      <c r="AB5" s="24">
        <v>3550</v>
      </c>
      <c r="AC5" s="24">
        <v>5562</v>
      </c>
    </row>
    <row r="6" spans="1:29">
      <c r="A6" s="25">
        <v>37288</v>
      </c>
      <c r="B6" s="27">
        <v>4200</v>
      </c>
      <c r="C6" s="27">
        <v>0</v>
      </c>
      <c r="F6" s="24">
        <v>2003</v>
      </c>
      <c r="G6" s="36">
        <f>AVERAGE(B14:B25)</f>
        <v>10387.5</v>
      </c>
      <c r="H6" s="36">
        <f>AVERAGE(C14:C25)</f>
        <v>67725</v>
      </c>
      <c r="I6" s="35">
        <f t="shared" ref="I6:I20" si="0">G6+H6</f>
        <v>78112.5</v>
      </c>
      <c r="L6" s="24" t="s">
        <v>593</v>
      </c>
      <c r="M6" s="24">
        <v>0</v>
      </c>
      <c r="N6" s="24">
        <v>5241.666666666667</v>
      </c>
      <c r="O6" s="24">
        <v>78112.5</v>
      </c>
      <c r="P6" s="24">
        <v>146292.30769230769</v>
      </c>
      <c r="Q6" s="24">
        <v>160948.84999999998</v>
      </c>
      <c r="R6" s="24">
        <v>159078.56666666665</v>
      </c>
      <c r="S6" s="24">
        <v>168219.33333333334</v>
      </c>
      <c r="T6" s="24">
        <v>186610.5</v>
      </c>
      <c r="U6" s="24">
        <v>183657.29166666666</v>
      </c>
      <c r="V6" s="24">
        <v>176146.66666666669</v>
      </c>
      <c r="W6" s="24">
        <v>144853.75</v>
      </c>
      <c r="X6" s="24">
        <v>99453.846153846156</v>
      </c>
      <c r="Y6" s="24">
        <v>63375</v>
      </c>
      <c r="Z6" s="24">
        <v>35925</v>
      </c>
      <c r="AA6" s="24">
        <v>11094.166666666666</v>
      </c>
      <c r="AB6" s="24">
        <v>13287</v>
      </c>
      <c r="AC6" s="24">
        <v>14236</v>
      </c>
    </row>
    <row r="7" spans="1:29">
      <c r="A7" s="25">
        <v>37316</v>
      </c>
      <c r="B7" s="27">
        <v>5000</v>
      </c>
      <c r="C7" s="27">
        <v>0</v>
      </c>
      <c r="F7" s="24">
        <v>2004</v>
      </c>
      <c r="G7" s="36">
        <f>AVERAGE(B26:B38)</f>
        <v>15346.153846153846</v>
      </c>
      <c r="H7" s="36">
        <f>AVERAGE(C26:C38)</f>
        <v>130946.15384615384</v>
      </c>
      <c r="I7" s="35">
        <f t="shared" si="0"/>
        <v>146292.30769230769</v>
      </c>
    </row>
    <row r="8" spans="1:29">
      <c r="A8" s="25">
        <v>37347</v>
      </c>
      <c r="B8" s="27">
        <v>6600</v>
      </c>
      <c r="C8" s="27">
        <v>0</v>
      </c>
      <c r="F8" s="24">
        <v>2005</v>
      </c>
      <c r="G8" s="36">
        <f>AVERAGE(B38:B49)</f>
        <v>18269.166666666668</v>
      </c>
      <c r="H8" s="36">
        <f>AVERAGE(C38:C49)</f>
        <v>142679.68333333332</v>
      </c>
      <c r="I8" s="35">
        <f t="shared" si="0"/>
        <v>160948.84999999998</v>
      </c>
      <c r="R8" s="24" t="s">
        <v>432</v>
      </c>
      <c r="S8" s="24">
        <v>2007</v>
      </c>
      <c r="T8" s="24">
        <v>2008</v>
      </c>
      <c r="U8" s="24">
        <v>2009</v>
      </c>
      <c r="V8" s="24">
        <v>2010</v>
      </c>
      <c r="W8" s="24">
        <v>2011</v>
      </c>
      <c r="X8" s="24">
        <v>2012</v>
      </c>
      <c r="Y8" s="24">
        <v>2013</v>
      </c>
      <c r="Z8" s="24">
        <v>2014</v>
      </c>
      <c r="AA8" s="24">
        <v>2015</v>
      </c>
      <c r="AB8" s="24">
        <v>2016</v>
      </c>
    </row>
    <row r="9" spans="1:29">
      <c r="A9" s="25">
        <v>37377</v>
      </c>
      <c r="B9" s="27">
        <v>6900</v>
      </c>
      <c r="C9" s="27">
        <v>0</v>
      </c>
      <c r="F9" s="24">
        <v>2006</v>
      </c>
      <c r="G9" s="36">
        <f>AVERAGE(B50:B61)</f>
        <v>20241.666666666668</v>
      </c>
      <c r="H9" s="36">
        <f>AVERAGE(C50:C61)</f>
        <v>138836.9</v>
      </c>
      <c r="I9" s="35">
        <f t="shared" si="0"/>
        <v>159078.56666666665</v>
      </c>
      <c r="Q9" s="24" t="s">
        <v>582</v>
      </c>
      <c r="R9" s="24" t="s">
        <v>630</v>
      </c>
      <c r="S9" s="24">
        <v>24056</v>
      </c>
      <c r="T9" s="24">
        <v>30195.5</v>
      </c>
      <c r="U9" s="24">
        <v>47062.5</v>
      </c>
      <c r="V9" s="24">
        <v>84625</v>
      </c>
      <c r="W9" s="24">
        <v>98450</v>
      </c>
      <c r="X9" s="24">
        <v>86100</v>
      </c>
      <c r="Y9" s="24">
        <v>62150</v>
      </c>
      <c r="Z9" s="24">
        <v>33925</v>
      </c>
      <c r="AA9" s="24">
        <v>9465</v>
      </c>
      <c r="AB9" s="24">
        <v>8930</v>
      </c>
    </row>
    <row r="10" spans="1:29">
      <c r="A10" s="25">
        <v>37408</v>
      </c>
      <c r="B10" s="27">
        <v>7300</v>
      </c>
      <c r="C10" s="27">
        <v>0</v>
      </c>
      <c r="F10" s="24">
        <v>2007</v>
      </c>
      <c r="G10" s="36">
        <f>AVERAGE(B62:B73)</f>
        <v>23153.833333333332</v>
      </c>
      <c r="H10" s="36">
        <f>AVERAGE(C62:C73)</f>
        <v>145065.5</v>
      </c>
      <c r="I10" s="35">
        <f t="shared" si="0"/>
        <v>168219.33333333334</v>
      </c>
      <c r="R10" s="24" t="s">
        <v>631</v>
      </c>
      <c r="S10" s="24">
        <v>29473</v>
      </c>
      <c r="T10" s="24">
        <v>49585</v>
      </c>
      <c r="U10" s="24">
        <v>79505.25</v>
      </c>
      <c r="V10" s="24">
        <v>99365.5</v>
      </c>
      <c r="W10" s="24">
        <v>93182.25</v>
      </c>
      <c r="X10" s="24">
        <v>113504.5</v>
      </c>
      <c r="Y10" s="24">
        <v>101395.75</v>
      </c>
      <c r="Z10" s="24">
        <v>59106.5</v>
      </c>
      <c r="AA10" s="24">
        <v>32392.75</v>
      </c>
      <c r="AB10" s="24">
        <v>30455</v>
      </c>
    </row>
    <row r="11" spans="1:29">
      <c r="A11" s="25">
        <v>37438</v>
      </c>
      <c r="B11" s="27">
        <v>8900</v>
      </c>
      <c r="C11" s="27">
        <v>0</v>
      </c>
      <c r="F11" s="24">
        <v>2008</v>
      </c>
      <c r="G11" s="36">
        <f>AVERAGE(B74:B85)</f>
        <v>30076.666666666668</v>
      </c>
      <c r="H11" s="36">
        <f>AVERAGE(C74:C85)</f>
        <v>156533.83333333334</v>
      </c>
      <c r="I11" s="35">
        <f t="shared" si="0"/>
        <v>186610.5</v>
      </c>
      <c r="Q11" s="24" t="s">
        <v>581</v>
      </c>
      <c r="R11" s="24" t="s">
        <v>630</v>
      </c>
      <c r="S11" s="24">
        <f>S5</f>
        <v>145065.5</v>
      </c>
      <c r="T11" s="24">
        <v>156575</v>
      </c>
      <c r="U11" s="24">
        <v>138592.75</v>
      </c>
      <c r="V11" s="24">
        <v>86732.5</v>
      </c>
      <c r="W11" s="24">
        <v>45932.5</v>
      </c>
      <c r="X11" s="24">
        <v>11445</v>
      </c>
      <c r="Y11" s="24">
        <v>0</v>
      </c>
      <c r="Z11" s="24">
        <v>0</v>
      </c>
      <c r="AA11" s="24">
        <v>0</v>
      </c>
      <c r="AB11" s="24">
        <v>0</v>
      </c>
    </row>
    <row r="12" spans="1:29">
      <c r="A12" s="25">
        <v>37469</v>
      </c>
      <c r="B12" s="27">
        <v>9500</v>
      </c>
      <c r="C12" s="27">
        <v>0</v>
      </c>
      <c r="F12" s="24">
        <v>2009</v>
      </c>
      <c r="G12" s="36">
        <f>AVERAGE(B86:B97)</f>
        <v>43807.291666666664</v>
      </c>
      <c r="H12" s="36">
        <f>AVERAGE(C86:C97)</f>
        <v>139850</v>
      </c>
      <c r="I12" s="35">
        <f t="shared" si="0"/>
        <v>183657.29166666666</v>
      </c>
      <c r="R12" s="24" t="s">
        <v>631</v>
      </c>
      <c r="S12" s="24">
        <v>154825</v>
      </c>
      <c r="T12" s="24">
        <v>159710.75</v>
      </c>
      <c r="U12" s="24">
        <v>128524.25</v>
      </c>
      <c r="V12" s="24">
        <v>87305.75</v>
      </c>
      <c r="W12" s="24">
        <v>62680.25</v>
      </c>
      <c r="X12" s="24">
        <v>12797.25</v>
      </c>
      <c r="Y12" s="24">
        <v>7678.25</v>
      </c>
      <c r="Z12" s="24">
        <v>3234</v>
      </c>
      <c r="AA12" s="24">
        <v>0</v>
      </c>
      <c r="AB12" s="24">
        <v>0</v>
      </c>
    </row>
    <row r="13" spans="1:29">
      <c r="A13" s="25">
        <v>37500</v>
      </c>
      <c r="B13" s="27">
        <v>10400</v>
      </c>
      <c r="C13" s="27">
        <v>0</v>
      </c>
      <c r="F13" s="24">
        <v>2010</v>
      </c>
      <c r="G13" s="36">
        <f>AVERAGE(B98:B109)</f>
        <v>81541.666666666672</v>
      </c>
      <c r="H13" s="36">
        <f>AVERAGE(C98:C109)</f>
        <v>94605</v>
      </c>
      <c r="I13" s="35">
        <f t="shared" si="0"/>
        <v>176146.66666666669</v>
      </c>
    </row>
    <row r="14" spans="1:29">
      <c r="A14" s="25">
        <v>37530</v>
      </c>
      <c r="B14" s="27">
        <v>10500</v>
      </c>
      <c r="C14" s="27">
        <v>0</v>
      </c>
      <c r="F14" s="24">
        <v>2011</v>
      </c>
      <c r="G14" s="36">
        <f>AVERAGE(B110:B121)</f>
        <v>98266.666666666672</v>
      </c>
      <c r="H14" s="36">
        <f>AVERAGE(C110:C121)</f>
        <v>46587.083333333336</v>
      </c>
      <c r="I14" s="35">
        <f t="shared" si="0"/>
        <v>144853.75</v>
      </c>
    </row>
    <row r="15" spans="1:29">
      <c r="A15" s="25">
        <v>37561</v>
      </c>
      <c r="B15" s="27">
        <v>10200</v>
      </c>
      <c r="C15" s="27">
        <v>0</v>
      </c>
      <c r="F15" s="24">
        <v>2012</v>
      </c>
      <c r="G15" s="36">
        <f>AVERAGE(B121:B133)</f>
        <v>89261.538461538468</v>
      </c>
      <c r="H15" s="36">
        <f>AVERAGE(C121:C133)</f>
        <v>10192.307692307691</v>
      </c>
      <c r="I15" s="35">
        <f t="shared" si="0"/>
        <v>99453.846153846156</v>
      </c>
    </row>
    <row r="16" spans="1:29">
      <c r="A16" s="25">
        <v>37591</v>
      </c>
      <c r="B16" s="27">
        <v>9700</v>
      </c>
      <c r="C16" s="27">
        <v>0</v>
      </c>
      <c r="F16" s="24">
        <v>2013</v>
      </c>
      <c r="G16" s="36">
        <f>AVERAGE(B134:B145)</f>
        <v>63375</v>
      </c>
      <c r="H16" s="36">
        <f>AVERAGE(C134:C145)</f>
        <v>0</v>
      </c>
      <c r="I16" s="35">
        <f t="shared" si="0"/>
        <v>63375</v>
      </c>
    </row>
    <row r="17" spans="1:9">
      <c r="A17" s="25">
        <v>37622</v>
      </c>
      <c r="B17" s="27">
        <v>9800</v>
      </c>
      <c r="C17" s="27">
        <v>0</v>
      </c>
      <c r="F17" s="24">
        <v>2014</v>
      </c>
      <c r="G17" s="36">
        <f>AVERAGE(B146:B157)</f>
        <v>35925</v>
      </c>
      <c r="H17" s="36">
        <f>AVERAGE(C146:C157)</f>
        <v>0</v>
      </c>
      <c r="I17" s="35">
        <f t="shared" si="0"/>
        <v>35925</v>
      </c>
    </row>
    <row r="18" spans="1:9">
      <c r="A18" s="25">
        <v>37653</v>
      </c>
      <c r="B18" s="27">
        <v>9500</v>
      </c>
      <c r="C18" s="27">
        <v>0</v>
      </c>
      <c r="F18" s="24">
        <v>2015</v>
      </c>
      <c r="G18" s="36">
        <f>AVERAGE(B158:B169)</f>
        <v>11094.166666666666</v>
      </c>
      <c r="H18" s="36">
        <f>AVERAGE(C158:C169)</f>
        <v>0</v>
      </c>
      <c r="I18" s="35">
        <f t="shared" si="0"/>
        <v>11094.166666666666</v>
      </c>
    </row>
    <row r="19" spans="1:9">
      <c r="A19" s="25">
        <v>37681</v>
      </c>
      <c r="B19" s="27">
        <v>11450</v>
      </c>
      <c r="C19" s="27">
        <v>0</v>
      </c>
      <c r="F19" s="24">
        <v>2016</v>
      </c>
      <c r="G19" s="36">
        <v>9737</v>
      </c>
      <c r="H19" s="36">
        <v>3550</v>
      </c>
      <c r="I19" s="35">
        <f t="shared" si="0"/>
        <v>13287</v>
      </c>
    </row>
    <row r="20" spans="1:9">
      <c r="A20" s="25">
        <v>37712</v>
      </c>
      <c r="B20" s="27">
        <v>9300</v>
      </c>
      <c r="C20" s="27">
        <v>93900</v>
      </c>
      <c r="F20" s="24">
        <v>2017</v>
      </c>
      <c r="G20" s="24">
        <v>8674</v>
      </c>
      <c r="H20" s="24">
        <v>5562</v>
      </c>
      <c r="I20" s="35">
        <f t="shared" si="0"/>
        <v>14236</v>
      </c>
    </row>
    <row r="21" spans="1:9">
      <c r="A21" s="25">
        <v>37742</v>
      </c>
      <c r="B21" s="27">
        <v>9900</v>
      </c>
      <c r="C21" s="27">
        <v>145700</v>
      </c>
    </row>
    <row r="22" spans="1:9">
      <c r="A22" s="25">
        <v>37773</v>
      </c>
      <c r="B22" s="27">
        <v>10900</v>
      </c>
      <c r="C22" s="27">
        <v>147400</v>
      </c>
    </row>
    <row r="23" spans="1:9">
      <c r="A23" s="25">
        <v>37803</v>
      </c>
      <c r="B23" s="27">
        <v>10900</v>
      </c>
      <c r="C23" s="27">
        <v>149400</v>
      </c>
    </row>
    <row r="24" spans="1:9">
      <c r="A24" s="25">
        <v>37834</v>
      </c>
      <c r="B24" s="27">
        <v>12700</v>
      </c>
      <c r="C24" s="27">
        <v>146000</v>
      </c>
    </row>
    <row r="25" spans="1:9">
      <c r="A25" s="25">
        <v>37865</v>
      </c>
      <c r="B25" s="27">
        <v>9800</v>
      </c>
      <c r="C25" s="27">
        <v>130300</v>
      </c>
    </row>
    <row r="26" spans="1:9">
      <c r="A26" s="25">
        <v>37895</v>
      </c>
      <c r="B26" s="27">
        <v>12100</v>
      </c>
      <c r="C26" s="27">
        <v>136900</v>
      </c>
    </row>
    <row r="27" spans="1:9">
      <c r="A27" s="25">
        <v>37926</v>
      </c>
      <c r="B27" s="27">
        <v>12000</v>
      </c>
      <c r="C27" s="27">
        <v>131300</v>
      </c>
    </row>
    <row r="28" spans="1:9">
      <c r="A28" s="25">
        <v>37956</v>
      </c>
      <c r="B28" s="27">
        <v>13100</v>
      </c>
      <c r="C28" s="27">
        <v>123700</v>
      </c>
    </row>
    <row r="29" spans="1:9">
      <c r="A29" s="25">
        <v>37987</v>
      </c>
      <c r="B29" s="27">
        <v>13500</v>
      </c>
      <c r="C29" s="27">
        <v>126900</v>
      </c>
    </row>
    <row r="30" spans="1:9">
      <c r="A30" s="25">
        <v>38018</v>
      </c>
      <c r="B30" s="27">
        <v>12300</v>
      </c>
      <c r="C30" s="27">
        <v>108400</v>
      </c>
    </row>
    <row r="31" spans="1:9">
      <c r="A31" s="25">
        <v>38047</v>
      </c>
      <c r="B31" s="27">
        <v>14100</v>
      </c>
      <c r="C31" s="27">
        <v>119600</v>
      </c>
    </row>
    <row r="32" spans="1:9">
      <c r="A32" s="25">
        <v>38078</v>
      </c>
      <c r="B32" s="27">
        <v>19500</v>
      </c>
      <c r="C32" s="27">
        <v>131700</v>
      </c>
    </row>
    <row r="33" spans="1:3">
      <c r="A33" s="25">
        <v>38108</v>
      </c>
      <c r="B33" s="27">
        <v>17700</v>
      </c>
      <c r="C33" s="27">
        <v>139800</v>
      </c>
    </row>
    <row r="34" spans="1:3">
      <c r="A34" s="25">
        <v>38139</v>
      </c>
      <c r="B34" s="27">
        <v>17800</v>
      </c>
      <c r="C34" s="27">
        <v>144300</v>
      </c>
    </row>
    <row r="35" spans="1:3">
      <c r="A35" s="25">
        <v>38169</v>
      </c>
      <c r="B35" s="27">
        <v>17400</v>
      </c>
      <c r="C35" s="27">
        <v>140600</v>
      </c>
    </row>
    <row r="36" spans="1:3">
      <c r="A36" s="25">
        <v>38200</v>
      </c>
      <c r="B36" s="27">
        <v>15700</v>
      </c>
      <c r="C36" s="27">
        <v>126800</v>
      </c>
    </row>
    <row r="37" spans="1:3">
      <c r="A37" s="25">
        <v>38231</v>
      </c>
      <c r="B37" s="27">
        <v>16800</v>
      </c>
      <c r="C37" s="27">
        <v>137700</v>
      </c>
    </row>
    <row r="38" spans="1:3">
      <c r="A38" s="25">
        <v>38261</v>
      </c>
      <c r="B38" s="27">
        <v>17500</v>
      </c>
      <c r="C38" s="27">
        <v>134600</v>
      </c>
    </row>
    <row r="39" spans="1:3">
      <c r="A39" s="25">
        <v>38292</v>
      </c>
      <c r="B39" s="27">
        <v>15765</v>
      </c>
      <c r="C39" s="27">
        <v>132837</v>
      </c>
    </row>
    <row r="40" spans="1:3">
      <c r="A40" s="25">
        <v>38322</v>
      </c>
      <c r="B40" s="27">
        <v>18300</v>
      </c>
      <c r="C40" s="27">
        <v>142600</v>
      </c>
    </row>
    <row r="41" spans="1:3">
      <c r="A41" s="25">
        <v>38353</v>
      </c>
      <c r="B41" s="27">
        <v>17222</v>
      </c>
      <c r="C41" s="27">
        <v>150682</v>
      </c>
    </row>
    <row r="42" spans="1:3">
      <c r="A42" s="25">
        <v>38384</v>
      </c>
      <c r="B42" s="27">
        <v>20300</v>
      </c>
      <c r="C42" s="27">
        <v>161200</v>
      </c>
    </row>
    <row r="43" spans="1:3">
      <c r="A43" s="25">
        <v>38412</v>
      </c>
      <c r="B43" s="27">
        <v>19409</v>
      </c>
      <c r="C43" s="27">
        <v>144875</v>
      </c>
    </row>
    <row r="44" spans="1:3">
      <c r="A44" s="25">
        <v>38443</v>
      </c>
      <c r="B44" s="27">
        <v>18991</v>
      </c>
      <c r="C44" s="27">
        <v>144776</v>
      </c>
    </row>
    <row r="45" spans="1:3">
      <c r="A45" s="25">
        <v>38473</v>
      </c>
      <c r="B45" s="27">
        <v>19044</v>
      </c>
      <c r="C45" s="27">
        <v>137157</v>
      </c>
    </row>
    <row r="46" spans="1:3">
      <c r="A46" s="25">
        <v>38504</v>
      </c>
      <c r="B46" s="27">
        <v>19200</v>
      </c>
      <c r="C46" s="27">
        <v>141100</v>
      </c>
    </row>
    <row r="47" spans="1:3">
      <c r="A47" s="25">
        <v>38534</v>
      </c>
      <c r="B47" s="27">
        <v>17836</v>
      </c>
      <c r="C47" s="27">
        <v>136475</v>
      </c>
    </row>
    <row r="48" spans="1:3">
      <c r="A48" s="25">
        <v>38565</v>
      </c>
      <c r="B48" s="27">
        <v>17833</v>
      </c>
      <c r="C48" s="27">
        <v>140776.4</v>
      </c>
    </row>
    <row r="49" spans="1:28" ht="16">
      <c r="A49" s="25">
        <v>38596</v>
      </c>
      <c r="B49" s="27">
        <v>17830</v>
      </c>
      <c r="C49" s="27">
        <v>145077.79999999999</v>
      </c>
      <c r="L49" s="96">
        <v>1387</v>
      </c>
      <c r="M49" s="96">
        <v>1416</v>
      </c>
      <c r="N49" s="96">
        <v>1434</v>
      </c>
      <c r="O49" s="96">
        <v>1428</v>
      </c>
      <c r="P49" s="96">
        <v>1390</v>
      </c>
      <c r="Q49" s="96">
        <v>1388</v>
      </c>
      <c r="R49" s="96">
        <v>1340</v>
      </c>
      <c r="S49" s="96">
        <v>1402</v>
      </c>
      <c r="T49" s="96">
        <v>1419</v>
      </c>
      <c r="U49" s="96">
        <v>1431</v>
      </c>
      <c r="V49" s="96">
        <v>1425</v>
      </c>
      <c r="W49" s="96">
        <v>1400</v>
      </c>
      <c r="X49" s="96">
        <v>1382</v>
      </c>
      <c r="Y49" s="96">
        <v>1338</v>
      </c>
      <c r="Z49" s="96">
        <v>1314</v>
      </c>
      <c r="AA49" s="96">
        <v>1301</v>
      </c>
      <c r="AB49" s="97">
        <v>1282</v>
      </c>
    </row>
    <row r="50" spans="1:28">
      <c r="A50" s="25">
        <v>38626</v>
      </c>
      <c r="B50" s="27">
        <v>17827</v>
      </c>
      <c r="C50" s="27">
        <v>149379.19999999998</v>
      </c>
      <c r="L50" s="24">
        <f>L49*1000</f>
        <v>1387000</v>
      </c>
      <c r="M50" s="24">
        <f t="shared" ref="M50:AB50" si="1">M49*1000</f>
        <v>1416000</v>
      </c>
      <c r="N50" s="24">
        <f t="shared" si="1"/>
        <v>1434000</v>
      </c>
      <c r="O50" s="24">
        <f t="shared" si="1"/>
        <v>1428000</v>
      </c>
      <c r="P50" s="24">
        <f t="shared" si="1"/>
        <v>1390000</v>
      </c>
      <c r="Q50" s="24">
        <f t="shared" si="1"/>
        <v>1388000</v>
      </c>
      <c r="R50" s="24">
        <f t="shared" si="1"/>
        <v>1340000</v>
      </c>
      <c r="S50" s="24">
        <f t="shared" si="1"/>
        <v>1402000</v>
      </c>
      <c r="T50" s="24">
        <f t="shared" si="1"/>
        <v>1419000</v>
      </c>
      <c r="U50" s="24">
        <f t="shared" si="1"/>
        <v>1431000</v>
      </c>
      <c r="V50" s="24">
        <f t="shared" si="1"/>
        <v>1425000</v>
      </c>
      <c r="W50" s="24">
        <f t="shared" si="1"/>
        <v>1400000</v>
      </c>
      <c r="X50" s="24">
        <f t="shared" si="1"/>
        <v>1382000</v>
      </c>
      <c r="Y50" s="24">
        <f t="shared" si="1"/>
        <v>1338000</v>
      </c>
      <c r="Z50" s="24">
        <f t="shared" si="1"/>
        <v>1314000</v>
      </c>
      <c r="AA50" s="24">
        <f t="shared" si="1"/>
        <v>1301000</v>
      </c>
      <c r="AB50" s="24">
        <f t="shared" si="1"/>
        <v>1282000</v>
      </c>
    </row>
    <row r="51" spans="1:28">
      <c r="A51" s="25">
        <v>38657</v>
      </c>
      <c r="B51" s="27">
        <v>17824</v>
      </c>
      <c r="C51" s="27">
        <v>153680.59999999998</v>
      </c>
    </row>
    <row r="52" spans="1:28">
      <c r="A52" s="25">
        <v>38687</v>
      </c>
      <c r="B52" s="27">
        <v>17821</v>
      </c>
      <c r="C52" s="27">
        <v>157982</v>
      </c>
    </row>
    <row r="53" spans="1:28">
      <c r="A53" s="25">
        <v>38718</v>
      </c>
      <c r="B53" s="27">
        <v>18457</v>
      </c>
      <c r="C53" s="27">
        <v>153239</v>
      </c>
    </row>
    <row r="54" spans="1:28">
      <c r="A54" s="25">
        <v>38749</v>
      </c>
      <c r="B54" s="27">
        <v>20297</v>
      </c>
      <c r="C54" s="27">
        <v>137365</v>
      </c>
    </row>
    <row r="55" spans="1:28">
      <c r="A55" s="25">
        <v>38777</v>
      </c>
      <c r="B55" s="27">
        <v>22628</v>
      </c>
      <c r="C55" s="27">
        <v>129713</v>
      </c>
    </row>
    <row r="56" spans="1:28">
      <c r="A56" s="25">
        <v>38808</v>
      </c>
      <c r="B56" s="27">
        <v>21845</v>
      </c>
      <c r="C56" s="27">
        <v>129467</v>
      </c>
    </row>
    <row r="57" spans="1:28">
      <c r="A57" s="25">
        <v>38838</v>
      </c>
      <c r="B57" s="27">
        <v>22990</v>
      </c>
      <c r="C57" s="27">
        <v>130231</v>
      </c>
    </row>
    <row r="58" spans="1:28">
      <c r="A58" s="25">
        <v>38869</v>
      </c>
      <c r="B58" s="27">
        <v>21733</v>
      </c>
      <c r="C58" s="27">
        <v>128789</v>
      </c>
    </row>
    <row r="59" spans="1:28">
      <c r="A59" s="25">
        <v>38899</v>
      </c>
      <c r="B59" s="27">
        <v>22103</v>
      </c>
      <c r="C59" s="27">
        <v>124876</v>
      </c>
    </row>
    <row r="60" spans="1:28">
      <c r="A60" s="25">
        <v>38930</v>
      </c>
      <c r="B60" s="27">
        <v>20764</v>
      </c>
      <c r="C60" s="27">
        <v>131057</v>
      </c>
    </row>
    <row r="61" spans="1:28">
      <c r="A61" s="25">
        <v>38961</v>
      </c>
      <c r="B61" s="27">
        <v>18611</v>
      </c>
      <c r="C61" s="27">
        <v>140264</v>
      </c>
    </row>
    <row r="62" spans="1:28">
      <c r="A62" s="25">
        <v>38991</v>
      </c>
      <c r="B62" s="27">
        <v>19090</v>
      </c>
      <c r="C62" s="27">
        <v>139421</v>
      </c>
    </row>
    <row r="63" spans="1:28">
      <c r="A63" s="25">
        <v>39022</v>
      </c>
      <c r="B63" s="27">
        <v>19791</v>
      </c>
      <c r="C63" s="27">
        <v>147796</v>
      </c>
    </row>
    <row r="64" spans="1:28">
      <c r="A64" s="25">
        <v>39052</v>
      </c>
      <c r="B64" s="27">
        <v>20502</v>
      </c>
      <c r="C64" s="27">
        <v>133718</v>
      </c>
    </row>
    <row r="65" spans="1:3">
      <c r="A65" s="25">
        <v>39083</v>
      </c>
      <c r="B65" s="27">
        <v>20947</v>
      </c>
      <c r="C65" s="27">
        <v>128569</v>
      </c>
    </row>
    <row r="66" spans="1:3">
      <c r="A66" s="25">
        <v>39114</v>
      </c>
      <c r="B66" s="27">
        <v>25876</v>
      </c>
      <c r="C66" s="27">
        <v>134754</v>
      </c>
    </row>
    <row r="67" spans="1:3">
      <c r="A67" s="25">
        <v>39142</v>
      </c>
      <c r="B67" s="27">
        <v>24845</v>
      </c>
      <c r="C67" s="27">
        <v>137976</v>
      </c>
    </row>
    <row r="68" spans="1:3">
      <c r="A68" s="25">
        <v>39173</v>
      </c>
      <c r="B68" s="27">
        <v>24310</v>
      </c>
      <c r="C68" s="27">
        <v>144486</v>
      </c>
    </row>
    <row r="69" spans="1:3">
      <c r="A69" s="25">
        <v>39203</v>
      </c>
      <c r="B69" s="27">
        <v>24060</v>
      </c>
      <c r="C69" s="27">
        <v>144202</v>
      </c>
    </row>
    <row r="70" spans="1:3">
      <c r="A70" s="25">
        <v>39234</v>
      </c>
      <c r="B70" s="27">
        <v>26480</v>
      </c>
      <c r="C70" s="27">
        <v>150336</v>
      </c>
    </row>
    <row r="71" spans="1:3">
      <c r="A71" s="25">
        <v>39264</v>
      </c>
      <c r="B71" s="27">
        <v>23881</v>
      </c>
      <c r="C71" s="27">
        <v>156247</v>
      </c>
    </row>
    <row r="72" spans="1:3">
      <c r="A72" s="25">
        <v>39295</v>
      </c>
      <c r="B72" s="27">
        <v>24008</v>
      </c>
      <c r="C72" s="27">
        <v>157674</v>
      </c>
    </row>
    <row r="73" spans="1:3">
      <c r="A73" s="25">
        <v>39326</v>
      </c>
      <c r="B73" s="27">
        <v>24056</v>
      </c>
      <c r="C73" s="27">
        <v>165607</v>
      </c>
    </row>
    <row r="74" spans="1:3">
      <c r="A74" s="25">
        <v>39356</v>
      </c>
      <c r="B74" s="27">
        <v>24605</v>
      </c>
      <c r="C74" s="27">
        <v>164353</v>
      </c>
    </row>
    <row r="75" spans="1:3">
      <c r="A75" s="25">
        <v>39387</v>
      </c>
      <c r="B75" s="27">
        <v>24474</v>
      </c>
      <c r="C75" s="27">
        <v>164424</v>
      </c>
    </row>
    <row r="76" spans="1:3">
      <c r="A76" s="25">
        <v>39417</v>
      </c>
      <c r="B76" s="27">
        <v>24780</v>
      </c>
      <c r="C76" s="27">
        <v>161783</v>
      </c>
    </row>
    <row r="77" spans="1:3">
      <c r="A77" s="25">
        <v>39448</v>
      </c>
      <c r="B77" s="27">
        <v>26607</v>
      </c>
      <c r="C77" s="27">
        <v>155846</v>
      </c>
    </row>
    <row r="78" spans="1:3">
      <c r="A78" s="25">
        <v>39479</v>
      </c>
      <c r="B78" s="27">
        <v>28050</v>
      </c>
      <c r="C78" s="27">
        <v>158400</v>
      </c>
    </row>
    <row r="79" spans="1:3">
      <c r="A79" s="25">
        <v>39508</v>
      </c>
      <c r="B79" s="27">
        <v>28650</v>
      </c>
      <c r="C79" s="27">
        <v>159700</v>
      </c>
    </row>
    <row r="80" spans="1:3">
      <c r="A80" s="25">
        <v>39539</v>
      </c>
      <c r="B80" s="27">
        <v>33000</v>
      </c>
      <c r="C80" s="27">
        <v>162400</v>
      </c>
    </row>
    <row r="81" spans="1:3">
      <c r="A81" s="25">
        <v>39569</v>
      </c>
      <c r="B81" s="28">
        <v>35602</v>
      </c>
      <c r="C81" s="28">
        <v>158900</v>
      </c>
    </row>
    <row r="82" spans="1:3">
      <c r="A82" s="25">
        <v>39600</v>
      </c>
      <c r="B82" s="28">
        <v>33902</v>
      </c>
      <c r="C82" s="28">
        <v>153300</v>
      </c>
    </row>
    <row r="83" spans="1:3">
      <c r="A83" s="25">
        <v>39630</v>
      </c>
      <c r="B83" s="28">
        <v>33600</v>
      </c>
      <c r="C83" s="28">
        <v>147400</v>
      </c>
    </row>
    <row r="84" spans="1:3">
      <c r="A84" s="25">
        <v>39661</v>
      </c>
      <c r="B84" s="28">
        <v>34200</v>
      </c>
      <c r="C84" s="28">
        <v>145000</v>
      </c>
    </row>
    <row r="85" spans="1:3">
      <c r="A85" s="25">
        <v>39692</v>
      </c>
      <c r="B85" s="28">
        <v>33450</v>
      </c>
      <c r="C85" s="28">
        <v>146900</v>
      </c>
    </row>
    <row r="86" spans="1:3">
      <c r="A86" s="25">
        <v>39722</v>
      </c>
      <c r="B86" s="28">
        <v>33125</v>
      </c>
      <c r="C86" s="28">
        <v>147700</v>
      </c>
    </row>
    <row r="87" spans="1:3">
      <c r="A87" s="25">
        <v>39753</v>
      </c>
      <c r="B87" s="28">
        <v>32812.5</v>
      </c>
      <c r="C87" s="28">
        <v>148100</v>
      </c>
    </row>
    <row r="88" spans="1:3">
      <c r="A88" s="25">
        <v>39783</v>
      </c>
      <c r="B88" s="28">
        <v>32500</v>
      </c>
      <c r="C88" s="28">
        <v>148500</v>
      </c>
    </row>
    <row r="89" spans="1:3">
      <c r="A89" s="25">
        <v>39814</v>
      </c>
      <c r="B89" s="28">
        <v>32800</v>
      </c>
      <c r="C89" s="28">
        <v>144100</v>
      </c>
    </row>
    <row r="90" spans="1:3">
      <c r="A90" s="25">
        <v>39845</v>
      </c>
      <c r="B90" s="28">
        <v>35900</v>
      </c>
      <c r="C90" s="28">
        <v>146400</v>
      </c>
    </row>
    <row r="91" spans="1:3">
      <c r="A91" s="25">
        <v>39873</v>
      </c>
      <c r="B91" s="28">
        <v>38350</v>
      </c>
      <c r="C91" s="28">
        <v>141300</v>
      </c>
    </row>
    <row r="92" spans="1:3">
      <c r="A92" s="25">
        <v>39904</v>
      </c>
      <c r="B92" s="28">
        <v>39000</v>
      </c>
      <c r="C92" s="28">
        <v>139400</v>
      </c>
    </row>
    <row r="93" spans="1:3">
      <c r="A93" s="25">
        <v>39934</v>
      </c>
      <c r="B93" s="28">
        <v>44700</v>
      </c>
      <c r="C93" s="28">
        <v>134100</v>
      </c>
    </row>
    <row r="94" spans="1:3">
      <c r="A94" s="25">
        <v>39965</v>
      </c>
      <c r="B94" s="28">
        <v>55100</v>
      </c>
      <c r="C94" s="28">
        <v>134500</v>
      </c>
    </row>
    <row r="95" spans="1:3">
      <c r="A95" s="25">
        <v>39995</v>
      </c>
      <c r="B95" s="28">
        <v>56500</v>
      </c>
      <c r="C95" s="28">
        <v>132300</v>
      </c>
    </row>
    <row r="96" spans="1:3">
      <c r="A96" s="25">
        <v>40026</v>
      </c>
      <c r="B96" s="28">
        <v>62600</v>
      </c>
      <c r="C96" s="28">
        <v>132600</v>
      </c>
    </row>
    <row r="97" spans="1:3">
      <c r="A97" s="25">
        <v>40057</v>
      </c>
      <c r="B97" s="28">
        <v>62300</v>
      </c>
      <c r="C97" s="28">
        <v>129200</v>
      </c>
    </row>
    <row r="98" spans="1:3">
      <c r="A98" s="25">
        <v>40087</v>
      </c>
      <c r="B98" s="28">
        <v>65800</v>
      </c>
      <c r="C98" s="28">
        <v>120300</v>
      </c>
    </row>
    <row r="99" spans="1:3">
      <c r="A99" s="25">
        <v>40118</v>
      </c>
      <c r="B99" s="28">
        <v>67500</v>
      </c>
      <c r="C99" s="28">
        <v>119700</v>
      </c>
    </row>
    <row r="100" spans="1:3">
      <c r="A100" s="25">
        <v>40148</v>
      </c>
      <c r="B100" s="28">
        <v>69000</v>
      </c>
      <c r="C100" s="28">
        <v>114300</v>
      </c>
    </row>
    <row r="101" spans="1:3">
      <c r="A101" s="25">
        <v>40179</v>
      </c>
      <c r="B101" s="28">
        <v>70200</v>
      </c>
      <c r="C101" s="28">
        <v>112400</v>
      </c>
    </row>
    <row r="102" spans="1:3">
      <c r="A102" s="25">
        <v>40210</v>
      </c>
      <c r="B102" s="28">
        <v>74600</v>
      </c>
      <c r="C102" s="28">
        <v>101100</v>
      </c>
    </row>
    <row r="103" spans="1:3">
      <c r="A103" s="25">
        <v>40238</v>
      </c>
      <c r="B103" s="28">
        <v>79100</v>
      </c>
      <c r="C103" s="28">
        <v>95900</v>
      </c>
    </row>
    <row r="104" spans="1:3">
      <c r="A104" s="25">
        <v>40269</v>
      </c>
      <c r="B104" s="28">
        <v>87600</v>
      </c>
      <c r="C104" s="28">
        <v>98850</v>
      </c>
    </row>
    <row r="105" spans="1:3">
      <c r="A105" s="25">
        <v>40299</v>
      </c>
      <c r="B105" s="28">
        <v>89700</v>
      </c>
      <c r="C105" s="28">
        <v>94250</v>
      </c>
    </row>
    <row r="106" spans="1:3">
      <c r="A106" s="25">
        <v>40330</v>
      </c>
      <c r="B106" s="28">
        <v>93800</v>
      </c>
      <c r="C106" s="28">
        <v>88320</v>
      </c>
    </row>
    <row r="107" spans="1:3">
      <c r="A107" s="25">
        <v>40360</v>
      </c>
      <c r="B107" s="28">
        <v>93800</v>
      </c>
      <c r="C107" s="28">
        <v>80620</v>
      </c>
    </row>
    <row r="108" spans="1:3">
      <c r="A108" s="25">
        <v>40391</v>
      </c>
      <c r="B108" s="28">
        <v>90800</v>
      </c>
      <c r="C108" s="28">
        <v>60710</v>
      </c>
    </row>
    <row r="109" spans="1:3">
      <c r="A109" s="25">
        <v>40422</v>
      </c>
      <c r="B109" s="28">
        <v>96600</v>
      </c>
      <c r="C109" s="28">
        <v>48810</v>
      </c>
    </row>
    <row r="110" spans="1:3">
      <c r="A110" s="25">
        <v>40452</v>
      </c>
      <c r="B110" s="28">
        <v>96200</v>
      </c>
      <c r="C110" s="28">
        <v>47810</v>
      </c>
    </row>
    <row r="111" spans="1:3">
      <c r="A111" s="25">
        <v>40483</v>
      </c>
      <c r="B111" s="28">
        <v>97600</v>
      </c>
      <c r="C111" s="28">
        <v>48410</v>
      </c>
    </row>
    <row r="112" spans="1:3">
      <c r="A112" s="25">
        <v>40513</v>
      </c>
      <c r="B112" s="28">
        <v>96900</v>
      </c>
      <c r="C112" s="28">
        <v>47305</v>
      </c>
    </row>
    <row r="113" spans="1:3">
      <c r="A113" s="25">
        <v>40544</v>
      </c>
      <c r="B113" s="28">
        <v>96700</v>
      </c>
      <c r="C113" s="28">
        <v>46705</v>
      </c>
    </row>
    <row r="114" spans="1:3">
      <c r="A114" s="25">
        <v>40575</v>
      </c>
      <c r="B114" s="28">
        <v>99500</v>
      </c>
      <c r="C114" s="28">
        <v>46805</v>
      </c>
    </row>
    <row r="115" spans="1:3">
      <c r="A115" s="25">
        <v>40603</v>
      </c>
      <c r="B115" s="28">
        <v>99800</v>
      </c>
      <c r="C115" s="28">
        <v>45660</v>
      </c>
    </row>
    <row r="116" spans="1:3">
      <c r="A116" s="25">
        <v>40634</v>
      </c>
      <c r="B116" s="28">
        <v>99300</v>
      </c>
      <c r="C116" s="28">
        <v>46360</v>
      </c>
    </row>
    <row r="117" spans="1:3">
      <c r="A117" s="25">
        <v>40664</v>
      </c>
      <c r="B117" s="28">
        <v>99500</v>
      </c>
      <c r="C117" s="28">
        <v>48110</v>
      </c>
    </row>
    <row r="118" spans="1:3">
      <c r="A118" s="25">
        <v>40695</v>
      </c>
      <c r="B118" s="28">
        <v>98900</v>
      </c>
      <c r="C118" s="28">
        <v>46010</v>
      </c>
    </row>
    <row r="119" spans="1:3">
      <c r="A119" s="25">
        <v>40725</v>
      </c>
      <c r="B119" s="28">
        <v>98500</v>
      </c>
      <c r="C119" s="28">
        <v>45510</v>
      </c>
    </row>
    <row r="120" spans="1:3">
      <c r="A120" s="25">
        <v>40756</v>
      </c>
      <c r="B120" s="28">
        <v>98100</v>
      </c>
      <c r="C120" s="28">
        <v>45605</v>
      </c>
    </row>
    <row r="121" spans="1:3">
      <c r="A121" s="25">
        <v>40787</v>
      </c>
      <c r="B121" s="28">
        <v>98200</v>
      </c>
      <c r="C121" s="28">
        <v>44755</v>
      </c>
    </row>
    <row r="122" spans="1:3">
      <c r="A122" s="25">
        <v>40817</v>
      </c>
      <c r="B122" s="28">
        <v>97800</v>
      </c>
      <c r="C122" s="28">
        <v>42455</v>
      </c>
    </row>
    <row r="123" spans="1:3">
      <c r="A123" s="25">
        <v>40848</v>
      </c>
      <c r="B123" s="28">
        <v>97700</v>
      </c>
      <c r="C123" s="28">
        <v>33835</v>
      </c>
    </row>
    <row r="124" spans="1:3">
      <c r="A124" s="25">
        <v>40878</v>
      </c>
      <c r="B124" s="28">
        <v>94100</v>
      </c>
      <c r="C124" s="28">
        <v>11455</v>
      </c>
    </row>
    <row r="125" spans="1:3">
      <c r="A125" s="25">
        <v>40909</v>
      </c>
      <c r="B125" s="28">
        <v>88300</v>
      </c>
      <c r="C125" s="28">
        <v>0</v>
      </c>
    </row>
    <row r="126" spans="1:3">
      <c r="A126" s="25">
        <v>40940</v>
      </c>
      <c r="B126" s="28">
        <v>89300</v>
      </c>
      <c r="C126" s="28">
        <v>0</v>
      </c>
    </row>
    <row r="127" spans="1:3">
      <c r="A127" s="25">
        <v>40969</v>
      </c>
      <c r="B127" s="28">
        <v>88200</v>
      </c>
      <c r="C127" s="28">
        <v>0</v>
      </c>
    </row>
    <row r="128" spans="1:3">
      <c r="A128" s="25">
        <v>41000</v>
      </c>
      <c r="B128" s="28">
        <v>88000</v>
      </c>
      <c r="C128" s="28">
        <v>0</v>
      </c>
    </row>
    <row r="129" spans="1:3">
      <c r="A129" s="25">
        <v>41030</v>
      </c>
      <c r="B129" s="28">
        <v>87400</v>
      </c>
      <c r="C129" s="28">
        <v>0</v>
      </c>
    </row>
    <row r="130" spans="1:3">
      <c r="A130" s="25">
        <v>41061</v>
      </c>
      <c r="B130" s="28">
        <v>85600</v>
      </c>
      <c r="C130" s="28">
        <v>0</v>
      </c>
    </row>
    <row r="131" spans="1:3">
      <c r="A131" s="25">
        <v>41091</v>
      </c>
      <c r="B131" s="28">
        <v>85300</v>
      </c>
      <c r="C131" s="28">
        <v>0</v>
      </c>
    </row>
    <row r="132" spans="1:3">
      <c r="A132" s="25">
        <v>41122</v>
      </c>
      <c r="B132" s="28">
        <v>84000</v>
      </c>
      <c r="C132" s="28">
        <v>0</v>
      </c>
    </row>
    <row r="133" spans="1:3">
      <c r="A133" s="25">
        <v>41153</v>
      </c>
      <c r="B133" s="28">
        <v>76500</v>
      </c>
      <c r="C133" s="28">
        <v>0</v>
      </c>
    </row>
    <row r="134" spans="1:3">
      <c r="A134" s="25">
        <v>41183</v>
      </c>
      <c r="B134" s="28">
        <v>65900</v>
      </c>
      <c r="C134" s="28">
        <v>0</v>
      </c>
    </row>
    <row r="135" spans="1:3">
      <c r="A135" s="25">
        <v>41214</v>
      </c>
      <c r="B135" s="28">
        <v>66000</v>
      </c>
      <c r="C135" s="28">
        <v>0</v>
      </c>
    </row>
    <row r="136" spans="1:3">
      <c r="A136" s="25">
        <v>41244</v>
      </c>
      <c r="B136" s="28">
        <v>65800</v>
      </c>
      <c r="C136" s="28">
        <v>0</v>
      </c>
    </row>
    <row r="137" spans="1:3">
      <c r="A137" s="25">
        <v>41275</v>
      </c>
      <c r="B137" s="28">
        <v>65300</v>
      </c>
      <c r="C137" s="28">
        <v>0</v>
      </c>
    </row>
    <row r="138" spans="1:3">
      <c r="A138" s="25">
        <v>41306</v>
      </c>
      <c r="B138" s="28">
        <v>66800</v>
      </c>
      <c r="C138" s="28">
        <v>0</v>
      </c>
    </row>
    <row r="139" spans="1:3">
      <c r="A139" s="25">
        <v>41334</v>
      </c>
      <c r="B139" s="28">
        <v>65700</v>
      </c>
      <c r="C139" s="28">
        <v>0</v>
      </c>
    </row>
    <row r="140" spans="1:3">
      <c r="A140" s="25">
        <v>41365</v>
      </c>
      <c r="B140" s="28">
        <v>63500</v>
      </c>
      <c r="C140" s="28">
        <v>0</v>
      </c>
    </row>
    <row r="141" spans="1:3">
      <c r="A141" s="25">
        <v>41395</v>
      </c>
      <c r="B141" s="28">
        <v>63500</v>
      </c>
      <c r="C141" s="28">
        <v>0</v>
      </c>
    </row>
    <row r="142" spans="1:3">
      <c r="A142" s="25">
        <v>41426</v>
      </c>
      <c r="B142" s="28">
        <v>61300</v>
      </c>
      <c r="C142" s="28">
        <v>0</v>
      </c>
    </row>
    <row r="143" spans="1:3">
      <c r="A143" s="25">
        <v>41456</v>
      </c>
      <c r="B143" s="28">
        <v>60000</v>
      </c>
      <c r="C143" s="28">
        <v>0</v>
      </c>
    </row>
    <row r="144" spans="1:3">
      <c r="A144" s="25">
        <v>41487</v>
      </c>
      <c r="B144" s="28">
        <v>60900</v>
      </c>
      <c r="C144" s="28">
        <v>0</v>
      </c>
    </row>
    <row r="145" spans="1:3">
      <c r="A145" s="25">
        <v>41518</v>
      </c>
      <c r="B145" s="28">
        <v>55800</v>
      </c>
      <c r="C145" s="28">
        <v>0</v>
      </c>
    </row>
    <row r="146" spans="1:3">
      <c r="A146" s="25">
        <v>41548</v>
      </c>
      <c r="B146" s="28">
        <v>51200</v>
      </c>
      <c r="C146" s="28">
        <v>0</v>
      </c>
    </row>
    <row r="147" spans="1:3">
      <c r="A147" s="25">
        <v>41579</v>
      </c>
      <c r="B147" s="28">
        <v>48000</v>
      </c>
      <c r="C147" s="28">
        <v>0</v>
      </c>
    </row>
    <row r="148" spans="1:3">
      <c r="A148" s="25">
        <v>41609</v>
      </c>
      <c r="B148" s="28">
        <v>43300</v>
      </c>
      <c r="C148" s="28">
        <v>0</v>
      </c>
    </row>
    <row r="149" spans="1:3">
      <c r="A149" s="25">
        <v>41640</v>
      </c>
      <c r="B149" s="28">
        <v>37600</v>
      </c>
      <c r="C149" s="28">
        <v>0</v>
      </c>
    </row>
    <row r="150" spans="1:3">
      <c r="A150" s="25">
        <v>41671</v>
      </c>
      <c r="B150" s="28">
        <v>33200</v>
      </c>
      <c r="C150" s="28">
        <v>0</v>
      </c>
    </row>
    <row r="151" spans="1:3">
      <c r="A151" s="25">
        <v>41699</v>
      </c>
      <c r="B151" s="28">
        <v>33200</v>
      </c>
      <c r="C151" s="28">
        <v>0</v>
      </c>
    </row>
    <row r="152" spans="1:3">
      <c r="A152" s="25">
        <v>41730</v>
      </c>
      <c r="B152" s="28">
        <v>32900</v>
      </c>
      <c r="C152" s="28">
        <v>0</v>
      </c>
    </row>
    <row r="153" spans="1:3">
      <c r="A153" s="25">
        <v>41760</v>
      </c>
      <c r="B153" s="28">
        <v>32500</v>
      </c>
      <c r="C153" s="28">
        <v>0</v>
      </c>
    </row>
    <row r="154" spans="1:3">
      <c r="A154" s="25">
        <v>41791</v>
      </c>
      <c r="B154" s="28">
        <v>31400</v>
      </c>
      <c r="C154" s="28">
        <v>0</v>
      </c>
    </row>
    <row r="155" spans="1:3">
      <c r="A155" s="25">
        <v>41821</v>
      </c>
      <c r="B155" s="28">
        <v>30400</v>
      </c>
      <c r="C155" s="28">
        <v>0</v>
      </c>
    </row>
    <row r="156" spans="1:3">
      <c r="A156" s="25">
        <v>41852</v>
      </c>
      <c r="B156" s="28">
        <v>29600</v>
      </c>
      <c r="C156" s="28">
        <v>0</v>
      </c>
    </row>
    <row r="157" spans="1:3">
      <c r="A157" s="25">
        <v>41883</v>
      </c>
      <c r="B157" s="28">
        <v>27800</v>
      </c>
      <c r="C157" s="28">
        <v>0</v>
      </c>
    </row>
    <row r="158" spans="1:3">
      <c r="A158" s="25">
        <v>41913</v>
      </c>
      <c r="B158" s="28">
        <v>23000</v>
      </c>
      <c r="C158" s="28">
        <v>0</v>
      </c>
    </row>
    <row r="159" spans="1:3">
      <c r="A159" s="25">
        <v>41944</v>
      </c>
      <c r="B159" s="28">
        <v>17700</v>
      </c>
      <c r="C159" s="28">
        <v>0</v>
      </c>
    </row>
    <row r="160" spans="1:3">
      <c r="A160" s="25">
        <v>41974</v>
      </c>
      <c r="B160" s="28">
        <v>10600</v>
      </c>
      <c r="C160" s="28">
        <v>0</v>
      </c>
    </row>
    <row r="161" spans="1:3">
      <c r="A161" s="25">
        <v>42005</v>
      </c>
      <c r="B161" s="28">
        <v>9100</v>
      </c>
      <c r="C161" s="28">
        <v>0</v>
      </c>
    </row>
    <row r="162" spans="1:3">
      <c r="A162" s="25">
        <v>42036</v>
      </c>
      <c r="B162" s="28">
        <v>9200</v>
      </c>
      <c r="C162" s="28">
        <v>0</v>
      </c>
    </row>
    <row r="163" spans="1:3">
      <c r="A163" s="25">
        <v>42064</v>
      </c>
      <c r="B163" s="28">
        <v>9100</v>
      </c>
      <c r="C163" s="28">
        <v>0</v>
      </c>
    </row>
    <row r="164" spans="1:3">
      <c r="A164" s="25">
        <v>42095</v>
      </c>
      <c r="B164" s="28">
        <v>9100</v>
      </c>
      <c r="C164" s="28">
        <v>0</v>
      </c>
    </row>
    <row r="165" spans="1:3">
      <c r="A165" s="25">
        <v>42125</v>
      </c>
      <c r="B165" s="28">
        <v>9110</v>
      </c>
      <c r="C165" s="28">
        <v>0</v>
      </c>
    </row>
    <row r="166" spans="1:3">
      <c r="A166" s="25">
        <v>42156</v>
      </c>
      <c r="B166" s="28">
        <v>9060</v>
      </c>
      <c r="C166" s="28">
        <v>0</v>
      </c>
    </row>
    <row r="167" spans="1:3">
      <c r="A167" s="25">
        <v>42186</v>
      </c>
      <c r="B167" s="28">
        <v>9060</v>
      </c>
      <c r="C167" s="28">
        <v>0</v>
      </c>
    </row>
    <row r="168" spans="1:3">
      <c r="A168" s="25">
        <v>42217</v>
      </c>
      <c r="B168" s="29">
        <v>9000</v>
      </c>
      <c r="C168" s="28">
        <v>0</v>
      </c>
    </row>
    <row r="169" spans="1:3">
      <c r="A169" s="25">
        <v>42248</v>
      </c>
      <c r="B169" s="29">
        <v>9100</v>
      </c>
      <c r="C169" s="28">
        <v>0</v>
      </c>
    </row>
    <row r="170" spans="1:3">
      <c r="A170" s="25">
        <v>42278</v>
      </c>
      <c r="B170" s="29">
        <v>9100</v>
      </c>
      <c r="C170" s="28">
        <v>0</v>
      </c>
    </row>
    <row r="171" spans="1:3">
      <c r="A171" s="25">
        <v>42309</v>
      </c>
      <c r="B171" s="29">
        <v>9010</v>
      </c>
      <c r="C171" s="28">
        <v>0</v>
      </c>
    </row>
    <row r="172" spans="1:3">
      <c r="A172" s="25">
        <v>42339</v>
      </c>
      <c r="B172" s="29">
        <v>8930</v>
      </c>
      <c r="C172" s="28">
        <v>0</v>
      </c>
    </row>
    <row r="173" spans="1:3">
      <c r="A173" s="25">
        <v>42370</v>
      </c>
      <c r="B173" s="28">
        <v>8820</v>
      </c>
      <c r="C173" s="28">
        <v>0</v>
      </c>
    </row>
    <row r="174" spans="1:3">
      <c r="A174" s="25">
        <v>42401</v>
      </c>
      <c r="B174" s="28">
        <v>8830</v>
      </c>
      <c r="C174" s="28">
        <v>0</v>
      </c>
    </row>
    <row r="180" spans="1:11">
      <c r="A180" s="404" t="s">
        <v>389</v>
      </c>
      <c r="B180" s="404"/>
      <c r="C180" s="404"/>
      <c r="H180" s="24" t="s">
        <v>582</v>
      </c>
      <c r="J180" s="24" t="s">
        <v>581</v>
      </c>
    </row>
    <row r="181" spans="1:11" ht="17">
      <c r="A181" s="31" t="s">
        <v>390</v>
      </c>
      <c r="B181" s="32" t="s">
        <v>391</v>
      </c>
      <c r="C181" s="32" t="s">
        <v>392</v>
      </c>
      <c r="D181" s="91" t="s">
        <v>592</v>
      </c>
      <c r="G181" s="24" t="s">
        <v>432</v>
      </c>
      <c r="H181" s="24" t="s">
        <v>630</v>
      </c>
      <c r="I181" s="24" t="s">
        <v>631</v>
      </c>
      <c r="J181" s="24" t="s">
        <v>630</v>
      </c>
      <c r="K181" s="24" t="s">
        <v>631</v>
      </c>
    </row>
    <row r="182" spans="1:11" ht="16">
      <c r="A182" s="33" t="s">
        <v>393</v>
      </c>
      <c r="B182" s="34">
        <v>24056</v>
      </c>
      <c r="C182" s="34">
        <v>29473</v>
      </c>
      <c r="D182" s="90">
        <f>Table1[[#This Row],[ Contractors]]/Table1[[#This Row],[Uniformed Military]]</f>
        <v>1.2251829065513802</v>
      </c>
      <c r="G182" s="24">
        <v>2007</v>
      </c>
      <c r="H182" s="24">
        <f>AVERAGE(Table1[[#This Row],[Uniformed Military]])</f>
        <v>24056</v>
      </c>
      <c r="I182" s="24">
        <f>AVERAGE(Table1[[#This Row],[ Contractors]])</f>
        <v>29473</v>
      </c>
      <c r="J182" s="36">
        <f>AVERAGE(B219)</f>
        <v>169000</v>
      </c>
      <c r="K182" s="36">
        <f>AVERAGE(C219)</f>
        <v>154825</v>
      </c>
    </row>
    <row r="183" spans="1:11" ht="16">
      <c r="A183" s="33" t="s">
        <v>394</v>
      </c>
      <c r="B183" s="34">
        <v>24780</v>
      </c>
      <c r="C183" s="34">
        <v>36520</v>
      </c>
      <c r="D183" s="90">
        <f>Table1[[#This Row],[ Contractors]]/Table1[[#This Row],[Uniformed Military]]</f>
        <v>1.473769168684423</v>
      </c>
      <c r="G183" s="24">
        <v>2008</v>
      </c>
      <c r="H183" s="36">
        <f>AVERAGE(B183:B186)</f>
        <v>30195.5</v>
      </c>
      <c r="I183" s="36">
        <f>AVERAGE(C183:C186)</f>
        <v>49585</v>
      </c>
      <c r="J183" s="36">
        <f>AVERAGE(B220:B223)</f>
        <v>156575</v>
      </c>
      <c r="K183" s="36">
        <f>AVERAGE(C220:C223)</f>
        <v>159710.75</v>
      </c>
    </row>
    <row r="184" spans="1:11" ht="16">
      <c r="A184" s="33" t="s">
        <v>395</v>
      </c>
      <c r="B184" s="34">
        <v>28650</v>
      </c>
      <c r="C184" s="34">
        <v>52336</v>
      </c>
      <c r="D184" s="90">
        <f>Table1[[#This Row],[ Contractors]]/Table1[[#This Row],[Uniformed Military]]</f>
        <v>1.8267364746945898</v>
      </c>
      <c r="G184" s="24">
        <v>2009</v>
      </c>
      <c r="H184" s="36">
        <f>AVERAGE(B187:B190)</f>
        <v>47062.5</v>
      </c>
      <c r="I184" s="36">
        <f>AVERAGE(C187:C190)</f>
        <v>79505.25</v>
      </c>
      <c r="J184" s="36">
        <f>AVERAGE(B224:B227)</f>
        <v>138592.75</v>
      </c>
      <c r="K184" s="36">
        <f>AVERAGE(C224:C227)</f>
        <v>128524.25</v>
      </c>
    </row>
    <row r="185" spans="1:11" ht="16">
      <c r="A185" s="33" t="s">
        <v>396</v>
      </c>
      <c r="B185" s="34">
        <v>33902</v>
      </c>
      <c r="C185" s="34">
        <v>41232</v>
      </c>
      <c r="D185" s="90">
        <f>Table1[[#This Row],[ Contractors]]/Table1[[#This Row],[Uniformed Military]]</f>
        <v>1.2162114329538081</v>
      </c>
      <c r="G185" s="24">
        <v>2010</v>
      </c>
      <c r="H185" s="36">
        <f>AVERAGE(B191:B194)</f>
        <v>84625</v>
      </c>
      <c r="I185" s="36">
        <f>AVERAGE(C191:C194)</f>
        <v>99365.5</v>
      </c>
      <c r="J185" s="36">
        <f>AVERAGE(B228:B231)</f>
        <v>86732.5</v>
      </c>
      <c r="K185" s="36">
        <f>AVERAGE(C228:C231)</f>
        <v>87305.75</v>
      </c>
    </row>
    <row r="186" spans="1:11" ht="16">
      <c r="A186" s="33" t="s">
        <v>397</v>
      </c>
      <c r="B186" s="34">
        <v>33450</v>
      </c>
      <c r="C186" s="34">
        <v>68252</v>
      </c>
      <c r="D186" s="90">
        <f>Table1[[#This Row],[ Contractors]]/Table1[[#This Row],[Uniformed Military]]</f>
        <v>2.0404185351270554</v>
      </c>
      <c r="G186" s="24">
        <v>2011</v>
      </c>
      <c r="H186" s="36">
        <f>AVERAGE(B195:B198)</f>
        <v>98450</v>
      </c>
      <c r="I186" s="36">
        <f>AVERAGE(C195:C198)</f>
        <v>93182.25</v>
      </c>
      <c r="J186" s="36">
        <f>AVERAGE(B232:B235)</f>
        <v>45932.5</v>
      </c>
      <c r="K186" s="36">
        <f>AVERAGE(C232:C235)</f>
        <v>62680.25</v>
      </c>
    </row>
    <row r="187" spans="1:11" ht="16">
      <c r="A187" s="33" t="s">
        <v>398</v>
      </c>
      <c r="B187" s="34">
        <v>32500</v>
      </c>
      <c r="C187" s="34">
        <v>71755</v>
      </c>
      <c r="D187" s="90">
        <f>Table1[[#This Row],[ Contractors]]/Table1[[#This Row],[Uniformed Military]]</f>
        <v>2.207846153846154</v>
      </c>
      <c r="G187" s="24">
        <v>2012</v>
      </c>
      <c r="H187" s="36">
        <f>AVERAGE(B199:B202)</f>
        <v>86100</v>
      </c>
      <c r="I187" s="36">
        <f>AVERAGE(C199:C202)</f>
        <v>113504.5</v>
      </c>
      <c r="J187" s="36">
        <f>AVERAGE(B236)</f>
        <v>11445</v>
      </c>
      <c r="K187" s="36">
        <f>AVERAGE(C236:C239)</f>
        <v>12797.25</v>
      </c>
    </row>
    <row r="188" spans="1:11" ht="16">
      <c r="A188" s="33" t="s">
        <v>399</v>
      </c>
      <c r="B188" s="34">
        <v>38350</v>
      </c>
      <c r="C188" s="34">
        <v>68197</v>
      </c>
      <c r="D188" s="90">
        <f>Table1[[#This Row],[ Contractors]]/Table1[[#This Row],[Uniformed Military]]</f>
        <v>1.7782790091264669</v>
      </c>
      <c r="G188" s="24">
        <v>2013</v>
      </c>
      <c r="H188" s="36">
        <f>AVERAGE(B203:B206)</f>
        <v>62150</v>
      </c>
      <c r="I188" s="36">
        <f>AVERAGE(C203:C206)</f>
        <v>101395.75</v>
      </c>
      <c r="J188" s="24">
        <v>0</v>
      </c>
      <c r="K188" s="36">
        <f>AVERAGE(C240:C243)</f>
        <v>7678.25</v>
      </c>
    </row>
    <row r="189" spans="1:11" ht="16">
      <c r="A189" s="33" t="s">
        <v>400</v>
      </c>
      <c r="B189" s="34">
        <v>55100</v>
      </c>
      <c r="C189" s="34">
        <v>73968</v>
      </c>
      <c r="D189" s="90">
        <f>Table1[[#This Row],[ Contractors]]/Table1[[#This Row],[Uniformed Military]]</f>
        <v>1.3424319419237749</v>
      </c>
      <c r="G189" s="24">
        <v>2014</v>
      </c>
      <c r="H189" s="36">
        <f>AVERAGE(B207:B210)</f>
        <v>33925</v>
      </c>
      <c r="I189" s="36">
        <f>AVERAGE(C207:C210)</f>
        <v>59106.5</v>
      </c>
      <c r="J189" s="24">
        <v>0</v>
      </c>
      <c r="K189" s="36">
        <f>AVERAGE(C244)</f>
        <v>3234</v>
      </c>
    </row>
    <row r="190" spans="1:11" ht="16">
      <c r="A190" s="33" t="s">
        <v>401</v>
      </c>
      <c r="B190" s="34">
        <v>62300</v>
      </c>
      <c r="C190" s="34">
        <v>104101</v>
      </c>
      <c r="D190" s="90">
        <f>Table1[[#This Row],[ Contractors]]/Table1[[#This Row],[Uniformed Military]]</f>
        <v>1.6709630818619583</v>
      </c>
      <c r="G190" s="24">
        <v>2015</v>
      </c>
      <c r="H190" s="36">
        <f>AVERAGE(B211:B214)</f>
        <v>9465</v>
      </c>
      <c r="I190" s="36">
        <f>AVERAGE(C211:C214)</f>
        <v>32392.75</v>
      </c>
      <c r="J190" s="24">
        <v>0</v>
      </c>
      <c r="K190" s="24">
        <v>0</v>
      </c>
    </row>
    <row r="191" spans="1:11" ht="16">
      <c r="A191" s="33" t="s">
        <v>402</v>
      </c>
      <c r="B191" s="34">
        <v>69000</v>
      </c>
      <c r="C191" s="34">
        <v>107292</v>
      </c>
      <c r="D191" s="90">
        <f>Table1[[#This Row],[ Contractors]]/Table1[[#This Row],[Uniformed Military]]</f>
        <v>1.5549565217391303</v>
      </c>
      <c r="G191" s="24">
        <v>2016</v>
      </c>
      <c r="H191" s="36">
        <f>AVERAGE(B215)</f>
        <v>8930</v>
      </c>
      <c r="I191" s="36">
        <f>AVERAGE(C215)</f>
        <v>30455</v>
      </c>
      <c r="J191" s="24">
        <v>0</v>
      </c>
      <c r="K191" s="24">
        <v>0</v>
      </c>
    </row>
    <row r="192" spans="1:11" ht="16">
      <c r="A192" s="33" t="s">
        <v>403</v>
      </c>
      <c r="B192" s="34">
        <v>79100</v>
      </c>
      <c r="C192" s="34">
        <v>112092</v>
      </c>
      <c r="D192" s="90">
        <f>Table1[[#This Row],[ Contractors]]/Table1[[#This Row],[Uniformed Military]]</f>
        <v>1.4170922882427308</v>
      </c>
    </row>
    <row r="193" spans="1:4" ht="16">
      <c r="A193" s="33" t="s">
        <v>404</v>
      </c>
      <c r="B193" s="34">
        <v>93800</v>
      </c>
      <c r="C193" s="34">
        <v>107479</v>
      </c>
      <c r="D193" s="90">
        <f>Table1[[#This Row],[ Contractors]]/Table1[[#This Row],[Uniformed Military]]</f>
        <v>1.1458315565031982</v>
      </c>
    </row>
    <row r="194" spans="1:4" ht="16">
      <c r="A194" s="33" t="s">
        <v>405</v>
      </c>
      <c r="B194" s="34">
        <v>96600</v>
      </c>
      <c r="C194" s="34">
        <v>70599</v>
      </c>
      <c r="D194" s="90">
        <f>Table1[[#This Row],[ Contractors]]/Table1[[#This Row],[Uniformed Military]]</f>
        <v>0.73083850931677019</v>
      </c>
    </row>
    <row r="195" spans="1:4" ht="16">
      <c r="A195" s="33" t="s">
        <v>406</v>
      </c>
      <c r="B195" s="34">
        <v>96900</v>
      </c>
      <c r="C195" s="34">
        <v>87483</v>
      </c>
      <c r="D195" s="90">
        <f>Table1[[#This Row],[ Contractors]]/Table1[[#This Row],[Uniformed Military]]</f>
        <v>0.90281733746130033</v>
      </c>
    </row>
    <row r="196" spans="1:4" ht="16">
      <c r="A196" s="33" t="s">
        <v>407</v>
      </c>
      <c r="B196" s="34">
        <v>99800</v>
      </c>
      <c r="C196" s="34">
        <v>90339</v>
      </c>
      <c r="D196" s="90">
        <f>Table1[[#This Row],[ Contractors]]/Table1[[#This Row],[Uniformed Military]]</f>
        <v>0.90520040080160324</v>
      </c>
    </row>
    <row r="197" spans="1:4" ht="16">
      <c r="A197" s="33" t="s">
        <v>408</v>
      </c>
      <c r="B197" s="34">
        <v>98900</v>
      </c>
      <c r="C197" s="34">
        <v>93118</v>
      </c>
      <c r="D197" s="90">
        <f>Table1[[#This Row],[ Contractors]]/Table1[[#This Row],[Uniformed Military]]</f>
        <v>0.9415369059656219</v>
      </c>
    </row>
    <row r="198" spans="1:4" ht="16">
      <c r="A198" s="33" t="s">
        <v>409</v>
      </c>
      <c r="B198" s="34">
        <v>98200</v>
      </c>
      <c r="C198" s="34">
        <v>101789</v>
      </c>
      <c r="D198" s="90">
        <f>Table1[[#This Row],[ Contractors]]/Table1[[#This Row],[Uniformed Military]]</f>
        <v>1.0365478615071284</v>
      </c>
    </row>
    <row r="199" spans="1:4" ht="16">
      <c r="A199" s="33" t="s">
        <v>410</v>
      </c>
      <c r="B199" s="34">
        <v>94100</v>
      </c>
      <c r="C199" s="34">
        <v>113491</v>
      </c>
      <c r="D199" s="90">
        <f>Table1[[#This Row],[ Contractors]]/Table1[[#This Row],[Uniformed Military]]</f>
        <v>1.2060680127523911</v>
      </c>
    </row>
    <row r="200" spans="1:4" ht="16">
      <c r="A200" s="33" t="s">
        <v>411</v>
      </c>
      <c r="B200" s="34">
        <v>88200</v>
      </c>
      <c r="C200" s="34">
        <v>117227</v>
      </c>
      <c r="D200" s="90">
        <f>Table1[[#This Row],[ Contractors]]/Table1[[#This Row],[Uniformed Military]]</f>
        <v>1.3291043083900227</v>
      </c>
    </row>
    <row r="201" spans="1:4" ht="16">
      <c r="A201" s="33" t="s">
        <v>412</v>
      </c>
      <c r="B201" s="34">
        <v>85600</v>
      </c>
      <c r="C201" s="34">
        <v>113736</v>
      </c>
      <c r="D201" s="90">
        <f>Table1[[#This Row],[ Contractors]]/Table1[[#This Row],[Uniformed Military]]</f>
        <v>1.3286915887850468</v>
      </c>
    </row>
    <row r="202" spans="1:4" ht="16">
      <c r="A202" s="33" t="s">
        <v>413</v>
      </c>
      <c r="B202" s="34">
        <v>76500</v>
      </c>
      <c r="C202" s="34">
        <v>109564</v>
      </c>
      <c r="D202" s="90">
        <f>Table1[[#This Row],[ Contractors]]/Table1[[#This Row],[Uniformed Military]]</f>
        <v>1.4322091503267973</v>
      </c>
    </row>
    <row r="203" spans="1:4" ht="16">
      <c r="A203" s="33" t="s">
        <v>414</v>
      </c>
      <c r="B203" s="34">
        <v>65800</v>
      </c>
      <c r="C203" s="34">
        <v>110404</v>
      </c>
      <c r="D203" s="90">
        <f>Table1[[#This Row],[ Contractors]]/Table1[[#This Row],[Uniformed Military]]</f>
        <v>1.677872340425532</v>
      </c>
    </row>
    <row r="204" spans="1:4" ht="16">
      <c r="A204" s="33" t="s">
        <v>415</v>
      </c>
      <c r="B204" s="34">
        <v>65700</v>
      </c>
      <c r="C204" s="34">
        <v>107796</v>
      </c>
      <c r="D204" s="90">
        <f>Table1[[#This Row],[ Contractors]]/Table1[[#This Row],[Uniformed Military]]</f>
        <v>1.640730593607306</v>
      </c>
    </row>
    <row r="205" spans="1:4" ht="16">
      <c r="A205" s="33" t="s">
        <v>416</v>
      </c>
      <c r="B205" s="34">
        <v>61300</v>
      </c>
      <c r="C205" s="34">
        <v>101855</v>
      </c>
      <c r="D205" s="90">
        <f>Table1[[#This Row],[ Contractors]]/Table1[[#This Row],[Uniformed Military]]</f>
        <v>1.6615823817292006</v>
      </c>
    </row>
    <row r="206" spans="1:4" ht="16">
      <c r="A206" s="33" t="s">
        <v>417</v>
      </c>
      <c r="B206" s="34">
        <v>55800</v>
      </c>
      <c r="C206" s="34">
        <v>85528</v>
      </c>
      <c r="D206" s="90">
        <f>Table1[[#This Row],[ Contractors]]/Table1[[#This Row],[Uniformed Military]]</f>
        <v>1.5327598566308245</v>
      </c>
    </row>
    <row r="207" spans="1:4" ht="16">
      <c r="A207" s="33" t="s">
        <v>418</v>
      </c>
      <c r="B207" s="34">
        <v>43300</v>
      </c>
      <c r="C207" s="34">
        <v>78136</v>
      </c>
      <c r="D207" s="90">
        <f>Table1[[#This Row],[ Contractors]]/Table1[[#This Row],[Uniformed Military]]</f>
        <v>1.804526558891455</v>
      </c>
    </row>
    <row r="208" spans="1:4" ht="16">
      <c r="A208" s="33" t="s">
        <v>419</v>
      </c>
      <c r="B208" s="34">
        <v>33200</v>
      </c>
      <c r="C208" s="34">
        <v>61452</v>
      </c>
      <c r="D208" s="90">
        <f>Table1[[#This Row],[ Contractors]]/Table1[[#This Row],[Uniformed Military]]</f>
        <v>1.8509638554216867</v>
      </c>
    </row>
    <row r="209" spans="1:4" ht="16">
      <c r="A209" s="33" t="s">
        <v>420</v>
      </c>
      <c r="B209" s="34">
        <v>31400</v>
      </c>
      <c r="C209" s="34">
        <v>51489</v>
      </c>
      <c r="D209" s="90">
        <f>Table1[[#This Row],[ Contractors]]/Table1[[#This Row],[Uniformed Military]]</f>
        <v>1.6397770700636942</v>
      </c>
    </row>
    <row r="210" spans="1:4" ht="16">
      <c r="A210" s="33" t="s">
        <v>421</v>
      </c>
      <c r="B210" s="34">
        <v>27800</v>
      </c>
      <c r="C210" s="34">
        <v>45349</v>
      </c>
      <c r="D210" s="90">
        <f>Table1[[#This Row],[ Contractors]]/Table1[[#This Row],[Uniformed Military]]</f>
        <v>1.6312589928057555</v>
      </c>
    </row>
    <row r="211" spans="1:4" ht="16">
      <c r="A211" s="33" t="s">
        <v>422</v>
      </c>
      <c r="B211" s="34">
        <v>10600</v>
      </c>
      <c r="C211" s="34">
        <v>39609</v>
      </c>
      <c r="D211" s="90">
        <f>Table1[[#This Row],[ Contractors]]/Table1[[#This Row],[Uniformed Military]]</f>
        <v>3.736698113207547</v>
      </c>
    </row>
    <row r="212" spans="1:4" ht="16">
      <c r="A212" s="33" t="s">
        <v>423</v>
      </c>
      <c r="B212" s="34">
        <v>9100</v>
      </c>
      <c r="C212" s="34">
        <v>30820</v>
      </c>
      <c r="D212" s="90">
        <f>Table1[[#This Row],[ Contractors]]/Table1[[#This Row],[Uniformed Military]]</f>
        <v>3.3868131868131868</v>
      </c>
    </row>
    <row r="213" spans="1:4" ht="16">
      <c r="A213" s="33" t="s">
        <v>424</v>
      </c>
      <c r="B213" s="34">
        <v>9060</v>
      </c>
      <c r="C213" s="34">
        <v>28931</v>
      </c>
      <c r="D213" s="90">
        <f>Table1[[#This Row],[ Contractors]]/Table1[[#This Row],[Uniformed Military]]</f>
        <v>3.1932671081677704</v>
      </c>
    </row>
    <row r="214" spans="1:4" ht="16">
      <c r="A214" s="33" t="s">
        <v>425</v>
      </c>
      <c r="B214" s="34">
        <v>9100</v>
      </c>
      <c r="C214" s="34">
        <v>30211</v>
      </c>
      <c r="D214" s="90">
        <f>Table1[[#This Row],[ Contractors]]/Table1[[#This Row],[Uniformed Military]]</f>
        <v>3.3198901098901099</v>
      </c>
    </row>
    <row r="215" spans="1:4" ht="16">
      <c r="A215" s="33" t="s">
        <v>426</v>
      </c>
      <c r="B215" s="34">
        <v>8930</v>
      </c>
      <c r="C215" s="34">
        <v>30455</v>
      </c>
      <c r="D215" s="90">
        <f>Table1[[#This Row],[ Contractors]]/Table1[[#This Row],[Uniformed Military]]</f>
        <v>3.4104143337066071</v>
      </c>
    </row>
    <row r="217" spans="1:4">
      <c r="A217" s="404" t="s">
        <v>427</v>
      </c>
      <c r="B217" s="404"/>
      <c r="C217" s="404"/>
    </row>
    <row r="218" spans="1:4" ht="34">
      <c r="A218" s="31" t="s">
        <v>390</v>
      </c>
      <c r="B218" s="32" t="s">
        <v>428</v>
      </c>
      <c r="C218" s="32" t="s">
        <v>392</v>
      </c>
      <c r="D218" s="91" t="s">
        <v>592</v>
      </c>
    </row>
    <row r="219" spans="1:4" ht="16">
      <c r="A219" s="33" t="s">
        <v>393</v>
      </c>
      <c r="B219" s="34">
        <v>169000</v>
      </c>
      <c r="C219" s="34">
        <v>154825</v>
      </c>
      <c r="D219" s="90">
        <f>Table14[[#This Row],[ Contractors]]/Table14[[#This Row],[Uniformed Military Personnel]]</f>
        <v>0.91612426035502958</v>
      </c>
    </row>
    <row r="220" spans="1:4" ht="16">
      <c r="A220" s="33" t="s">
        <v>394</v>
      </c>
      <c r="B220" s="34">
        <v>165700</v>
      </c>
      <c r="C220" s="34">
        <v>163591</v>
      </c>
      <c r="D220" s="90">
        <f>Table14[[#This Row],[ Contractors]]/Table14[[#This Row],[Uniformed Military Personnel]]</f>
        <v>0.98727217863608929</v>
      </c>
    </row>
    <row r="221" spans="1:4" ht="16">
      <c r="A221" s="33" t="s">
        <v>395</v>
      </c>
      <c r="B221" s="34">
        <v>160500</v>
      </c>
      <c r="C221" s="34">
        <v>149378</v>
      </c>
      <c r="D221" s="90">
        <f>Table14[[#This Row],[ Contractors]]/Table14[[#This Row],[Uniformed Military Personnel]]</f>
        <v>0.93070404984423671</v>
      </c>
    </row>
    <row r="222" spans="1:4" ht="16">
      <c r="A222" s="33" t="s">
        <v>396</v>
      </c>
      <c r="B222" s="34">
        <v>153300</v>
      </c>
      <c r="C222" s="34">
        <v>162428</v>
      </c>
      <c r="D222" s="90">
        <f>Table14[[#This Row],[ Contractors]]/Table14[[#This Row],[Uniformed Military Personnel]]</f>
        <v>1.0595433789954338</v>
      </c>
    </row>
    <row r="223" spans="1:4" ht="16">
      <c r="A223" s="33" t="s">
        <v>397</v>
      </c>
      <c r="B223" s="34">
        <v>146800</v>
      </c>
      <c r="C223" s="34">
        <v>163446</v>
      </c>
      <c r="D223" s="90">
        <f>Table14[[#This Row],[ Contractors]]/Table14[[#This Row],[Uniformed Military Personnel]]</f>
        <v>1.1133923705722071</v>
      </c>
    </row>
    <row r="224" spans="1:4" ht="16">
      <c r="A224" s="33" t="s">
        <v>398</v>
      </c>
      <c r="B224" s="34">
        <v>148500</v>
      </c>
      <c r="C224" s="34">
        <v>148050</v>
      </c>
      <c r="D224" s="90">
        <f>Table14[[#This Row],[ Contractors]]/Table14[[#This Row],[Uniformed Military Personnel]]</f>
        <v>0.99696969696969695</v>
      </c>
    </row>
    <row r="225" spans="1:4" ht="16">
      <c r="A225" s="33" t="s">
        <v>399</v>
      </c>
      <c r="B225" s="34">
        <v>141300</v>
      </c>
      <c r="C225" s="34">
        <v>132610</v>
      </c>
      <c r="D225" s="90">
        <f>Table14[[#This Row],[ Contractors]]/Table14[[#This Row],[Uniformed Military Personnel]]</f>
        <v>0.93849964614295822</v>
      </c>
    </row>
    <row r="226" spans="1:4" ht="16">
      <c r="A226" s="33" t="s">
        <v>400</v>
      </c>
      <c r="B226" s="34">
        <v>134571</v>
      </c>
      <c r="C226" s="34">
        <v>119706</v>
      </c>
      <c r="D226" s="90">
        <f>Table14[[#This Row],[ Contractors]]/Table14[[#This Row],[Uniformed Military Personnel]]</f>
        <v>0.88953786477026997</v>
      </c>
    </row>
    <row r="227" spans="1:4" ht="16">
      <c r="A227" s="33" t="s">
        <v>401</v>
      </c>
      <c r="B227" s="34">
        <v>130000</v>
      </c>
      <c r="C227" s="34">
        <v>113731</v>
      </c>
      <c r="D227" s="90">
        <f>Table14[[#This Row],[ Contractors]]/Table14[[#This Row],[Uniformed Military Personnel]]</f>
        <v>0.8748538461538462</v>
      </c>
    </row>
    <row r="228" spans="1:4" ht="16">
      <c r="A228" s="33" t="s">
        <v>402</v>
      </c>
      <c r="B228" s="34">
        <v>114300</v>
      </c>
      <c r="C228" s="34">
        <v>100035</v>
      </c>
      <c r="D228" s="90">
        <f>Table14[[#This Row],[ Contractors]]/Table14[[#This Row],[Uniformed Military Personnel]]</f>
        <v>0.87519685039370076</v>
      </c>
    </row>
    <row r="229" spans="1:4" ht="16">
      <c r="A229" s="33" t="s">
        <v>403</v>
      </c>
      <c r="B229" s="34">
        <v>95900</v>
      </c>
      <c r="C229" s="34">
        <v>95461</v>
      </c>
      <c r="D229" s="90">
        <f>Table14[[#This Row],[ Contractors]]/Table14[[#This Row],[Uniformed Military Personnel]]</f>
        <v>0.99542231491136601</v>
      </c>
    </row>
    <row r="230" spans="1:4" ht="16">
      <c r="A230" s="33" t="s">
        <v>404</v>
      </c>
      <c r="B230" s="34">
        <v>88320</v>
      </c>
      <c r="C230" s="34">
        <v>79621</v>
      </c>
      <c r="D230" s="90">
        <f>Table14[[#This Row],[ Contractors]]/Table14[[#This Row],[Uniformed Military Personnel]]</f>
        <v>0.90150588768115947</v>
      </c>
    </row>
    <row r="231" spans="1:4" ht="16">
      <c r="A231" s="33" t="s">
        <v>405</v>
      </c>
      <c r="B231" s="34">
        <v>48410</v>
      </c>
      <c r="C231" s="34">
        <v>74106</v>
      </c>
      <c r="D231" s="90">
        <f>Table14[[#This Row],[ Contractors]]/Table14[[#This Row],[Uniformed Military Personnel]]</f>
        <v>1.5307994216071059</v>
      </c>
    </row>
    <row r="232" spans="1:4" ht="16">
      <c r="A232" s="33" t="s">
        <v>406</v>
      </c>
      <c r="B232" s="34">
        <v>47305</v>
      </c>
      <c r="C232" s="34">
        <v>71142</v>
      </c>
      <c r="D232" s="90">
        <f>Table14[[#This Row],[ Contractors]]/Table14[[#This Row],[Uniformed Military Personnel]]</f>
        <v>1.5039002219638515</v>
      </c>
    </row>
    <row r="233" spans="1:4" ht="16">
      <c r="A233" s="33" t="s">
        <v>407</v>
      </c>
      <c r="B233" s="34">
        <v>45660</v>
      </c>
      <c r="C233" s="34">
        <v>64253</v>
      </c>
      <c r="D233" s="90">
        <f>Table14[[#This Row],[ Contractors]]/Table14[[#This Row],[Uniformed Military Personnel]]</f>
        <v>1.4072054314498468</v>
      </c>
    </row>
    <row r="234" spans="1:4" ht="16">
      <c r="A234" s="33" t="s">
        <v>408</v>
      </c>
      <c r="B234" s="34">
        <v>46010</v>
      </c>
      <c r="C234" s="34">
        <v>62689</v>
      </c>
      <c r="D234" s="90">
        <f>Table14[[#This Row],[ Contractors]]/Table14[[#This Row],[Uniformed Military Personnel]]</f>
        <v>1.3625081504020864</v>
      </c>
    </row>
    <row r="235" spans="1:4" ht="16">
      <c r="A235" s="33" t="s">
        <v>409</v>
      </c>
      <c r="B235" s="34">
        <v>44755</v>
      </c>
      <c r="C235" s="34">
        <v>52637</v>
      </c>
      <c r="D235" s="90">
        <f>Table14[[#This Row],[ Contractors]]/Table14[[#This Row],[Uniformed Military Personnel]]</f>
        <v>1.1761144006256283</v>
      </c>
    </row>
    <row r="236" spans="1:4" ht="16">
      <c r="A236" s="33" t="s">
        <v>410</v>
      </c>
      <c r="B236" s="34">
        <v>11445</v>
      </c>
      <c r="C236" s="34">
        <v>23886</v>
      </c>
      <c r="D236" s="90">
        <f>Table14[[#This Row],[ Contractors]]/Table14[[#This Row],[Uniformed Military Personnel]]</f>
        <v>2.0870249017038009</v>
      </c>
    </row>
    <row r="237" spans="1:4" ht="16">
      <c r="A237" s="33" t="s">
        <v>411</v>
      </c>
      <c r="B237" s="34" t="s">
        <v>429</v>
      </c>
      <c r="C237" s="34">
        <v>10967</v>
      </c>
      <c r="D237" s="90" t="e">
        <f>Table14[[#This Row],[ Contractors]]/Table14[[#This Row],[Uniformed Military Personnel]]</f>
        <v>#VALUE!</v>
      </c>
    </row>
    <row r="238" spans="1:4" ht="16">
      <c r="A238" s="33" t="s">
        <v>412</v>
      </c>
      <c r="B238" s="34" t="s">
        <v>429</v>
      </c>
      <c r="C238" s="34">
        <v>7336</v>
      </c>
      <c r="D238" s="90" t="e">
        <f>Table14[[#This Row],[ Contractors]]/Table14[[#This Row],[Uniformed Military Personnel]]</f>
        <v>#VALUE!</v>
      </c>
    </row>
    <row r="239" spans="1:4" ht="16">
      <c r="A239" s="33" t="s">
        <v>413</v>
      </c>
      <c r="B239" s="34" t="s">
        <v>429</v>
      </c>
      <c r="C239" s="34">
        <v>9000</v>
      </c>
      <c r="D239" s="90" t="e">
        <f>Table14[[#This Row],[ Contractors]]/Table14[[#This Row],[Uniformed Military Personnel]]</f>
        <v>#VALUE!</v>
      </c>
    </row>
    <row r="240" spans="1:4" ht="16">
      <c r="A240" s="33" t="s">
        <v>430</v>
      </c>
      <c r="B240" s="34" t="s">
        <v>429</v>
      </c>
      <c r="C240" s="34">
        <v>8449</v>
      </c>
      <c r="D240" s="90" t="e">
        <f>Table14[[#This Row],[ Contractors]]/Table14[[#This Row],[Uniformed Military Personnel]]</f>
        <v>#VALUE!</v>
      </c>
    </row>
    <row r="241" spans="1:4" ht="16">
      <c r="A241" s="33" t="s">
        <v>415</v>
      </c>
      <c r="B241" s="34" t="s">
        <v>429</v>
      </c>
      <c r="C241" s="34">
        <v>7905</v>
      </c>
      <c r="D241" s="90" t="e">
        <f>Table14[[#This Row],[ Contractors]]/Table14[[#This Row],[Uniformed Military Personnel]]</f>
        <v>#VALUE!</v>
      </c>
    </row>
    <row r="242" spans="1:4" ht="16">
      <c r="A242" s="33" t="s">
        <v>416</v>
      </c>
      <c r="B242" s="34" t="s">
        <v>429</v>
      </c>
      <c r="C242" s="34">
        <v>7735</v>
      </c>
      <c r="D242" s="90" t="e">
        <f>Table14[[#This Row],[ Contractors]]/Table14[[#This Row],[Uniformed Military Personnel]]</f>
        <v>#VALUE!</v>
      </c>
    </row>
    <row r="243" spans="1:4" ht="16">
      <c r="A243" s="33" t="s">
        <v>431</v>
      </c>
      <c r="B243" s="34" t="s">
        <v>429</v>
      </c>
      <c r="C243" s="34">
        <v>6624</v>
      </c>
      <c r="D243" s="90" t="e">
        <f>Table14[[#This Row],[ Contractors]]/Table14[[#This Row],[Uniformed Military Personnel]]</f>
        <v>#VALUE!</v>
      </c>
    </row>
    <row r="244" spans="1:4" ht="16">
      <c r="A244" s="33" t="s">
        <v>418</v>
      </c>
      <c r="B244" s="34" t="s">
        <v>429</v>
      </c>
      <c r="C244" s="34">
        <v>3234</v>
      </c>
      <c r="D244" s="90" t="e">
        <f>Table14[[#This Row],[ Contractors]]/Table14[[#This Row],[Uniformed Military Personnel]]</f>
        <v>#VALUE!</v>
      </c>
    </row>
  </sheetData>
  <mergeCells count="2">
    <mergeCell ref="A180:C180"/>
    <mergeCell ref="A217:C217"/>
  </mergeCells>
  <pageMargins left="0.7" right="0.7" top="0.75" bottom="0.75" header="0.3" footer="0.3"/>
  <drawing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F90"/>
  <sheetViews>
    <sheetView workbookViewId="0">
      <selection activeCell="A2" sqref="A2"/>
    </sheetView>
  </sheetViews>
  <sheetFormatPr baseColWidth="10" defaultRowHeight="16"/>
  <cols>
    <col min="1" max="1" width="22.83203125" style="153" bestFit="1" customWidth="1"/>
    <col min="2" max="4" width="10.83203125" style="153"/>
    <col min="5" max="16384" width="10.83203125" style="155"/>
  </cols>
  <sheetData>
    <row r="1" spans="1:84">
      <c r="A1" s="153" t="s">
        <v>685</v>
      </c>
      <c r="B1" s="154">
        <v>1950</v>
      </c>
      <c r="C1" s="154">
        <v>1951</v>
      </c>
      <c r="D1" s="154">
        <v>1952</v>
      </c>
      <c r="E1" s="154">
        <v>1953</v>
      </c>
      <c r="F1" s="154">
        <v>1954</v>
      </c>
      <c r="G1" s="154">
        <v>1955</v>
      </c>
      <c r="H1" s="154">
        <v>1956</v>
      </c>
      <c r="I1" s="154">
        <v>1957</v>
      </c>
      <c r="J1" s="154">
        <v>1958</v>
      </c>
      <c r="K1" s="154">
        <v>1959</v>
      </c>
      <c r="L1" s="154">
        <v>1960</v>
      </c>
      <c r="M1" s="154">
        <v>1961</v>
      </c>
      <c r="N1" s="154">
        <v>1962</v>
      </c>
      <c r="O1" s="154">
        <v>1963</v>
      </c>
      <c r="P1" s="154">
        <v>1964</v>
      </c>
      <c r="Q1" s="154">
        <v>1965</v>
      </c>
      <c r="R1" s="154">
        <v>1966</v>
      </c>
      <c r="S1" s="154">
        <v>1967</v>
      </c>
      <c r="T1" s="154">
        <v>1968</v>
      </c>
      <c r="U1" s="154">
        <v>1969</v>
      </c>
      <c r="V1" s="154">
        <v>1970</v>
      </c>
      <c r="W1" s="154">
        <v>1971</v>
      </c>
      <c r="X1" s="154">
        <v>1972</v>
      </c>
      <c r="Y1" s="154">
        <v>1973</v>
      </c>
      <c r="Z1" s="154">
        <v>1974</v>
      </c>
      <c r="AA1" s="154">
        <v>1975</v>
      </c>
      <c r="AB1" s="154">
        <v>1976</v>
      </c>
      <c r="AC1" s="154">
        <v>1977</v>
      </c>
      <c r="AD1" s="154">
        <v>1978</v>
      </c>
      <c r="AE1" s="154">
        <v>1979</v>
      </c>
      <c r="AF1" s="154">
        <v>1980</v>
      </c>
      <c r="AG1" s="154">
        <v>1981</v>
      </c>
      <c r="AH1" s="154">
        <v>1982</v>
      </c>
      <c r="AI1" s="154">
        <v>1983</v>
      </c>
      <c r="AJ1" s="154">
        <v>1984</v>
      </c>
      <c r="AK1" s="154">
        <v>1985</v>
      </c>
      <c r="AL1" s="154">
        <v>1986</v>
      </c>
      <c r="AM1" s="154">
        <v>1987</v>
      </c>
      <c r="AN1" s="154">
        <v>1988</v>
      </c>
      <c r="AO1" s="154">
        <v>1989</v>
      </c>
      <c r="AP1" s="173">
        <v>1990</v>
      </c>
      <c r="AQ1" s="173">
        <v>1991</v>
      </c>
      <c r="AR1" s="173">
        <v>1992</v>
      </c>
      <c r="AS1" s="154">
        <v>1993</v>
      </c>
      <c r="AT1" s="154">
        <v>1994</v>
      </c>
      <c r="AU1" s="154">
        <v>1995</v>
      </c>
      <c r="AV1" s="154">
        <v>1996</v>
      </c>
      <c r="AW1" s="154">
        <v>1997</v>
      </c>
      <c r="AX1" s="154">
        <v>1998</v>
      </c>
      <c r="AY1" s="154">
        <v>1999</v>
      </c>
      <c r="AZ1" s="154">
        <v>2000</v>
      </c>
      <c r="BA1" s="173">
        <v>2001</v>
      </c>
      <c r="BB1" s="173">
        <v>2002</v>
      </c>
      <c r="BC1" s="173">
        <v>2003</v>
      </c>
      <c r="BD1" s="173">
        <v>2004</v>
      </c>
      <c r="BE1" s="173">
        <v>2005</v>
      </c>
      <c r="BF1" s="173">
        <v>2006</v>
      </c>
      <c r="BG1" s="173">
        <v>2007</v>
      </c>
      <c r="BH1" s="173">
        <v>2008</v>
      </c>
      <c r="BI1" s="173">
        <v>2009</v>
      </c>
      <c r="BJ1" s="173">
        <v>2010</v>
      </c>
      <c r="BK1" s="173">
        <v>2011</v>
      </c>
      <c r="BL1" s="173">
        <v>2012</v>
      </c>
      <c r="BM1" s="173">
        <v>2013</v>
      </c>
      <c r="BN1" s="173">
        <v>2014</v>
      </c>
      <c r="BO1" s="173">
        <v>2015</v>
      </c>
      <c r="BP1" s="173">
        <v>2016</v>
      </c>
      <c r="BQ1" s="173">
        <v>2017</v>
      </c>
      <c r="BR1" s="154">
        <v>2018</v>
      </c>
      <c r="BS1" s="174">
        <v>2019</v>
      </c>
      <c r="BT1" s="174">
        <v>2020</v>
      </c>
      <c r="BU1" s="174">
        <v>2021</v>
      </c>
      <c r="BV1" s="174">
        <v>2022</v>
      </c>
      <c r="BW1" s="174">
        <v>2023</v>
      </c>
      <c r="BX1" s="154">
        <v>2024</v>
      </c>
      <c r="BY1" s="154">
        <v>2025</v>
      </c>
      <c r="BZ1" s="154">
        <v>2026</v>
      </c>
      <c r="CA1" s="154">
        <v>2027</v>
      </c>
      <c r="CB1" s="154">
        <v>2028</v>
      </c>
      <c r="CC1" s="154">
        <v>2029</v>
      </c>
      <c r="CD1" s="154">
        <v>2030</v>
      </c>
      <c r="CE1" s="154">
        <v>2031</v>
      </c>
      <c r="CF1" s="154">
        <v>2032</v>
      </c>
    </row>
    <row r="2" spans="1:84">
      <c r="A2" s="154" t="s">
        <v>330</v>
      </c>
      <c r="B2" s="156">
        <v>0.13542000000000001</v>
      </c>
      <c r="C2" s="156">
        <v>0.14269000000000001</v>
      </c>
      <c r="D2" s="156">
        <v>0.1484</v>
      </c>
      <c r="E2" s="156">
        <v>0.15110499999999999</v>
      </c>
      <c r="F2" s="156">
        <v>0.152895</v>
      </c>
      <c r="G2" s="156">
        <v>0.15408749999999999</v>
      </c>
      <c r="H2" s="156">
        <v>0.15808749999999999</v>
      </c>
      <c r="I2" s="156">
        <v>0.16398750000000001</v>
      </c>
      <c r="J2" s="156">
        <v>0.16893749999999999</v>
      </c>
      <c r="K2" s="156">
        <v>0.1715325</v>
      </c>
      <c r="L2" s="156">
        <v>0.17391499999999999</v>
      </c>
      <c r="M2" s="156">
        <v>0.17630499999999999</v>
      </c>
      <c r="N2" s="156">
        <v>0.1781575</v>
      </c>
      <c r="O2" s="156">
        <v>0.18029000000000001</v>
      </c>
      <c r="P2" s="156">
        <v>0.18249499999999999</v>
      </c>
      <c r="Q2" s="156">
        <v>0.1856775</v>
      </c>
      <c r="R2" s="156">
        <v>0.1897075</v>
      </c>
      <c r="S2" s="156">
        <v>0.19548499999999999</v>
      </c>
      <c r="T2" s="156">
        <v>0.20224249999999999</v>
      </c>
      <c r="U2" s="156">
        <v>0.21150749999999999</v>
      </c>
      <c r="V2" s="156">
        <v>0.22285250000000001</v>
      </c>
      <c r="W2" s="156">
        <v>0.23415749999999999</v>
      </c>
      <c r="X2" s="156">
        <v>0.24531</v>
      </c>
      <c r="Y2" s="156">
        <v>0.25591750000000002</v>
      </c>
      <c r="Z2" s="156">
        <v>0.2740725</v>
      </c>
      <c r="AA2" s="156">
        <v>0.30237999999999998</v>
      </c>
      <c r="AB2" s="156">
        <v>0.32339000000000001</v>
      </c>
      <c r="AC2" s="156">
        <v>0.34666999999999998</v>
      </c>
      <c r="AD2" s="156">
        <v>0.36998999999999999</v>
      </c>
      <c r="AE2" s="156">
        <v>0.39968749999999997</v>
      </c>
      <c r="AF2" s="156">
        <v>0.4344925</v>
      </c>
      <c r="AG2" s="156">
        <v>0.47704000000000002</v>
      </c>
      <c r="AH2" s="156">
        <v>0.50977749999999999</v>
      </c>
      <c r="AI2" s="156">
        <v>0.53219749999999999</v>
      </c>
      <c r="AJ2" s="156">
        <v>0.55100499999999997</v>
      </c>
      <c r="AK2" s="156">
        <v>0.56925500000000007</v>
      </c>
      <c r="AL2" s="156">
        <v>0.58223750000000007</v>
      </c>
      <c r="AM2" s="156">
        <v>0.59523749999999997</v>
      </c>
      <c r="AN2" s="156">
        <v>0.61446749999999994</v>
      </c>
      <c r="AO2" s="156">
        <v>0.63894499999999999</v>
      </c>
      <c r="AP2" s="156">
        <v>0.66208750000000005</v>
      </c>
      <c r="AQ2" s="156">
        <v>0.68558750000000002</v>
      </c>
      <c r="AR2" s="156">
        <v>0.70237499999999997</v>
      </c>
      <c r="AS2" s="156">
        <v>0.71904750000000006</v>
      </c>
      <c r="AT2" s="156">
        <v>0.73469249999999997</v>
      </c>
      <c r="AU2" s="156">
        <v>0.75026000000000004</v>
      </c>
      <c r="AV2" s="156">
        <v>0.76429999999999998</v>
      </c>
      <c r="AW2" s="156">
        <v>0.7777925</v>
      </c>
      <c r="AX2" s="156">
        <v>0.78739000000000003</v>
      </c>
      <c r="AY2" s="156">
        <v>0.79737999999999998</v>
      </c>
      <c r="AZ2" s="156">
        <v>0.81388499999999997</v>
      </c>
      <c r="BA2" s="156">
        <v>0.83344249999999998</v>
      </c>
      <c r="BB2" s="156">
        <v>0.84686499999999998</v>
      </c>
      <c r="BC2" s="156">
        <v>0.86307</v>
      </c>
      <c r="BD2" s="156">
        <v>0.88443000000000005</v>
      </c>
      <c r="BE2" s="156">
        <v>0.91226249999999998</v>
      </c>
      <c r="BF2" s="156">
        <v>0.94188249999999996</v>
      </c>
      <c r="BG2" s="156">
        <v>0.96750999999999998</v>
      </c>
      <c r="BH2" s="156">
        <v>0.9875275</v>
      </c>
      <c r="BI2" s="156">
        <v>0.99905250000000001</v>
      </c>
      <c r="BJ2" s="156">
        <v>1.0078125</v>
      </c>
      <c r="BK2" s="156">
        <v>1.0282800000000001</v>
      </c>
      <c r="BL2" s="156">
        <v>1.04714</v>
      </c>
      <c r="BM2" s="156">
        <v>1.0648299999999999</v>
      </c>
      <c r="BN2" s="156">
        <v>1.0841775</v>
      </c>
      <c r="BO2" s="156">
        <v>1.0972500000000001</v>
      </c>
      <c r="BP2" s="156">
        <v>1.1099825000000001</v>
      </c>
      <c r="BQ2" s="156">
        <v>1.1290125</v>
      </c>
      <c r="BR2" s="156">
        <v>1.1506894999999999</v>
      </c>
      <c r="BS2" s="156">
        <v>1.1733165000000001</v>
      </c>
      <c r="BT2" s="156">
        <v>1.1980055000000001</v>
      </c>
      <c r="BU2" s="156">
        <v>1.2239767500000001</v>
      </c>
      <c r="BV2" s="156">
        <v>1.2504630000000001</v>
      </c>
      <c r="BW2" s="156">
        <v>1.277757</v>
      </c>
      <c r="BX2" s="156">
        <v>1.3056877499999999</v>
      </c>
      <c r="BY2" s="156">
        <v>1.3335444999999999</v>
      </c>
      <c r="BZ2" s="156">
        <v>1.3615522499999999</v>
      </c>
      <c r="CA2" s="156">
        <v>1.3898094999999999</v>
      </c>
      <c r="CB2" s="156">
        <v>1.4185410000000001</v>
      </c>
      <c r="CC2" s="156">
        <v>1.447866465642234</v>
      </c>
      <c r="CD2" s="156">
        <v>1.4777981759648351</v>
      </c>
      <c r="CE2" s="156">
        <v>1.5083486638502139</v>
      </c>
      <c r="CF2" s="156">
        <v>1.5395307212727689</v>
      </c>
    </row>
    <row r="3" spans="1:84">
      <c r="A3" s="154" t="s">
        <v>673</v>
      </c>
      <c r="B3" s="156">
        <v>0.1154164285595575</v>
      </c>
      <c r="C3" s="156">
        <v>0.1216125401799088</v>
      </c>
      <c r="D3" s="156">
        <v>0.12647908727099641</v>
      </c>
      <c r="E3" s="156">
        <v>0.12878451807334171</v>
      </c>
      <c r="F3" s="156">
        <v>0.1303101081421765</v>
      </c>
      <c r="G3" s="156">
        <v>0.1313264579506041</v>
      </c>
      <c r="H3" s="156">
        <v>0.1347355977692293</v>
      </c>
      <c r="I3" s="156">
        <v>0.1397640790017016</v>
      </c>
      <c r="J3" s="156">
        <v>0.1439828895272503</v>
      </c>
      <c r="K3" s="156">
        <v>0.14619456898458341</v>
      </c>
      <c r="L3" s="156">
        <v>0.14822513788905209</v>
      </c>
      <c r="M3" s="156">
        <v>0.15026209893068071</v>
      </c>
      <c r="N3" s="156">
        <v>0.1518409568091815</v>
      </c>
      <c r="O3" s="156">
        <v>0.15365845447498611</v>
      </c>
      <c r="P3" s="156">
        <v>0.15553774280000321</v>
      </c>
      <c r="Q3" s="156">
        <v>0.1582501396681969</v>
      </c>
      <c r="R3" s="156">
        <v>0.16168484803546179</v>
      </c>
      <c r="S3" s="156">
        <v>0.1666089243609887</v>
      </c>
      <c r="T3" s="156">
        <v>0.1723682399420787</v>
      </c>
      <c r="U3" s="156">
        <v>0.18026466004696939</v>
      </c>
      <c r="V3" s="156">
        <v>0.18993383285754531</v>
      </c>
      <c r="W3" s="156">
        <v>0.19956891426993481</v>
      </c>
      <c r="X3" s="156">
        <v>0.20907402222673929</v>
      </c>
      <c r="Y3" s="156">
        <v>0.21811463488325611</v>
      </c>
      <c r="Z3" s="156">
        <v>0.23358786823504141</v>
      </c>
      <c r="AA3" s="156">
        <v>0.25771392458897491</v>
      </c>
      <c r="AB3" s="156">
        <v>0.275620431486304</v>
      </c>
      <c r="AC3" s="156">
        <v>0.29546162523070291</v>
      </c>
      <c r="AD3" s="156">
        <v>0.31533691037328798</v>
      </c>
      <c r="AE3" s="156">
        <v>0.34064764281419369</v>
      </c>
      <c r="AF3" s="156">
        <v>0.37031142066100659</v>
      </c>
      <c r="AG3" s="156">
        <v>0.40657401476924587</v>
      </c>
      <c r="AH3" s="156">
        <v>0.43447569347230691</v>
      </c>
      <c r="AI3" s="156">
        <v>0.45358392215570131</v>
      </c>
      <c r="AJ3" s="156">
        <v>0.46961327144039988</v>
      </c>
      <c r="AK3" s="156">
        <v>0.48516747186287762</v>
      </c>
      <c r="AL3" s="156">
        <v>0.49623226128670322</v>
      </c>
      <c r="AM3" s="156">
        <v>0.50731196569723513</v>
      </c>
      <c r="AN3" s="156">
        <v>0.52370140537527587</v>
      </c>
      <c r="AO3" s="156">
        <v>0.54456321035287569</v>
      </c>
      <c r="AP3" s="156">
        <v>0.56428721491600942</v>
      </c>
      <c r="AQ3" s="156">
        <v>0.5843159113504327</v>
      </c>
      <c r="AR3" s="156">
        <v>0.59862364502672549</v>
      </c>
      <c r="AS3" s="156">
        <v>0.6128333659332329</v>
      </c>
      <c r="AT3" s="156">
        <v>0.62616736404883078</v>
      </c>
      <c r="AU3" s="156">
        <v>0.63943531008044285</v>
      </c>
      <c r="AV3" s="156">
        <v>0.65140139084381743</v>
      </c>
      <c r="AW3" s="156">
        <v>0.66290084559451767</v>
      </c>
      <c r="AX3" s="156">
        <v>0.67108065044683163</v>
      </c>
      <c r="AY3" s="156">
        <v>0.6795949771438482</v>
      </c>
      <c r="AZ3" s="156">
        <v>0.69366194032045059</v>
      </c>
      <c r="BA3" s="156">
        <v>0.71033050332114134</v>
      </c>
      <c r="BB3" s="156">
        <v>0.72177029812501559</v>
      </c>
      <c r="BC3" s="156">
        <v>0.73558157581522121</v>
      </c>
      <c r="BD3" s="156">
        <v>0.75378638244667995</v>
      </c>
      <c r="BE3" s="156">
        <v>0.77750760344715164</v>
      </c>
      <c r="BF3" s="156">
        <v>0.80275228380407149</v>
      </c>
      <c r="BG3" s="156">
        <v>0.82459421647952613</v>
      </c>
      <c r="BH3" s="156">
        <v>0.84165483055935886</v>
      </c>
      <c r="BI3" s="156">
        <v>0.85147741466177274</v>
      </c>
      <c r="BJ3" s="156">
        <v>0.85894343086456204</v>
      </c>
      <c r="BK3" s="156">
        <v>0.87638757317399019</v>
      </c>
      <c r="BL3" s="156">
        <v>0.89246166741880806</v>
      </c>
      <c r="BM3" s="156">
        <v>0.9075385882666781</v>
      </c>
      <c r="BN3" s="156">
        <v>0.9240281714268912</v>
      </c>
      <c r="BO3" s="156">
        <v>0.9351696664966358</v>
      </c>
      <c r="BP3" s="156">
        <v>0.94602138468179731</v>
      </c>
      <c r="BQ3" s="156">
        <v>0.96224036736890672</v>
      </c>
      <c r="BR3" s="156">
        <v>0.9807153483309915</v>
      </c>
      <c r="BS3" s="156">
        <v>1</v>
      </c>
      <c r="BT3" s="156">
        <v>1.0210420632455099</v>
      </c>
      <c r="BU3" s="156">
        <v>1.043176968874127</v>
      </c>
      <c r="BV3" s="156">
        <v>1.065750801254393</v>
      </c>
      <c r="BW3" s="156">
        <v>1.0890130668067819</v>
      </c>
      <c r="BX3" s="156">
        <v>1.1128180248040489</v>
      </c>
      <c r="BY3" s="156">
        <v>1.1365599137146709</v>
      </c>
      <c r="BZ3" s="156">
        <v>1.1604304976534461</v>
      </c>
      <c r="CA3" s="156">
        <v>1.184513726688408</v>
      </c>
      <c r="CB3" s="156">
        <v>1.2090011518631161</v>
      </c>
      <c r="CC3" s="156">
        <v>1.233994805018283</v>
      </c>
      <c r="CD3" s="156">
        <v>1.2595051513933671</v>
      </c>
      <c r="CE3" s="156">
        <v>1.2855428725754849</v>
      </c>
      <c r="CF3" s="156">
        <v>1.3121188709719569</v>
      </c>
    </row>
    <row r="7" spans="1:84" s="157" customFormat="1" ht="19">
      <c r="A7"/>
      <c r="B7" s="175" t="s">
        <v>330</v>
      </c>
      <c r="C7" s="175" t="s">
        <v>673</v>
      </c>
      <c r="D7" s="175" t="s">
        <v>674</v>
      </c>
    </row>
    <row r="8" spans="1:84" s="158" customFormat="1">
      <c r="A8" s="175">
        <v>1950</v>
      </c>
      <c r="B8">
        <v>0.13542000000000001</v>
      </c>
      <c r="C8">
        <v>0.1154164285595575</v>
      </c>
      <c r="D8"/>
    </row>
    <row r="9" spans="1:84" s="159" customFormat="1">
      <c r="A9" s="175">
        <v>1951</v>
      </c>
      <c r="B9">
        <v>0.14269000000000001</v>
      </c>
      <c r="C9">
        <v>0.1216125401799088</v>
      </c>
      <c r="D9">
        <v>5.368483237335675E-2</v>
      </c>
    </row>
    <row r="10" spans="1:84" s="158" customFormat="1">
      <c r="A10" s="175">
        <v>1952</v>
      </c>
      <c r="B10">
        <v>0.1484</v>
      </c>
      <c r="C10">
        <v>0.12647908727099641</v>
      </c>
      <c r="D10">
        <v>4.0016819679024707E-2</v>
      </c>
    </row>
    <row r="11" spans="1:84">
      <c r="A11" s="175">
        <v>1953</v>
      </c>
      <c r="B11">
        <v>0.15110499999999999</v>
      </c>
      <c r="C11">
        <v>0.12878451807334171</v>
      </c>
      <c r="D11">
        <v>1.8227762803234349E-2</v>
      </c>
    </row>
    <row r="12" spans="1:84">
      <c r="A12" s="175">
        <v>1954</v>
      </c>
      <c r="B12">
        <v>0.152895</v>
      </c>
      <c r="C12">
        <v>0.1303101081421765</v>
      </c>
      <c r="D12">
        <v>1.184606730419269E-2</v>
      </c>
    </row>
    <row r="13" spans="1:84">
      <c r="A13" s="175">
        <v>1955</v>
      </c>
      <c r="B13">
        <v>0.15408749999999999</v>
      </c>
      <c r="C13">
        <v>0.1313264579506041</v>
      </c>
      <c r="D13">
        <v>7.7994702246637626E-3</v>
      </c>
    </row>
    <row r="14" spans="1:84">
      <c r="A14" s="175">
        <v>1956</v>
      </c>
      <c r="B14">
        <v>0.15808749999999999</v>
      </c>
      <c r="C14">
        <v>0.1347355977692293</v>
      </c>
      <c r="D14">
        <v>2.595927638517059E-2</v>
      </c>
    </row>
    <row r="15" spans="1:84">
      <c r="A15" s="175">
        <v>1957</v>
      </c>
      <c r="B15">
        <v>0.16398750000000001</v>
      </c>
      <c r="C15">
        <v>0.1397640790017016</v>
      </c>
      <c r="D15">
        <v>3.7321103819087709E-2</v>
      </c>
    </row>
    <row r="16" spans="1:84">
      <c r="A16" s="175">
        <v>1958</v>
      </c>
      <c r="B16">
        <v>0.16893749999999999</v>
      </c>
      <c r="C16">
        <v>0.1439828895272503</v>
      </c>
      <c r="D16">
        <v>3.0185227532586231E-2</v>
      </c>
    </row>
    <row r="17" spans="1:4">
      <c r="A17" s="175">
        <v>1959</v>
      </c>
      <c r="B17">
        <v>0.1715325</v>
      </c>
      <c r="C17">
        <v>0.14619456898458341</v>
      </c>
      <c r="D17">
        <v>1.5360710321864479E-2</v>
      </c>
    </row>
    <row r="18" spans="1:4">
      <c r="A18" s="175">
        <v>1960</v>
      </c>
      <c r="B18">
        <v>0.17391499999999999</v>
      </c>
      <c r="C18">
        <v>0.14822513788905209</v>
      </c>
      <c r="D18">
        <v>1.38894961596201E-2</v>
      </c>
    </row>
    <row r="19" spans="1:4">
      <c r="A19" s="175">
        <v>1961</v>
      </c>
      <c r="B19">
        <v>0.17630499999999999</v>
      </c>
      <c r="C19">
        <v>0.15026209893068071</v>
      </c>
      <c r="D19">
        <v>1.3742345398614081E-2</v>
      </c>
    </row>
    <row r="20" spans="1:4">
      <c r="A20" s="175">
        <v>1962</v>
      </c>
      <c r="B20">
        <v>0.1781575</v>
      </c>
      <c r="C20">
        <v>0.1518409568091815</v>
      </c>
      <c r="D20">
        <v>1.0507359405575791E-2</v>
      </c>
    </row>
    <row r="21" spans="1:4">
      <c r="A21" s="175">
        <v>1963</v>
      </c>
      <c r="B21">
        <v>0.18029000000000001</v>
      </c>
      <c r="C21">
        <v>0.15365845447498611</v>
      </c>
      <c r="D21">
        <v>1.196974587092892E-2</v>
      </c>
    </row>
    <row r="22" spans="1:4">
      <c r="A22" s="175">
        <v>1964</v>
      </c>
      <c r="B22">
        <v>0.18249499999999999</v>
      </c>
      <c r="C22">
        <v>0.15553774280000321</v>
      </c>
      <c r="D22">
        <v>1.223029563481037E-2</v>
      </c>
    </row>
    <row r="23" spans="1:4">
      <c r="A23" s="175">
        <v>1965</v>
      </c>
      <c r="B23">
        <v>0.1856775</v>
      </c>
      <c r="C23">
        <v>0.1582501396681969</v>
      </c>
      <c r="D23">
        <v>1.7438833940655929E-2</v>
      </c>
    </row>
    <row r="24" spans="1:4">
      <c r="A24" s="175">
        <v>1966</v>
      </c>
      <c r="B24">
        <v>0.1897075</v>
      </c>
      <c r="C24">
        <v>0.16168484803546179</v>
      </c>
      <c r="D24">
        <v>2.1704299120787422E-2</v>
      </c>
    </row>
    <row r="25" spans="1:4">
      <c r="A25" s="175">
        <v>1967</v>
      </c>
      <c r="B25">
        <v>0.19548499999999999</v>
      </c>
      <c r="C25">
        <v>0.1666089243609887</v>
      </c>
      <c r="D25">
        <v>3.0454779067775609E-2</v>
      </c>
    </row>
    <row r="26" spans="1:4">
      <c r="A26" s="175">
        <v>1968</v>
      </c>
      <c r="B26">
        <v>0.20224249999999999</v>
      </c>
      <c r="C26">
        <v>0.1723682399420787</v>
      </c>
      <c r="D26">
        <v>3.4567869657518457E-2</v>
      </c>
    </row>
    <row r="27" spans="1:4">
      <c r="A27" s="175">
        <v>1969</v>
      </c>
      <c r="B27">
        <v>0.21150749999999999</v>
      </c>
      <c r="C27">
        <v>0.18026466004696939</v>
      </c>
      <c r="D27">
        <v>4.5811340346366469E-2</v>
      </c>
    </row>
    <row r="28" spans="1:4">
      <c r="A28" s="175">
        <v>1970</v>
      </c>
      <c r="B28">
        <v>0.22285250000000001</v>
      </c>
      <c r="C28">
        <v>0.18993383285754531</v>
      </c>
      <c r="D28">
        <v>5.3638759854851559E-2</v>
      </c>
    </row>
    <row r="29" spans="1:4">
      <c r="A29" s="175">
        <v>1971</v>
      </c>
      <c r="B29">
        <v>0.23415749999999999</v>
      </c>
      <c r="C29">
        <v>0.19956891426993481</v>
      </c>
      <c r="D29">
        <v>5.0728620948833791E-2</v>
      </c>
    </row>
    <row r="30" spans="1:4">
      <c r="A30" s="175">
        <v>1972</v>
      </c>
      <c r="B30">
        <v>0.24531</v>
      </c>
      <c r="C30">
        <v>0.20907402222673929</v>
      </c>
      <c r="D30">
        <v>4.7628198968642899E-2</v>
      </c>
    </row>
    <row r="31" spans="1:4">
      <c r="A31" s="175">
        <v>1973</v>
      </c>
      <c r="B31">
        <v>0.25591750000000002</v>
      </c>
      <c r="C31">
        <v>0.21811463488325611</v>
      </c>
      <c r="D31">
        <v>4.3241205005910999E-2</v>
      </c>
    </row>
    <row r="32" spans="1:4">
      <c r="A32" s="175">
        <v>1974</v>
      </c>
      <c r="B32">
        <v>0.2740725</v>
      </c>
      <c r="C32">
        <v>0.23358786823504141</v>
      </c>
      <c r="D32">
        <v>7.0940830541092126E-2</v>
      </c>
    </row>
    <row r="33" spans="1:4">
      <c r="A33" s="175">
        <v>1975</v>
      </c>
      <c r="B33">
        <v>0.30237999999999998</v>
      </c>
      <c r="C33">
        <v>0.25771392458897491</v>
      </c>
      <c r="D33">
        <v>0.1032847148108622</v>
      </c>
    </row>
    <row r="34" spans="1:4">
      <c r="A34" s="175">
        <v>1976</v>
      </c>
      <c r="B34">
        <v>0.32339000000000001</v>
      </c>
      <c r="C34">
        <v>0.275620431486304</v>
      </c>
      <c r="D34">
        <v>6.9482108605066539E-2</v>
      </c>
    </row>
    <row r="35" spans="1:4">
      <c r="A35" s="175">
        <v>1977</v>
      </c>
      <c r="B35">
        <v>0.34666999999999998</v>
      </c>
      <c r="C35">
        <v>0.29546162523070291</v>
      </c>
      <c r="D35">
        <v>7.1987383654411152E-2</v>
      </c>
    </row>
    <row r="36" spans="1:4">
      <c r="A36" s="175">
        <v>1978</v>
      </c>
      <c r="B36">
        <v>0.36998999999999999</v>
      </c>
      <c r="C36">
        <v>0.31533691037328798</v>
      </c>
      <c r="D36">
        <v>6.72685839559235E-2</v>
      </c>
    </row>
    <row r="37" spans="1:4">
      <c r="A37" s="175">
        <v>1979</v>
      </c>
      <c r="B37">
        <v>0.39968749999999997</v>
      </c>
      <c r="C37">
        <v>0.34064764281419369</v>
      </c>
      <c r="D37">
        <v>8.0265682856293319E-2</v>
      </c>
    </row>
    <row r="38" spans="1:4">
      <c r="A38" s="175">
        <v>1980</v>
      </c>
      <c r="B38">
        <v>0.4344925</v>
      </c>
      <c r="C38">
        <v>0.37031142066100659</v>
      </c>
      <c r="D38">
        <v>8.7080531665363781E-2</v>
      </c>
    </row>
    <row r="39" spans="1:4">
      <c r="A39" s="175">
        <v>1981</v>
      </c>
      <c r="B39">
        <v>0.47704000000000002</v>
      </c>
      <c r="C39">
        <v>0.40657401476924587</v>
      </c>
      <c r="D39">
        <v>9.792459018279942E-2</v>
      </c>
    </row>
    <row r="40" spans="1:4">
      <c r="A40" s="175">
        <v>1982</v>
      </c>
      <c r="B40">
        <v>0.50977749999999999</v>
      </c>
      <c r="C40">
        <v>0.43447569347230691</v>
      </c>
      <c r="D40">
        <v>6.8626320643971228E-2</v>
      </c>
    </row>
    <row r="41" spans="1:4">
      <c r="A41" s="175">
        <v>1983</v>
      </c>
      <c r="B41">
        <v>0.53219749999999999</v>
      </c>
      <c r="C41">
        <v>0.45358392215570131</v>
      </c>
      <c r="D41">
        <v>4.3979971654300121E-2</v>
      </c>
    </row>
    <row r="42" spans="1:4">
      <c r="A42" s="175">
        <v>1984</v>
      </c>
      <c r="B42">
        <v>0.55100499999999997</v>
      </c>
      <c r="C42">
        <v>0.46961327144039988</v>
      </c>
      <c r="D42">
        <v>3.5339324217043437E-2</v>
      </c>
    </row>
    <row r="43" spans="1:4">
      <c r="A43" s="175">
        <v>1985</v>
      </c>
      <c r="B43">
        <v>0.56925500000000007</v>
      </c>
      <c r="C43">
        <v>0.48516747186287762</v>
      </c>
      <c r="D43">
        <v>3.3121296539958989E-2</v>
      </c>
    </row>
    <row r="44" spans="1:4">
      <c r="A44" s="175">
        <v>1986</v>
      </c>
      <c r="B44">
        <v>0.58223750000000007</v>
      </c>
      <c r="C44">
        <v>0.49623226128670322</v>
      </c>
      <c r="D44">
        <v>2.2806123793378989E-2</v>
      </c>
    </row>
    <row r="45" spans="1:4">
      <c r="A45" s="175">
        <v>1987</v>
      </c>
      <c r="B45">
        <v>0.59523749999999997</v>
      </c>
      <c r="C45">
        <v>0.50731196569723513</v>
      </c>
      <c r="D45">
        <v>2.2327658386826599E-2</v>
      </c>
    </row>
    <row r="46" spans="1:4">
      <c r="A46" s="175">
        <v>1988</v>
      </c>
      <c r="B46">
        <v>0.61446749999999994</v>
      </c>
      <c r="C46">
        <v>0.52370140537527587</v>
      </c>
      <c r="D46">
        <v>3.2306432306432153E-2</v>
      </c>
    </row>
    <row r="47" spans="1:4">
      <c r="A47" s="175">
        <v>1989</v>
      </c>
      <c r="B47">
        <v>0.63894499999999999</v>
      </c>
      <c r="C47">
        <v>0.54456321035287569</v>
      </c>
      <c r="D47">
        <v>3.9835304552315647E-2</v>
      </c>
    </row>
    <row r="48" spans="1:4">
      <c r="A48" s="175">
        <v>1990</v>
      </c>
      <c r="B48">
        <v>0.66208750000000005</v>
      </c>
      <c r="C48">
        <v>0.56428721491600942</v>
      </c>
      <c r="D48">
        <v>3.6219862429473837E-2</v>
      </c>
    </row>
    <row r="49" spans="1:4">
      <c r="A49" s="175">
        <v>1991</v>
      </c>
      <c r="B49">
        <v>0.68558750000000002</v>
      </c>
      <c r="C49">
        <v>0.5843159113504327</v>
      </c>
      <c r="D49">
        <v>3.5493798025185493E-2</v>
      </c>
    </row>
    <row r="50" spans="1:4">
      <c r="A50" s="175">
        <v>1992</v>
      </c>
      <c r="B50">
        <v>0.70237499999999997</v>
      </c>
      <c r="C50">
        <v>0.59862364502672549</v>
      </c>
      <c r="D50">
        <v>2.4486298247853089E-2</v>
      </c>
    </row>
    <row r="51" spans="1:4">
      <c r="A51" s="175">
        <v>1993</v>
      </c>
      <c r="B51">
        <v>0.71904750000000006</v>
      </c>
      <c r="C51">
        <v>0.6128333659332329</v>
      </c>
      <c r="D51">
        <v>2.3737319807795029E-2</v>
      </c>
    </row>
    <row r="52" spans="1:4">
      <c r="A52" s="175">
        <v>1994</v>
      </c>
      <c r="B52">
        <v>0.73469249999999997</v>
      </c>
      <c r="C52">
        <v>0.62616736404883078</v>
      </c>
      <c r="D52">
        <v>2.1757950622176999E-2</v>
      </c>
    </row>
    <row r="53" spans="1:4">
      <c r="A53" s="175">
        <v>1995</v>
      </c>
      <c r="B53">
        <v>0.75026000000000004</v>
      </c>
      <c r="C53">
        <v>0.63943531008044285</v>
      </c>
      <c r="D53">
        <v>2.1189136951853978E-2</v>
      </c>
    </row>
    <row r="54" spans="1:4">
      <c r="A54" s="175">
        <v>1996</v>
      </c>
      <c r="B54">
        <v>0.76429999999999998</v>
      </c>
      <c r="C54">
        <v>0.65140139084381743</v>
      </c>
      <c r="D54">
        <v>1.8713512648948379E-2</v>
      </c>
    </row>
    <row r="55" spans="1:4">
      <c r="A55" s="175">
        <v>1997</v>
      </c>
      <c r="B55">
        <v>0.7777925</v>
      </c>
      <c r="C55">
        <v>0.66290084559451767</v>
      </c>
      <c r="D55">
        <v>1.7653408347507501E-2</v>
      </c>
    </row>
    <row r="56" spans="1:4">
      <c r="A56" s="175">
        <v>1998</v>
      </c>
      <c r="B56">
        <v>0.78739000000000003</v>
      </c>
      <c r="C56">
        <v>0.67108065044683163</v>
      </c>
      <c r="D56">
        <v>1.233940928975286E-2</v>
      </c>
    </row>
    <row r="57" spans="1:4">
      <c r="A57" s="175">
        <v>1999</v>
      </c>
      <c r="B57">
        <v>0.79737999999999998</v>
      </c>
      <c r="C57">
        <v>0.6795949771438482</v>
      </c>
      <c r="D57">
        <v>1.268748650605178E-2</v>
      </c>
    </row>
    <row r="58" spans="1:4">
      <c r="A58" s="175">
        <v>2000</v>
      </c>
      <c r="B58">
        <v>0.81388499999999997</v>
      </c>
      <c r="C58">
        <v>0.69366194032045059</v>
      </c>
      <c r="D58">
        <v>2.0699039353883949E-2</v>
      </c>
    </row>
    <row r="59" spans="1:4">
      <c r="A59" s="175">
        <v>2001</v>
      </c>
      <c r="B59">
        <v>0.83344249999999998</v>
      </c>
      <c r="C59">
        <v>0.71033050332114134</v>
      </c>
      <c r="D59">
        <v>2.4029807650957968E-2</v>
      </c>
    </row>
    <row r="60" spans="1:4">
      <c r="A60" s="175">
        <v>2002</v>
      </c>
      <c r="B60">
        <v>0.84686499999999998</v>
      </c>
      <c r="C60">
        <v>0.72177029812501559</v>
      </c>
      <c r="D60">
        <v>1.6104890259375889E-2</v>
      </c>
    </row>
    <row r="61" spans="1:4">
      <c r="A61" s="175">
        <v>2003</v>
      </c>
      <c r="B61">
        <v>0.86307</v>
      </c>
      <c r="C61">
        <v>0.73558157581522121</v>
      </c>
      <c r="D61">
        <v>1.9135281302214761E-2</v>
      </c>
    </row>
    <row r="62" spans="1:4">
      <c r="A62" s="175">
        <v>2004</v>
      </c>
      <c r="B62">
        <v>0.88443000000000005</v>
      </c>
      <c r="C62">
        <v>0.75378638244667995</v>
      </c>
      <c r="D62">
        <v>2.4748861621884721E-2</v>
      </c>
    </row>
    <row r="63" spans="1:4">
      <c r="A63" s="175">
        <v>2005</v>
      </c>
      <c r="B63">
        <v>0.91226249999999998</v>
      </c>
      <c r="C63">
        <v>0.77750760344715164</v>
      </c>
      <c r="D63">
        <v>3.146942098300598E-2</v>
      </c>
    </row>
    <row r="64" spans="1:4">
      <c r="A64" s="175">
        <v>2006</v>
      </c>
      <c r="B64">
        <v>0.94188249999999996</v>
      </c>
      <c r="C64">
        <v>0.80275228380407149</v>
      </c>
      <c r="D64">
        <v>3.2468724736575139E-2</v>
      </c>
    </row>
    <row r="65" spans="1:4">
      <c r="A65" s="175">
        <v>2007</v>
      </c>
      <c r="B65">
        <v>0.96750999999999998</v>
      </c>
      <c r="C65">
        <v>0.82459421647952613</v>
      </c>
      <c r="D65">
        <v>2.7208807892704408E-2</v>
      </c>
    </row>
    <row r="66" spans="1:4">
      <c r="A66" s="175">
        <v>2008</v>
      </c>
      <c r="B66">
        <v>0.9875275</v>
      </c>
      <c r="C66">
        <v>0.84165483055935886</v>
      </c>
      <c r="D66">
        <v>2.0689708633502502E-2</v>
      </c>
    </row>
    <row r="67" spans="1:4">
      <c r="A67" s="175">
        <v>2009</v>
      </c>
      <c r="B67">
        <v>0.99905250000000001</v>
      </c>
      <c r="C67">
        <v>0.85147741466177274</v>
      </c>
      <c r="D67">
        <v>1.167056107298259E-2</v>
      </c>
    </row>
    <row r="68" spans="1:4">
      <c r="A68" s="175">
        <v>2010</v>
      </c>
      <c r="B68">
        <v>1.0078125</v>
      </c>
      <c r="C68">
        <v>0.85894343086456204</v>
      </c>
      <c r="D68">
        <v>8.7683079718032797E-3</v>
      </c>
    </row>
    <row r="69" spans="1:4">
      <c r="A69" s="175">
        <v>2011</v>
      </c>
      <c r="B69">
        <v>1.0282800000000001</v>
      </c>
      <c r="C69">
        <v>0.87638757317399019</v>
      </c>
      <c r="D69">
        <v>2.030883720930254E-2</v>
      </c>
    </row>
    <row r="70" spans="1:4">
      <c r="A70" s="175">
        <v>2012</v>
      </c>
      <c r="B70">
        <v>1.04714</v>
      </c>
      <c r="C70">
        <v>0.89246166741880806</v>
      </c>
      <c r="D70">
        <v>1.8341307814991881E-2</v>
      </c>
    </row>
    <row r="71" spans="1:4">
      <c r="A71" s="175">
        <v>2013</v>
      </c>
      <c r="B71">
        <v>1.0648299999999999</v>
      </c>
      <c r="C71">
        <v>0.9075385882666781</v>
      </c>
      <c r="D71">
        <v>1.6893634089042431E-2</v>
      </c>
    </row>
    <row r="72" spans="1:4">
      <c r="A72" s="175">
        <v>2014</v>
      </c>
      <c r="B72">
        <v>1.0841775</v>
      </c>
      <c r="C72">
        <v>0.9240281714268912</v>
      </c>
      <c r="D72">
        <v>1.8169566973132101E-2</v>
      </c>
    </row>
    <row r="73" spans="1:4">
      <c r="A73" s="175">
        <v>2015</v>
      </c>
      <c r="B73">
        <v>1.0972500000000001</v>
      </c>
      <c r="C73">
        <v>0.9351696664966358</v>
      </c>
      <c r="D73">
        <v>1.205752748050948E-2</v>
      </c>
    </row>
    <row r="74" spans="1:4">
      <c r="A74" s="175">
        <v>2016</v>
      </c>
      <c r="B74">
        <v>1.1099825000000001</v>
      </c>
      <c r="C74">
        <v>0.94602138468179731</v>
      </c>
      <c r="D74">
        <v>1.1604010025062729E-2</v>
      </c>
    </row>
    <row r="75" spans="1:4">
      <c r="A75" s="175">
        <v>2017</v>
      </c>
      <c r="B75">
        <v>1.1290125</v>
      </c>
      <c r="C75">
        <v>0.96224036736890672</v>
      </c>
      <c r="D75">
        <v>1.7144414438966301E-2</v>
      </c>
    </row>
    <row r="76" spans="1:4">
      <c r="A76" s="175">
        <v>2018</v>
      </c>
      <c r="B76">
        <v>1.1506894999999999</v>
      </c>
      <c r="C76">
        <v>0.9807153483309915</v>
      </c>
      <c r="D76">
        <v>1.9199964570808529E-2</v>
      </c>
    </row>
    <row r="77" spans="1:4">
      <c r="A77" s="175">
        <v>2019</v>
      </c>
      <c r="B77">
        <v>1.1733165000000001</v>
      </c>
      <c r="C77">
        <v>1</v>
      </c>
      <c r="D77">
        <v>1.966386240597506E-2</v>
      </c>
    </row>
    <row r="78" spans="1:4">
      <c r="A78" s="175">
        <v>2020</v>
      </c>
      <c r="B78">
        <v>1.1980055000000001</v>
      </c>
      <c r="C78">
        <v>1.0210420632455099</v>
      </c>
      <c r="D78">
        <v>2.1042063245509501E-2</v>
      </c>
    </row>
    <row r="79" spans="1:4">
      <c r="A79" s="175">
        <v>2021</v>
      </c>
      <c r="B79">
        <v>1.2239767500000001</v>
      </c>
      <c r="C79">
        <v>1.043176968874127</v>
      </c>
      <c r="D79">
        <v>2.1678740206117601E-2</v>
      </c>
    </row>
    <row r="80" spans="1:4">
      <c r="A80" s="175">
        <v>2022</v>
      </c>
      <c r="B80">
        <v>1.2504630000000001</v>
      </c>
      <c r="C80">
        <v>1.065750801254393</v>
      </c>
      <c r="D80">
        <v>2.163950418175831E-2</v>
      </c>
    </row>
    <row r="81" spans="1:4">
      <c r="A81" s="175">
        <v>2023</v>
      </c>
      <c r="B81">
        <v>1.277757</v>
      </c>
      <c r="C81">
        <v>1.0890130668067819</v>
      </c>
      <c r="D81">
        <v>2.1827115236516589E-2</v>
      </c>
    </row>
    <row r="82" spans="1:4">
      <c r="A82" s="175">
        <v>2024</v>
      </c>
      <c r="B82">
        <v>1.3056877499999999</v>
      </c>
      <c r="C82">
        <v>1.1128180248040489</v>
      </c>
      <c r="D82">
        <v>2.185920327574031E-2</v>
      </c>
    </row>
    <row r="83" spans="1:4">
      <c r="A83" s="175">
        <v>2025</v>
      </c>
      <c r="B83">
        <v>1.3335444999999999</v>
      </c>
      <c r="C83">
        <v>1.1365599137146709</v>
      </c>
      <c r="D83">
        <v>2.1334924831760031E-2</v>
      </c>
    </row>
    <row r="84" spans="1:4">
      <c r="A84" s="175">
        <v>2026</v>
      </c>
      <c r="B84">
        <v>1.3615522499999999</v>
      </c>
      <c r="C84">
        <v>1.1604304976534461</v>
      </c>
      <c r="D84">
        <v>2.1002486231243012E-2</v>
      </c>
    </row>
    <row r="85" spans="1:4">
      <c r="A85" s="175">
        <v>2027</v>
      </c>
      <c r="B85">
        <v>1.3898094999999999</v>
      </c>
      <c r="C85">
        <v>1.184513726688408</v>
      </c>
      <c r="D85">
        <v>2.0753702254173719E-2</v>
      </c>
    </row>
    <row r="86" spans="1:4">
      <c r="A86" s="175">
        <v>2028</v>
      </c>
      <c r="B86">
        <v>1.4185410000000001</v>
      </c>
      <c r="C86">
        <v>1.2090011518631161</v>
      </c>
      <c r="D86">
        <v>2.0672977123843191E-2</v>
      </c>
    </row>
    <row r="87" spans="1:4">
      <c r="A87" s="175">
        <v>2029</v>
      </c>
      <c r="B87">
        <v>1.447866465642234</v>
      </c>
      <c r="C87">
        <v>1.233994805018283</v>
      </c>
      <c r="D87">
        <v>2.067297712384342E-2</v>
      </c>
    </row>
    <row r="88" spans="1:4">
      <c r="A88" s="175">
        <v>2030</v>
      </c>
      <c r="B88">
        <v>1.4777981759648351</v>
      </c>
      <c r="C88">
        <v>1.2595051513933671</v>
      </c>
      <c r="D88">
        <v>2.0672977123843191E-2</v>
      </c>
    </row>
    <row r="89" spans="1:4">
      <c r="A89" s="175">
        <v>2031</v>
      </c>
      <c r="B89">
        <v>1.5083486638502139</v>
      </c>
      <c r="C89">
        <v>1.2855428725754849</v>
      </c>
      <c r="D89">
        <v>2.067297712384342E-2</v>
      </c>
    </row>
    <row r="90" spans="1:4">
      <c r="A90" s="175">
        <v>2032</v>
      </c>
      <c r="B90">
        <v>1.5395307212727689</v>
      </c>
      <c r="C90">
        <v>1.3121188709719569</v>
      </c>
      <c r="D90">
        <v>2.0672977123843191E-2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OCO_TOA</vt:lpstr>
      <vt:lpstr>OCO_CBO_TOA</vt:lpstr>
      <vt:lpstr>CBO_Enacted_PB16</vt:lpstr>
      <vt:lpstr>GB_Tab6_1</vt:lpstr>
      <vt:lpstr>OCO_BA</vt:lpstr>
      <vt:lpstr>OCO_DoD_BA</vt:lpstr>
      <vt:lpstr>GB_Tab2-1</vt:lpstr>
      <vt:lpstr>GB_Tab6-8</vt:lpstr>
      <vt:lpstr>DoD_Overview_PB19</vt:lpstr>
      <vt:lpstr>98GulfWar</vt:lpstr>
      <vt:lpstr>OCO_Strength</vt:lpstr>
      <vt:lpstr>OCO_Strength_CRS</vt:lpstr>
      <vt:lpstr>pgdp</vt:lpstr>
      <vt:lpstr>GB_Tab6_1!Print_Area</vt:lpstr>
      <vt:lpstr>'GB_Tab6-8'!Print_Area</vt:lpstr>
    </vt:vector>
  </TitlesOfParts>
  <Company>Congressional Budget Office, National Security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M Woodward</dc:creator>
  <cp:lastModifiedBy>Matt Woodward</cp:lastModifiedBy>
  <cp:lastPrinted>2017-06-08T18:39:59Z</cp:lastPrinted>
  <dcterms:created xsi:type="dcterms:W3CDTF">2016-04-29T14:06:12Z</dcterms:created>
  <dcterms:modified xsi:type="dcterms:W3CDTF">2018-12-11T14:52:43Z</dcterms:modified>
</cp:coreProperties>
</file>