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amp64\www\gaztekcrm\DK\"/>
    </mc:Choice>
  </mc:AlternateContent>
  <bookViews>
    <workbookView xWindow="0" yWindow="0" windowWidth="28800" windowHeight="12315" tabRatio="500"/>
  </bookViews>
  <sheets>
    <sheet name="Parametre Sayfası" sheetId="1" r:id="rId1"/>
    <sheet name="Bilgi Giriş Sayfası" sheetId="2" r:id="rId2"/>
    <sheet name="Teklif" sheetId="3" r:id="rId3"/>
    <sheet name="Quote English Arabic" sheetId="4" r:id="rId4"/>
    <sheet name="Quote English" sheetId="5" r:id="rId5"/>
    <sheet name="Teklif USD" sheetId="6" r:id="rId6"/>
    <sheet name="Proforma TL" sheetId="7" r:id="rId7"/>
    <sheet name="Proforma Türkçe USD" sheetId="8" r:id="rId8"/>
    <sheet name="Proforma USD" sheetId="9" r:id="rId9"/>
    <sheet name="Proforma EURO" sheetId="10" r:id="rId10"/>
    <sheet name="Proforma (ingilizce-euro)" sheetId="11" r:id="rId11"/>
    <sheet name="Proforma (ingilizce-usd)" sheetId="12" r:id="rId12"/>
    <sheet name="Sözleşme" sheetId="13" r:id="rId13"/>
    <sheet name="Teklifler" sheetId="14" r:id="rId14"/>
  </sheets>
  <definedNames>
    <definedName name="Red_Line">'Parametre Sayfası'!$B$3:$B$6</definedName>
    <definedName name="_xlnm.Print_Area" localSheetId="10">'Proforma (ingilizce-euro)'!$A$1:$J$52</definedName>
    <definedName name="_xlnm.Print_Area" localSheetId="11">'Proforma (ingilizce-usd)'!$A$1:$J$52</definedName>
    <definedName name="_xlnm.Print_Area" localSheetId="9">'Proforma EURO'!$A$1:$J$52</definedName>
    <definedName name="_xlnm.Print_Area" localSheetId="6">'Proforma TL'!$A$1:$J$52</definedName>
    <definedName name="_xlnm.Print_Area" localSheetId="7">'Proforma Türkçe USD'!$A$1:$J$52</definedName>
    <definedName name="_xlnm.Print_Area" localSheetId="8">'Proforma USD'!$A$1:$J$52</definedName>
    <definedName name="_xlnm.Print_Area" localSheetId="4">'Quote English'!$A$1:$K$127</definedName>
    <definedName name="_xlnm.Print_Area" localSheetId="3">'Quote English Arabic'!$A$1:$K$127</definedName>
    <definedName name="_xlnm.Print_Area" localSheetId="12">Sözleşme!$A$1:$P$209</definedName>
    <definedName name="_xlnm.Print_Area" localSheetId="2">Teklif!$A$1:$K$124</definedName>
    <definedName name="_xlnm.Print_Area" localSheetId="5">'Teklif USD'!$A$1:$K$127</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F8" i="2" l="1"/>
  <c r="N200" i="13" l="1"/>
  <c r="E200" i="13"/>
  <c r="E199" i="13"/>
  <c r="N198" i="13"/>
  <c r="E198" i="13"/>
  <c r="A196" i="13"/>
  <c r="H175" i="13"/>
  <c r="H166" i="13"/>
  <c r="H165" i="13"/>
  <c r="H164" i="13"/>
  <c r="H163" i="13"/>
  <c r="H162" i="13"/>
  <c r="H167" i="13" s="1"/>
  <c r="K146" i="13"/>
  <c r="B145" i="13"/>
  <c r="B94" i="13"/>
  <c r="B45" i="13"/>
  <c r="A41" i="13"/>
  <c r="K40" i="13"/>
  <c r="A39" i="13"/>
  <c r="H31" i="13"/>
  <c r="K203" i="13" s="1"/>
  <c r="M30" i="13"/>
  <c r="H30" i="13"/>
  <c r="N199" i="13" s="1"/>
  <c r="H29" i="13"/>
  <c r="M28" i="13"/>
  <c r="H28" i="13"/>
  <c r="H26" i="13"/>
  <c r="H25" i="13"/>
  <c r="K196" i="13" s="1"/>
  <c r="M22" i="13"/>
  <c r="H22" i="13"/>
  <c r="H12" i="13"/>
  <c r="H13" i="13" s="1"/>
  <c r="J32" i="12"/>
  <c r="I32" i="12"/>
  <c r="H32" i="12"/>
  <c r="G32" i="12"/>
  <c r="C32" i="12"/>
  <c r="J31" i="12"/>
  <c r="I31" i="12"/>
  <c r="H31" i="12"/>
  <c r="G31" i="12"/>
  <c r="C31" i="12"/>
  <c r="J30" i="12"/>
  <c r="I30" i="12"/>
  <c r="H30" i="12"/>
  <c r="G30" i="12"/>
  <c r="C30" i="12"/>
  <c r="J29" i="12"/>
  <c r="I29" i="12"/>
  <c r="H29" i="12"/>
  <c r="G29" i="12"/>
  <c r="C29" i="12"/>
  <c r="C28" i="12"/>
  <c r="C27" i="12"/>
  <c r="C26" i="12"/>
  <c r="C25" i="12"/>
  <c r="C24" i="12"/>
  <c r="C23" i="12"/>
  <c r="C21" i="12"/>
  <c r="C19" i="12"/>
  <c r="J18" i="12"/>
  <c r="J35" i="12" s="1"/>
  <c r="I18" i="12"/>
  <c r="G18" i="12"/>
  <c r="C18" i="12"/>
  <c r="D12" i="12"/>
  <c r="C12" i="12"/>
  <c r="C10" i="12"/>
  <c r="C8" i="12"/>
  <c r="J32" i="11"/>
  <c r="I32" i="11"/>
  <c r="H32" i="11"/>
  <c r="G32" i="11"/>
  <c r="C32" i="11"/>
  <c r="J31" i="11"/>
  <c r="I31" i="11"/>
  <c r="H31" i="11"/>
  <c r="G31" i="11"/>
  <c r="C31" i="11"/>
  <c r="J30" i="11"/>
  <c r="I30" i="11"/>
  <c r="H30" i="11"/>
  <c r="G30" i="11"/>
  <c r="C30" i="11"/>
  <c r="J29" i="11"/>
  <c r="I29" i="11"/>
  <c r="H29" i="11"/>
  <c r="G29" i="11"/>
  <c r="C29" i="11"/>
  <c r="C28" i="11"/>
  <c r="C27" i="11"/>
  <c r="C26" i="11"/>
  <c r="C25" i="11"/>
  <c r="C24" i="11"/>
  <c r="C23" i="11"/>
  <c r="C21" i="11"/>
  <c r="C19" i="11"/>
  <c r="I18" i="11"/>
  <c r="G18" i="11"/>
  <c r="J18" i="11" s="1"/>
  <c r="J35" i="11" s="1"/>
  <c r="C18" i="11"/>
  <c r="D12" i="11"/>
  <c r="C12" i="11"/>
  <c r="C10" i="11"/>
  <c r="C8" i="11"/>
  <c r="J32" i="10"/>
  <c r="I32" i="10"/>
  <c r="H32" i="10"/>
  <c r="G32" i="10"/>
  <c r="C32" i="10"/>
  <c r="J31" i="10"/>
  <c r="I31" i="10"/>
  <c r="H31" i="10"/>
  <c r="G31" i="10"/>
  <c r="C31" i="10"/>
  <c r="J30" i="10"/>
  <c r="I30" i="10"/>
  <c r="H30" i="10"/>
  <c r="G30" i="10"/>
  <c r="C30" i="10"/>
  <c r="J29" i="10"/>
  <c r="I29" i="10"/>
  <c r="H29" i="10"/>
  <c r="G29" i="10"/>
  <c r="C29" i="10"/>
  <c r="C28" i="10"/>
  <c r="C27" i="10"/>
  <c r="C26" i="10"/>
  <c r="C25" i="10"/>
  <c r="C24" i="10"/>
  <c r="C23" i="10"/>
  <c r="C21" i="10"/>
  <c r="C19" i="10"/>
  <c r="J18" i="10"/>
  <c r="I18" i="10"/>
  <c r="G18" i="10"/>
  <c r="C18" i="10"/>
  <c r="D12" i="10"/>
  <c r="C12" i="10"/>
  <c r="C10" i="10"/>
  <c r="C8" i="10"/>
  <c r="J32" i="9"/>
  <c r="I32" i="9"/>
  <c r="H32" i="9"/>
  <c r="G32" i="9"/>
  <c r="C32" i="9"/>
  <c r="J31" i="9"/>
  <c r="I31" i="9"/>
  <c r="H31" i="9"/>
  <c r="G31" i="9"/>
  <c r="C31" i="9"/>
  <c r="J30" i="9"/>
  <c r="I30" i="9"/>
  <c r="H30" i="9"/>
  <c r="G30" i="9"/>
  <c r="C30" i="9"/>
  <c r="J29" i="9"/>
  <c r="I29" i="9"/>
  <c r="H29" i="9"/>
  <c r="G29" i="9"/>
  <c r="C29" i="9"/>
  <c r="C28" i="9"/>
  <c r="G18" i="9"/>
  <c r="D12" i="9"/>
  <c r="J32" i="8"/>
  <c r="I32" i="8"/>
  <c r="H32" i="8"/>
  <c r="G32" i="8"/>
  <c r="C32" i="8"/>
  <c r="J31" i="8"/>
  <c r="I31" i="8"/>
  <c r="H31" i="8"/>
  <c r="G31" i="8"/>
  <c r="C31" i="8"/>
  <c r="J30" i="8"/>
  <c r="I30" i="8"/>
  <c r="H30" i="8"/>
  <c r="G30" i="8"/>
  <c r="C30" i="8"/>
  <c r="J29" i="8"/>
  <c r="I29" i="8"/>
  <c r="H29" i="8"/>
  <c r="G29" i="8"/>
  <c r="C29" i="8"/>
  <c r="C28" i="8"/>
  <c r="C27" i="8"/>
  <c r="C26" i="8"/>
  <c r="C25" i="8"/>
  <c r="C24" i="8"/>
  <c r="C23" i="8"/>
  <c r="C21" i="8"/>
  <c r="C19" i="8"/>
  <c r="G18" i="8"/>
  <c r="C18" i="8"/>
  <c r="D12" i="8"/>
  <c r="C12" i="8"/>
  <c r="C10" i="8"/>
  <c r="C8" i="8"/>
  <c r="H32" i="7"/>
  <c r="G32" i="7"/>
  <c r="C32" i="7"/>
  <c r="K39" i="13" s="1"/>
  <c r="H31" i="7"/>
  <c r="G31" i="7"/>
  <c r="C31" i="7"/>
  <c r="K38" i="13" s="1"/>
  <c r="J30" i="7"/>
  <c r="I30" i="7"/>
  <c r="H30" i="7"/>
  <c r="G30" i="7"/>
  <c r="C30" i="7"/>
  <c r="K37" i="13" s="1"/>
  <c r="J29" i="7"/>
  <c r="I29" i="7"/>
  <c r="H29" i="7"/>
  <c r="G29" i="7"/>
  <c r="C29" i="7"/>
  <c r="K36" i="13" s="1"/>
  <c r="C28" i="7"/>
  <c r="K35" i="13" s="1"/>
  <c r="C27" i="7"/>
  <c r="K34" i="13" s="1"/>
  <c r="C26" i="7"/>
  <c r="K33" i="13" s="1"/>
  <c r="C25" i="7"/>
  <c r="A40" i="13" s="1"/>
  <c r="C24" i="7"/>
  <c r="C23" i="7"/>
  <c r="A38" i="13" s="1"/>
  <c r="C21" i="7"/>
  <c r="A36" i="13" s="1"/>
  <c r="C19" i="7"/>
  <c r="A34" i="13" s="1"/>
  <c r="G18" i="7"/>
  <c r="C18" i="7"/>
  <c r="A33" i="13" s="1"/>
  <c r="D12" i="7"/>
  <c r="C12" i="7"/>
  <c r="C10" i="7"/>
  <c r="C8" i="7"/>
  <c r="U98" i="6"/>
  <c r="S98" i="6"/>
  <c r="R98" i="6"/>
  <c r="E98" i="6"/>
  <c r="U97" i="6"/>
  <c r="S97" i="6"/>
  <c r="R97" i="6"/>
  <c r="G97" i="6"/>
  <c r="U96" i="6"/>
  <c r="S96" i="6"/>
  <c r="R96" i="6"/>
  <c r="H96" i="6"/>
  <c r="B96" i="6"/>
  <c r="U95" i="6"/>
  <c r="S95" i="6"/>
  <c r="R95" i="6"/>
  <c r="J95" i="6"/>
  <c r="C95" i="6"/>
  <c r="U94" i="6"/>
  <c r="S94" i="6"/>
  <c r="R94" i="6"/>
  <c r="E94" i="6"/>
  <c r="U93" i="6"/>
  <c r="S93" i="6"/>
  <c r="R93" i="6"/>
  <c r="G93" i="6"/>
  <c r="I82" i="6"/>
  <c r="I79" i="6"/>
  <c r="H98" i="6" s="1"/>
  <c r="H72" i="6"/>
  <c r="H70" i="6"/>
  <c r="J67" i="6"/>
  <c r="C39" i="6"/>
  <c r="C38" i="6"/>
  <c r="C37" i="6"/>
  <c r="C36" i="6"/>
  <c r="C33" i="6"/>
  <c r="C30" i="6"/>
  <c r="C28" i="6"/>
  <c r="B26" i="6"/>
  <c r="H14" i="6"/>
  <c r="H13" i="6"/>
  <c r="H12" i="6"/>
  <c r="H11" i="6"/>
  <c r="H10" i="6"/>
  <c r="H9" i="6"/>
  <c r="H8" i="6"/>
  <c r="J5" i="6"/>
  <c r="U98" i="5"/>
  <c r="S98" i="5"/>
  <c r="R98" i="5"/>
  <c r="E98" i="5"/>
  <c r="U97" i="5"/>
  <c r="S97" i="5"/>
  <c r="R97" i="5"/>
  <c r="G97" i="5"/>
  <c r="U96" i="5"/>
  <c r="S96" i="5"/>
  <c r="R96" i="5"/>
  <c r="H96" i="5"/>
  <c r="B96" i="5"/>
  <c r="U95" i="5"/>
  <c r="S95" i="5"/>
  <c r="R95" i="5"/>
  <c r="J95" i="5"/>
  <c r="C95" i="5"/>
  <c r="U94" i="5"/>
  <c r="S94" i="5"/>
  <c r="R94" i="5"/>
  <c r="E94" i="5"/>
  <c r="U93" i="5"/>
  <c r="S93" i="5"/>
  <c r="R93" i="5"/>
  <c r="G93" i="5"/>
  <c r="I82" i="5"/>
  <c r="I79" i="5"/>
  <c r="H98" i="5" s="1"/>
  <c r="H72" i="5"/>
  <c r="H70" i="5"/>
  <c r="J67" i="5"/>
  <c r="C39" i="5"/>
  <c r="C38" i="5"/>
  <c r="C37" i="5"/>
  <c r="C36" i="5"/>
  <c r="C33" i="5"/>
  <c r="C30" i="5"/>
  <c r="C28" i="5"/>
  <c r="J26" i="5"/>
  <c r="H26" i="5"/>
  <c r="I26" i="5" s="1"/>
  <c r="B26" i="5"/>
  <c r="H14" i="5"/>
  <c r="H13" i="5"/>
  <c r="H12" i="5"/>
  <c r="H11" i="5"/>
  <c r="H10" i="5"/>
  <c r="H9" i="5"/>
  <c r="H8" i="5"/>
  <c r="J5" i="5"/>
  <c r="U98" i="4"/>
  <c r="S98" i="4"/>
  <c r="R98" i="4"/>
  <c r="E98" i="4"/>
  <c r="U97" i="4"/>
  <c r="S97" i="4"/>
  <c r="R97" i="4"/>
  <c r="G97" i="4"/>
  <c r="U96" i="4"/>
  <c r="S96" i="4"/>
  <c r="R96" i="4"/>
  <c r="H96" i="4"/>
  <c r="B96" i="4"/>
  <c r="U95" i="4"/>
  <c r="S95" i="4"/>
  <c r="R95" i="4"/>
  <c r="J95" i="4"/>
  <c r="C95" i="4"/>
  <c r="U94" i="4"/>
  <c r="S94" i="4"/>
  <c r="R94" i="4"/>
  <c r="E94" i="4"/>
  <c r="U93" i="4"/>
  <c r="S93" i="4"/>
  <c r="R93" i="4"/>
  <c r="G93" i="4"/>
  <c r="I82" i="4"/>
  <c r="I79" i="4"/>
  <c r="H98" i="4" s="1"/>
  <c r="H72" i="4"/>
  <c r="H70" i="4"/>
  <c r="J67" i="4"/>
  <c r="C39" i="4"/>
  <c r="C38" i="4"/>
  <c r="C37" i="4"/>
  <c r="C36" i="4"/>
  <c r="C33" i="4"/>
  <c r="C30" i="4"/>
  <c r="C28" i="4"/>
  <c r="J26" i="4"/>
  <c r="H26" i="4"/>
  <c r="I26" i="4" s="1"/>
  <c r="B26" i="4"/>
  <c r="H14" i="4"/>
  <c r="H13" i="4"/>
  <c r="H12" i="4"/>
  <c r="H11" i="4"/>
  <c r="H10" i="4"/>
  <c r="H9" i="4"/>
  <c r="H8" i="4"/>
  <c r="J5" i="4"/>
  <c r="U98" i="3"/>
  <c r="S98" i="3"/>
  <c r="R98" i="3"/>
  <c r="E98" i="3"/>
  <c r="U97" i="3"/>
  <c r="S97" i="3"/>
  <c r="R97" i="3"/>
  <c r="G97" i="3"/>
  <c r="U96" i="3"/>
  <c r="S96" i="3"/>
  <c r="R96" i="3"/>
  <c r="H96" i="3"/>
  <c r="B96" i="3"/>
  <c r="U95" i="3"/>
  <c r="S95" i="3"/>
  <c r="R95" i="3"/>
  <c r="J95" i="3"/>
  <c r="C95" i="3"/>
  <c r="U94" i="3"/>
  <c r="S94" i="3"/>
  <c r="R94" i="3"/>
  <c r="E94" i="3"/>
  <c r="U93" i="3"/>
  <c r="S93" i="3"/>
  <c r="R93" i="3"/>
  <c r="G93" i="3"/>
  <c r="D83" i="3"/>
  <c r="I82" i="3"/>
  <c r="D82" i="3"/>
  <c r="D81" i="3"/>
  <c r="D85" i="3" s="1"/>
  <c r="I80" i="3" s="1"/>
  <c r="D80" i="3"/>
  <c r="I79" i="3"/>
  <c r="H98" i="3" s="1"/>
  <c r="D79" i="3"/>
  <c r="H72" i="3"/>
  <c r="H70" i="3"/>
  <c r="J67" i="3"/>
  <c r="C39" i="3"/>
  <c r="C38" i="3"/>
  <c r="C37" i="3"/>
  <c r="C36" i="3"/>
  <c r="C33" i="3"/>
  <c r="C30" i="3"/>
  <c r="C28" i="3"/>
  <c r="J26" i="3"/>
  <c r="H26" i="3"/>
  <c r="I57" i="3" s="1"/>
  <c r="B26" i="3"/>
  <c r="H14" i="3"/>
  <c r="H13" i="3"/>
  <c r="H12" i="3"/>
  <c r="H11" i="3"/>
  <c r="H10" i="3"/>
  <c r="H9" i="3"/>
  <c r="H8" i="3"/>
  <c r="J5" i="3"/>
  <c r="I23" i="2"/>
  <c r="C22" i="2"/>
  <c r="C22" i="11" s="1"/>
  <c r="F21" i="2"/>
  <c r="C20" i="12" s="1"/>
  <c r="F16" i="2"/>
  <c r="I17" i="5" s="1"/>
  <c r="I12" i="2"/>
  <c r="F9" i="2"/>
  <c r="B35" i="1" s="1"/>
  <c r="J7" i="2"/>
  <c r="I7" i="2"/>
  <c r="I13" i="2" s="1"/>
  <c r="J6" i="2"/>
  <c r="J12" i="2" s="1"/>
  <c r="I6" i="2"/>
  <c r="J5" i="2"/>
  <c r="I5" i="2"/>
  <c r="I11" i="2" s="1"/>
  <c r="J4" i="2"/>
  <c r="I31" i="7" s="1"/>
  <c r="J31" i="7" s="1"/>
  <c r="I4" i="2"/>
  <c r="I10" i="2" s="1"/>
  <c r="J3" i="2"/>
  <c r="I3" i="2"/>
  <c r="B34" i="1"/>
  <c r="C16" i="1"/>
  <c r="C15" i="1"/>
  <c r="C14" i="1"/>
  <c r="J35" i="10" l="1"/>
  <c r="C31" i="4"/>
  <c r="C31" i="5"/>
  <c r="C31" i="6"/>
  <c r="C31" i="3"/>
  <c r="I59" i="3"/>
  <c r="I57" i="6"/>
  <c r="H26" i="6"/>
  <c r="I57" i="5"/>
  <c r="I57" i="4"/>
  <c r="I18" i="9"/>
  <c r="D79" i="6"/>
  <c r="D79" i="5"/>
  <c r="D79" i="4"/>
  <c r="I18" i="8"/>
  <c r="J18" i="8" s="1"/>
  <c r="J35" i="8" s="1"/>
  <c r="I18" i="7"/>
  <c r="J18" i="7" s="1"/>
  <c r="J35" i="7" s="1"/>
  <c r="D81" i="6"/>
  <c r="D81" i="5"/>
  <c r="D81" i="4"/>
  <c r="J11" i="2"/>
  <c r="I32" i="7"/>
  <c r="J32" i="7" s="1"/>
  <c r="D83" i="6"/>
  <c r="D83" i="5"/>
  <c r="D83" i="4"/>
  <c r="J18" i="9"/>
  <c r="J35" i="9" s="1"/>
  <c r="F10" i="2"/>
  <c r="F11" i="2" s="1"/>
  <c r="I9" i="2"/>
  <c r="I15" i="2" s="1"/>
  <c r="B33" i="1"/>
  <c r="J13" i="2"/>
  <c r="G13" i="2"/>
  <c r="G14" i="2" s="1"/>
  <c r="I9" i="11"/>
  <c r="I12" i="11" s="1"/>
  <c r="I9" i="9"/>
  <c r="I12" i="9" s="1"/>
  <c r="I9" i="8"/>
  <c r="I12" i="8" s="1"/>
  <c r="I9" i="7"/>
  <c r="I12" i="7" s="1"/>
  <c r="I12" i="13"/>
  <c r="I9" i="12"/>
  <c r="I12" i="12" s="1"/>
  <c r="I9" i="10"/>
  <c r="I12" i="10" s="1"/>
  <c r="H71" i="6"/>
  <c r="H71" i="5"/>
  <c r="H71" i="4"/>
  <c r="H71" i="3"/>
  <c r="I17" i="4"/>
  <c r="I17" i="6"/>
  <c r="J9" i="2"/>
  <c r="J17" i="2" s="1"/>
  <c r="I17" i="3"/>
  <c r="J10" i="2"/>
  <c r="I26" i="3"/>
  <c r="I58" i="3" s="1"/>
  <c r="C94" i="3"/>
  <c r="J94" i="3"/>
  <c r="B95" i="3"/>
  <c r="H95" i="3"/>
  <c r="G96" i="3"/>
  <c r="E97" i="3"/>
  <c r="C98" i="3"/>
  <c r="J98" i="3"/>
  <c r="D80" i="4"/>
  <c r="D82" i="4"/>
  <c r="C94" i="4"/>
  <c r="J94" i="4"/>
  <c r="B95" i="4"/>
  <c r="H95" i="4"/>
  <c r="G96" i="4"/>
  <c r="E97" i="4"/>
  <c r="C98" i="4"/>
  <c r="J98" i="4"/>
  <c r="D80" i="5"/>
  <c r="D82" i="5"/>
  <c r="C94" i="5"/>
  <c r="J94" i="5"/>
  <c r="B95" i="5"/>
  <c r="H95" i="5"/>
  <c r="G96" i="5"/>
  <c r="E97" i="5"/>
  <c r="C98" i="5"/>
  <c r="J98" i="5"/>
  <c r="D80" i="6"/>
  <c r="D82" i="6"/>
  <c r="C94" i="6"/>
  <c r="J94" i="6"/>
  <c r="B95" i="6"/>
  <c r="H95" i="6"/>
  <c r="G96" i="6"/>
  <c r="E97" i="6"/>
  <c r="C98" i="6"/>
  <c r="J98" i="6"/>
  <c r="C20" i="7"/>
  <c r="A35" i="13" s="1"/>
  <c r="C20" i="8"/>
  <c r="C20" i="11"/>
  <c r="K46" i="13"/>
  <c r="C22" i="10"/>
  <c r="E36" i="10"/>
  <c r="C22" i="12"/>
  <c r="E36" i="12"/>
  <c r="E37" i="12" s="1"/>
  <c r="B93" i="3"/>
  <c r="H93" i="3"/>
  <c r="G94" i="3"/>
  <c r="E95" i="3"/>
  <c r="C96" i="3"/>
  <c r="J96" i="3"/>
  <c r="B97" i="3"/>
  <c r="H97" i="3"/>
  <c r="G98" i="3"/>
  <c r="B93" i="4"/>
  <c r="H93" i="4"/>
  <c r="G94" i="4"/>
  <c r="E95" i="4"/>
  <c r="C96" i="4"/>
  <c r="J96" i="4"/>
  <c r="B97" i="4"/>
  <c r="H97" i="4"/>
  <c r="G98" i="4"/>
  <c r="B93" i="5"/>
  <c r="H93" i="5"/>
  <c r="G94" i="5"/>
  <c r="E95" i="5"/>
  <c r="C96" i="5"/>
  <c r="J96" i="5"/>
  <c r="B97" i="5"/>
  <c r="H97" i="5"/>
  <c r="G98" i="5"/>
  <c r="B93" i="6"/>
  <c r="H93" i="6"/>
  <c r="G94" i="6"/>
  <c r="E95" i="6"/>
  <c r="C96" i="6"/>
  <c r="J96" i="6"/>
  <c r="B97" i="6"/>
  <c r="H97" i="6"/>
  <c r="G98" i="6"/>
  <c r="C22" i="7"/>
  <c r="A37" i="13" s="1"/>
  <c r="E36" i="7"/>
  <c r="C22" i="8"/>
  <c r="E36" i="8"/>
  <c r="E36" i="9"/>
  <c r="E36" i="11"/>
  <c r="E37" i="11" s="1"/>
  <c r="C29" i="3"/>
  <c r="J93" i="3"/>
  <c r="B94" i="3"/>
  <c r="H94" i="3"/>
  <c r="G95" i="3"/>
  <c r="E96" i="3"/>
  <c r="C97" i="3"/>
  <c r="J97" i="3"/>
  <c r="B98" i="3"/>
  <c r="C29" i="4"/>
  <c r="J93" i="4"/>
  <c r="B94" i="4"/>
  <c r="H94" i="4"/>
  <c r="G95" i="4"/>
  <c r="E96" i="4"/>
  <c r="C97" i="4"/>
  <c r="J97" i="4"/>
  <c r="B98" i="4"/>
  <c r="C29" i="5"/>
  <c r="J93" i="5"/>
  <c r="B94" i="5"/>
  <c r="H94" i="5"/>
  <c r="G95" i="5"/>
  <c r="E96" i="5"/>
  <c r="C97" i="5"/>
  <c r="J97" i="5"/>
  <c r="B98" i="5"/>
  <c r="C29" i="6"/>
  <c r="J93" i="6"/>
  <c r="B94" i="6"/>
  <c r="H94" i="6"/>
  <c r="G95" i="6"/>
  <c r="E96" i="6"/>
  <c r="C97" i="6"/>
  <c r="J97" i="6"/>
  <c r="B98" i="6"/>
  <c r="C20" i="10"/>
  <c r="H8" i="13"/>
  <c r="J45" i="13"/>
  <c r="J94" i="13" s="1"/>
  <c r="J145" i="13" s="1"/>
  <c r="K202" i="13" s="1"/>
  <c r="K95" i="13"/>
  <c r="E37" i="10" l="1"/>
  <c r="J37" i="10"/>
  <c r="D85" i="6"/>
  <c r="J36" i="10"/>
  <c r="E37" i="7"/>
  <c r="J37" i="7"/>
  <c r="I81" i="3"/>
  <c r="I84" i="3" s="1"/>
  <c r="E93" i="3" s="1"/>
  <c r="I18" i="2"/>
  <c r="J18" i="2"/>
  <c r="K10" i="2"/>
  <c r="J36" i="8"/>
  <c r="J37" i="8" s="1"/>
  <c r="E37" i="8"/>
  <c r="I26" i="6"/>
  <c r="J26" i="6" s="1"/>
  <c r="I17" i="2"/>
  <c r="I83" i="6"/>
  <c r="C93" i="6" s="1"/>
  <c r="I83" i="5"/>
  <c r="C93" i="5" s="1"/>
  <c r="I83" i="4"/>
  <c r="C93" i="4" s="1"/>
  <c r="I83" i="3"/>
  <c r="C93" i="3" s="1"/>
  <c r="D85" i="4"/>
  <c r="I58" i="6"/>
  <c r="I59" i="6" s="1"/>
  <c r="I58" i="5"/>
  <c r="I59" i="5" s="1"/>
  <c r="I58" i="4"/>
  <c r="I59" i="4" s="1"/>
  <c r="J15" i="2"/>
  <c r="G28" i="1"/>
  <c r="B41" i="1" s="1"/>
  <c r="A101" i="6"/>
  <c r="A101" i="5"/>
  <c r="A101" i="4"/>
  <c r="A101" i="3"/>
  <c r="E37" i="9"/>
  <c r="D85" i="5"/>
  <c r="I80" i="6" l="1"/>
  <c r="I80" i="4"/>
  <c r="I80" i="5"/>
  <c r="I81" i="6"/>
  <c r="I81" i="5"/>
  <c r="I81" i="4"/>
  <c r="I84" i="5" l="1"/>
  <c r="E93" i="5" s="1"/>
  <c r="I84" i="4"/>
  <c r="E93" i="4" s="1"/>
  <c r="I84" i="6"/>
  <c r="E93" i="6" s="1"/>
</calcChain>
</file>

<file path=xl/sharedStrings.xml><?xml version="1.0" encoding="utf-8"?>
<sst xmlns="http://schemas.openxmlformats.org/spreadsheetml/2006/main" count="1095" uniqueCount="519">
  <si>
    <t>Makine Modeli</t>
  </si>
  <si>
    <t>Plazma Kesim</t>
  </si>
  <si>
    <t>Kesim Kalınlığı</t>
  </si>
  <si>
    <t>Kesim Ölçüsü</t>
  </si>
  <si>
    <t>Tezgah Ölçüsü</t>
  </si>
  <si>
    <t>Cnc Kontrol</t>
  </si>
  <si>
    <t>Yükseklik Kontrolü</t>
  </si>
  <si>
    <t>Motor Tipi</t>
  </si>
  <si>
    <t>Redüktör Tipi</t>
  </si>
  <si>
    <t xml:space="preserve">Kramiyer </t>
  </si>
  <si>
    <t>Ray</t>
  </si>
  <si>
    <t xml:space="preserve">Fan </t>
  </si>
  <si>
    <t>Peşin</t>
  </si>
  <si>
    <t>HVAC LİNE</t>
  </si>
  <si>
    <t>Hypertherm Powermax 45 Xp</t>
  </si>
  <si>
    <t>0,40 mm - 12 mm</t>
  </si>
  <si>
    <t>1500 x 3000 mm</t>
  </si>
  <si>
    <t>2300 x 4000 mm</t>
  </si>
  <si>
    <t>Windows</t>
  </si>
  <si>
    <t>Pnömatik</t>
  </si>
  <si>
    <t>0,40 Kw Panasonic Minas A-5</t>
  </si>
  <si>
    <t>7500</t>
  </si>
  <si>
    <t xml:space="preserve">Liming </t>
  </si>
  <si>
    <t>Hassas Helis Kremayer</t>
  </si>
  <si>
    <t>Hassas Lineer Ray</t>
  </si>
  <si>
    <t>Dahil Değildir</t>
  </si>
  <si>
    <t>Çek</t>
  </si>
  <si>
    <t>RED LİNE</t>
  </si>
  <si>
    <t>Hypertherm Powermax 65</t>
  </si>
  <si>
    <t>5000</t>
  </si>
  <si>
    <t>0,40 mm - 16 mm</t>
  </si>
  <si>
    <t>1500 x 6000 mm</t>
  </si>
  <si>
    <t>2300 x 7500 mm</t>
  </si>
  <si>
    <t>HYD F2500</t>
  </si>
  <si>
    <t>Ark Voltaj Kontrollü</t>
  </si>
  <si>
    <t>0,75 Kw Panasonic Minas A-5</t>
  </si>
  <si>
    <t>8500</t>
  </si>
  <si>
    <t>Apex</t>
  </si>
  <si>
    <t>Düz Kremayer</t>
  </si>
  <si>
    <t>6.000 M3</t>
  </si>
  <si>
    <t>Senet</t>
  </si>
  <si>
    <t>BLUE LİNE</t>
  </si>
  <si>
    <t>Hypertherm Powermax 85</t>
  </si>
  <si>
    <t>10000</t>
  </si>
  <si>
    <t xml:space="preserve">1 mm - 20 mm </t>
  </si>
  <si>
    <t>2000 x 4000 mm</t>
  </si>
  <si>
    <t>2800 x 5000 mm</t>
  </si>
  <si>
    <t>Micro HYD GE 2000</t>
  </si>
  <si>
    <t>Kapasitif</t>
  </si>
  <si>
    <t>1 Kw Panasonic Minas A-5</t>
  </si>
  <si>
    <t>1 / 3 Hassas kasnak</t>
  </si>
  <si>
    <t>20.000 M3</t>
  </si>
  <si>
    <t>Nakit / Banka</t>
  </si>
  <si>
    <t>OXY LİNE</t>
  </si>
  <si>
    <t>Hypertherm Powermax 105</t>
  </si>
  <si>
    <t>15000</t>
  </si>
  <si>
    <t>1 mm - 22 mm</t>
  </si>
  <si>
    <t>2000 x 6000 mm</t>
  </si>
  <si>
    <t>2800 x 7000 mm</t>
  </si>
  <si>
    <t>Adtech 4500</t>
  </si>
  <si>
    <t>50000</t>
  </si>
  <si>
    <t>8,5 Nm Leadshine Digital Stepper</t>
  </si>
  <si>
    <t>Hypertherm Powermax 125</t>
  </si>
  <si>
    <t>20000</t>
  </si>
  <si>
    <t>1 mm - 25 mm</t>
  </si>
  <si>
    <t>3000 x 6000 mm</t>
  </si>
  <si>
    <t>4000 x 8000 mm</t>
  </si>
  <si>
    <t>Adtech 6500</t>
  </si>
  <si>
    <t>12,5 Nm Leadshine Digital Stepper</t>
  </si>
  <si>
    <t>2500</t>
  </si>
  <si>
    <t>Hypertherm Max Pro 200</t>
  </si>
  <si>
    <t>35000</t>
  </si>
  <si>
    <t>1 mm - 32 mm</t>
  </si>
  <si>
    <t>3000 x 12000 mm</t>
  </si>
  <si>
    <t>30000</t>
  </si>
  <si>
    <t>4000 x 14000 mm</t>
  </si>
  <si>
    <t>thermacut Extrafire 45</t>
  </si>
  <si>
    <t>Thermacut Extrafire 75 Sd</t>
  </si>
  <si>
    <t>thermacut Extrafire 100 Sd</t>
  </si>
  <si>
    <t>Kdv Oranı</t>
  </si>
  <si>
    <t>Satış Tipi</t>
  </si>
  <si>
    <t>Taksit Sayısı</t>
  </si>
  <si>
    <t>Teslim Yeri</t>
  </si>
  <si>
    <t>Oksijen</t>
  </si>
  <si>
    <t>UPS</t>
  </si>
  <si>
    <t>Satış Temsilcisi</t>
  </si>
  <si>
    <t>KOMPRESÖR</t>
  </si>
  <si>
    <t>KURUTUCU</t>
  </si>
  <si>
    <t>Yurt İçi</t>
  </si>
  <si>
    <t>Konya Robocut Fabrikası</t>
  </si>
  <si>
    <t>Yerli (200 mm'ye Kadar)</t>
  </si>
  <si>
    <t>2 KVA Güç Kaynağı</t>
  </si>
  <si>
    <t>Ali Kürşat EROL</t>
  </si>
  <si>
    <t>Dahildir</t>
  </si>
  <si>
    <t>Yurt Dışı</t>
  </si>
  <si>
    <t>Müşteri Fabrikası</t>
  </si>
  <si>
    <t>Tanaka (200 mm'ye Kadar Kesim)</t>
  </si>
  <si>
    <t>Kamil Şentürk</t>
  </si>
  <si>
    <t>Leasing</t>
  </si>
  <si>
    <t>=EĞER('Bilgi Giriş Sayfası'!C12='Parametre Sayfası'!D12;"</t>
  </si>
  <si>
    <t>İthal (200 mm'ye Kadar)</t>
  </si>
  <si>
    <t>Kdv Teşviği</t>
  </si>
  <si>
    <t>Fiyatımız Konya GAZTEK Fabrika teslimi olup, tüm nakliye, nakliye sigortası vb. masraflar Alıcıya aittir.</t>
  </si>
  <si>
    <t>Fiyatımız Müşteri Fabrikası teslimi olup, tüm nakliye, nakliye sigortası vb. masraflar satıcıya aittir.</t>
  </si>
  <si>
    <t xml:space="preserve">Makine Fiyatına Kdv Teşviği kapsamında %18 KDV Dahil Değildir. </t>
  </si>
  <si>
    <t>Müşteri ve Ödeme Bilgileri</t>
  </si>
  <si>
    <t>€uro</t>
  </si>
  <si>
    <t>USD</t>
  </si>
  <si>
    <t>Kdv</t>
  </si>
  <si>
    <t xml:space="preserve">Firma Ünvanı: </t>
  </si>
  <si>
    <t>Aygen Mekatronik San.Ve Tic.Ltd.Şti</t>
  </si>
  <si>
    <t xml:space="preserve">Teslim Günü: </t>
  </si>
  <si>
    <t>GÜN</t>
  </si>
  <si>
    <t xml:space="preserve">Yetkili: </t>
  </si>
  <si>
    <t>Koray Aygen</t>
  </si>
  <si>
    <t xml:space="preserve">MAKİNA FİYATI: </t>
  </si>
  <si>
    <t>ADET</t>
  </si>
  <si>
    <t xml:space="preserve">Adres: </t>
  </si>
  <si>
    <t>Hatay</t>
  </si>
  <si>
    <t xml:space="preserve">KOMPRESÖR FİYATI: </t>
  </si>
  <si>
    <t xml:space="preserve">Vergi Dairesi: </t>
  </si>
  <si>
    <t>-</t>
  </si>
  <si>
    <t xml:space="preserve">FAN FİYATI: </t>
  </si>
  <si>
    <t xml:space="preserve">Vergi No: </t>
  </si>
  <si>
    <t xml:space="preserve">UPS GÜÇ KAYNAĞI: </t>
  </si>
  <si>
    <t xml:space="preserve">Firma Tel&amp;Faks: </t>
  </si>
  <si>
    <t>+90 535 237 58 21</t>
  </si>
  <si>
    <t xml:space="preserve">KURUTUCU FİYATI: </t>
  </si>
  <si>
    <t xml:space="preserve">Mobil: </t>
  </si>
  <si>
    <t xml:space="preserve">Kdv Oranı: </t>
  </si>
  <si>
    <t>KDV</t>
  </si>
  <si>
    <t xml:space="preserve">Web Sitesi: </t>
  </si>
  <si>
    <t xml:space="preserve">KDV: </t>
  </si>
  <si>
    <t xml:space="preserve">Email: </t>
  </si>
  <si>
    <t xml:space="preserve">GENEL TOPLAM: </t>
  </si>
  <si>
    <t xml:space="preserve">Gönderen: </t>
  </si>
  <si>
    <t xml:space="preserve">PEŞİNAT: </t>
  </si>
  <si>
    <t>Gönderen Mail :</t>
  </si>
  <si>
    <t>info@gaztekmakina.com</t>
  </si>
  <si>
    <t xml:space="preserve">Taksit Sayısı: </t>
  </si>
  <si>
    <t xml:space="preserve">Teklif No: </t>
  </si>
  <si>
    <t xml:space="preserve">Vade: </t>
  </si>
  <si>
    <t xml:space="preserve">Satış Tipi: </t>
  </si>
  <si>
    <t xml:space="preserve">Vade Başlangıç: </t>
  </si>
  <si>
    <t xml:space="preserve">Sözleşme Yeri: </t>
  </si>
  <si>
    <t>Konya</t>
  </si>
  <si>
    <t xml:space="preserve">Vade Türü: </t>
  </si>
  <si>
    <t xml:space="preserve">Satış Temsilcisi: </t>
  </si>
  <si>
    <t xml:space="preserve">Bugün: </t>
  </si>
  <si>
    <t xml:space="preserve">Teslim Yeri: </t>
  </si>
  <si>
    <t xml:space="preserve">Adet: </t>
  </si>
  <si>
    <t>MAKİNA ÖZELLİKLERİ</t>
  </si>
  <si>
    <t>Raylar</t>
  </si>
  <si>
    <t>Yükseklik Kontrol</t>
  </si>
  <si>
    <t>Kramiyer</t>
  </si>
  <si>
    <t>Redüktör</t>
  </si>
  <si>
    <t>Dolar Kuru</t>
  </si>
  <si>
    <t>€uro Kuru</t>
  </si>
  <si>
    <t>Fan</t>
  </si>
  <si>
    <t>UPS Güç Kaynağı</t>
  </si>
  <si>
    <t>Kompresör</t>
  </si>
  <si>
    <t>Kurutucu</t>
  </si>
  <si>
    <t>TEKLİF</t>
  </si>
  <si>
    <t>No</t>
  </si>
  <si>
    <t>GAZTEK MAKİNA MÜH.OTOM.İNŞ.SAN.TİC.LTD.ŞTİ.</t>
  </si>
  <si>
    <t>MÜŞTERİ</t>
  </si>
  <si>
    <t>Horozluhan Mh. Günpınar Sk. No:46 Selçuklu / KONYA</t>
  </si>
  <si>
    <t>Firma Adı</t>
  </si>
  <si>
    <t>Tel  : +90 332 345 26 77</t>
  </si>
  <si>
    <t>Fax : +90 332 345 26 89</t>
  </si>
  <si>
    <t>Adres</t>
  </si>
  <si>
    <t>Telefon</t>
  </si>
  <si>
    <t>Web</t>
  </si>
  <si>
    <t>Yetkili</t>
  </si>
  <si>
    <t>Mobil</t>
  </si>
  <si>
    <t>e-Mail</t>
  </si>
  <si>
    <t>TEKLİF TARİHİ</t>
  </si>
  <si>
    <t>GEÇERLİLİK SÜRESİ</t>
  </si>
  <si>
    <t>30 Gün</t>
  </si>
  <si>
    <t>HİZMET / ÜRÜN</t>
  </si>
  <si>
    <t>MİKTAR</t>
  </si>
  <si>
    <t>BİRİM</t>
  </si>
  <si>
    <t>TOPLAM</t>
  </si>
  <si>
    <t>FİYATI</t>
  </si>
  <si>
    <t>Arası Mükemmel Kesim Özellikleri</t>
  </si>
  <si>
    <t xml:space="preserve">Tüm İşlemeleri Cnc Dik İşlem Merkezinde Yapılmış Senkronize Hareket Sayesinde </t>
  </si>
  <si>
    <t>Çok Daha Hassas Sonuç Alınan Çift Tahrikli Köprü Sistemi</t>
  </si>
  <si>
    <t>Windows ve Mach3 Programlarla Sorunsuz Çalışma</t>
  </si>
  <si>
    <t>400 KHZ Motion Controller Card İnside CNC Controller</t>
  </si>
  <si>
    <t>INTEL 1151p V2 Pentium Gold G5400 3.7ghz 4mb 2 çekirdekli 240 Gb veya Uyumlu Hdd Endüstriyel PC</t>
  </si>
  <si>
    <t>Harici Butonlar Sayesinde Kesim Esnasında Duraklatma Parametre Değiştirebilme Özelliği</t>
  </si>
  <si>
    <t>Tezgaha Entegre Pano Sayesinde Yerden Tasarruf Özelliği</t>
  </si>
  <si>
    <t>Pnomatik Kapaklı Havalandırma Kanalı</t>
  </si>
  <si>
    <t>Kesim Yapılan Noktadan Duman Emişi Sayesinde %99'a Varan Duman Emiş Faktörü</t>
  </si>
  <si>
    <t>Voltaj Koruma Regülasyonu Sayesinde Uzun Ömürlüdür</t>
  </si>
  <si>
    <t>2 Yıl Garanti (Türkiye'nin Heryerine Servis Müdahalesi Garantisi)</t>
  </si>
  <si>
    <t>Anında Otomasyonel ve Parametresel Hatalara İnternetten Müdahale (TeamViewer)</t>
  </si>
  <si>
    <t>* Fan Montajı Müşteri Tarafından Yapılacaktır.</t>
  </si>
  <si>
    <t>ARA TOPLAM</t>
  </si>
  <si>
    <t>GENEL TOPLAM</t>
  </si>
  <si>
    <t>Teslim ve Ödeme Koşulları Arka sayfadadır.</t>
  </si>
  <si>
    <t>ÖDEME VE TESLİM</t>
  </si>
  <si>
    <t>Teklif Veren</t>
  </si>
  <si>
    <t>Teslim Tarihi</t>
  </si>
  <si>
    <t>Teslim 
Yeri</t>
  </si>
  <si>
    <t>DİĞER EKİPMANLAR</t>
  </si>
  <si>
    <t>ÖDEMELER</t>
  </si>
  <si>
    <t>Makine</t>
  </si>
  <si>
    <t>ToplamÖdeme</t>
  </si>
  <si>
    <t>Peşinat</t>
  </si>
  <si>
    <t>Ups</t>
  </si>
  <si>
    <t>Vade
Türü</t>
  </si>
  <si>
    <t>Vade Başlangıç</t>
  </si>
  <si>
    <t>Diğer</t>
  </si>
  <si>
    <t>Kalan Ödeme</t>
  </si>
  <si>
    <t>Toplam</t>
  </si>
  <si>
    <t>ÖDEME PLANI</t>
  </si>
  <si>
    <t xml:space="preserve">* Makinelerimiz Teşvik Kapsamındadır. Kapasite Raporunuz var ise kdv teşviğinden yararlanabilirsiniz. </t>
  </si>
  <si>
    <t xml:space="preserve">Makinelerimiz Kosgeb Destekleri Kapsamındaki Teşviklerde %90 Hibeli Alınabilir. </t>
  </si>
  <si>
    <t>MÜŞTERİ ONAYI</t>
  </si>
  <si>
    <t>FİRMA ONAYI</t>
  </si>
  <si>
    <r>
      <rPr>
        <sz val="11"/>
        <color rgb="FF000000"/>
        <rFont val="Calibri"/>
        <family val="2"/>
        <charset val="162"/>
      </rPr>
      <t xml:space="preserve">Makinelerimiz Kosgeb Destekleri Kapsamındaki Teşviklerde </t>
    </r>
    <r>
      <rPr>
        <b/>
        <sz val="11"/>
        <color rgb="FF000000"/>
        <rFont val="Calibri"/>
        <family val="2"/>
        <charset val="162"/>
      </rPr>
      <t>%90</t>
    </r>
    <r>
      <rPr>
        <sz val="11"/>
        <color rgb="FF000000"/>
        <rFont val="Calibri"/>
        <family val="2"/>
        <charset val="162"/>
      </rPr>
      <t xml:space="preserve"> Hibeli Alınabilir. </t>
    </r>
  </si>
  <si>
    <t>Vade Türü</t>
  </si>
  <si>
    <t>GAZTEK MAKİNE MÜH.İNŞ.SAN.TİC.LTD.ŞTİ.</t>
  </si>
  <si>
    <t>Horozluhan Mh. Anadolu San.Günpınar Sk. No:46</t>
  </si>
  <si>
    <t>Selçuklu / KONYA / TÜRKİYE</t>
  </si>
  <si>
    <t>Tic.Sicil No: 41950 / Selçuk V.D. 330 048 79 65</t>
  </si>
  <si>
    <t>Tel: 0 332 345 26 77 Faks: 0.332 345 26 89</t>
  </si>
  <si>
    <r>
      <rPr>
        <b/>
        <sz val="3"/>
        <color rgb="FF000000"/>
        <rFont val="Arial"/>
        <family val="2"/>
        <charset val="162"/>
      </rPr>
      <t xml:space="preserve">
</t>
    </r>
    <r>
      <rPr>
        <b/>
        <sz val="10.5"/>
        <rFont val="Arial"/>
        <family val="2"/>
        <charset val="162"/>
      </rPr>
      <t>SAYIN :</t>
    </r>
  </si>
  <si>
    <t>TARİH</t>
  </si>
  <si>
    <t>ADRES :</t>
  </si>
  <si>
    <t>SAYI/NO</t>
  </si>
  <si>
    <t>V.D./NO:</t>
  </si>
  <si>
    <t>PROFORMA FATURA</t>
  </si>
  <si>
    <t>S.N.</t>
  </si>
  <si>
    <t>MALZEMENİN CİNSİ</t>
  </si>
  <si>
    <t>FİYAT</t>
  </si>
  <si>
    <t>TUTAR</t>
  </si>
  <si>
    <t>Adet</t>
  </si>
  <si>
    <t xml:space="preserve">2020 Model Yeni ve Kullanılmamıştır. </t>
  </si>
  <si>
    <t>G.T.İ.P KODU 84.56.11.90.10.00</t>
  </si>
  <si>
    <t xml:space="preserve">TOPLAM: </t>
  </si>
  <si>
    <t xml:space="preserve">G.TOPLAM: </t>
  </si>
  <si>
    <t>BANKA :</t>
  </si>
  <si>
    <t>AKBANK</t>
  </si>
  <si>
    <t>ŞUBE :</t>
  </si>
  <si>
    <t>SELÇUKLU SANAYİ ŞUBESİ - 0773</t>
  </si>
  <si>
    <t>H.NO :</t>
  </si>
  <si>
    <t>IBAN :</t>
  </si>
  <si>
    <t>TR76 0004 6007 7388 8000 0300 59</t>
  </si>
  <si>
    <t>VAKIFBANK</t>
  </si>
  <si>
    <t>KONYA ŞUBESİ - 00016</t>
  </si>
  <si>
    <t>00158007309597034</t>
  </si>
  <si>
    <t>TR59 0001 5001 5800 7309 5970 34</t>
  </si>
  <si>
    <t xml:space="preserve">* Ürünler GAZTEK MAK.MÜH.OTOM.İNŞ.SAN.TİC.LTD.ŞTİ. KONYA Fabrika Teslimidir. 
*Ödeme Şekli Mal Tesliminde Peşindir.
</t>
  </si>
  <si>
    <t xml:space="preserve">KDV %18: </t>
  </si>
  <si>
    <r>
      <rPr>
        <b/>
        <sz val="3"/>
        <color rgb="FF000000"/>
        <rFont val="Arial"/>
        <family val="2"/>
        <charset val="162"/>
      </rPr>
      <t xml:space="preserve">
</t>
    </r>
    <r>
      <rPr>
        <b/>
        <sz val="10.5"/>
        <rFont val="Arial"/>
        <family val="2"/>
        <charset val="162"/>
      </rPr>
      <t>Dear :</t>
    </r>
  </si>
  <si>
    <t>Piranha Plasma 
Ivy Wang</t>
  </si>
  <si>
    <t>Date</t>
  </si>
  <si>
    <t>Adress :</t>
  </si>
  <si>
    <t>650 Race St. • P.O. Box 1206
Rockford IL 61105, USA</t>
  </si>
  <si>
    <t>NO</t>
  </si>
  <si>
    <t>Tax NO:</t>
  </si>
  <si>
    <t>Machine Specification</t>
  </si>
  <si>
    <t>Qty</t>
  </si>
  <si>
    <t>Pcs</t>
  </si>
  <si>
    <t>Price</t>
  </si>
  <si>
    <t>Total</t>
  </si>
  <si>
    <t>KUR:</t>
  </si>
  <si>
    <t xml:space="preserve"> Plasma Frame Without Plasma, Cnc And THC</t>
  </si>
  <si>
    <t>1600 x 3100 mm Cutting Area (5'x10')</t>
  </si>
  <si>
    <t>2300 x 4000 mm Tezgah Ölçüleri(7,5"x13")</t>
  </si>
  <si>
    <t>compatible with xpr series</t>
  </si>
  <si>
    <t>250 mm Stroke Lifter</t>
  </si>
  <si>
    <t>Hiwin Brand Lineer</t>
  </si>
  <si>
    <t>Preciese Helical Rack &amp; Pinion</t>
  </si>
  <si>
    <t>Panasonic Minas A6 - 0,75 Kw Servo &amp; Driver</t>
  </si>
  <si>
    <t>12 Exhaust Fume Flap</t>
  </si>
  <si>
    <t>Deliver by wooden case</t>
  </si>
  <si>
    <t>2021 Model</t>
  </si>
  <si>
    <t>Tarff Code 84.56.11.90.10.00</t>
  </si>
  <si>
    <t>Bank</t>
  </si>
  <si>
    <t>Brach</t>
  </si>
  <si>
    <t>Account</t>
  </si>
  <si>
    <t>SWIFT :</t>
  </si>
  <si>
    <t>AKBKTRIS</t>
  </si>
  <si>
    <t xml:space="preserve">All Machines Ex-Works Konya Factory Fabrika Teslimidir. 
*Ödeme Şekli Mal </t>
  </si>
  <si>
    <r>
      <rPr>
        <b/>
        <sz val="3"/>
        <color rgb="FF000000"/>
        <rFont val="Arial"/>
        <family val="2"/>
        <charset val="162"/>
      </rPr>
      <t xml:space="preserve">
</t>
    </r>
    <r>
      <rPr>
        <b/>
        <sz val="10.5"/>
        <rFont val="Arial"/>
        <family val="2"/>
        <charset val="162"/>
      </rPr>
      <t>DEAR :</t>
    </r>
  </si>
  <si>
    <t>DATE</t>
  </si>
  <si>
    <t>ADDRESS :</t>
  </si>
  <si>
    <t>TAX / NO:</t>
  </si>
  <si>
    <t>PROFORM İNVOİCE</t>
  </si>
  <si>
    <t>MATERİALS</t>
  </si>
  <si>
    <t>QTY</t>
  </si>
  <si>
    <t>AD</t>
  </si>
  <si>
    <t>PRİCE</t>
  </si>
  <si>
    <t>TOTAL</t>
  </si>
  <si>
    <t xml:space="preserve">KUR : </t>
  </si>
  <si>
    <t>qty</t>
  </si>
  <si>
    <t>2020 MODEL NEW AND UNUSED</t>
  </si>
  <si>
    <t>TARİFF CODE: 84.56.11.90.10.00</t>
  </si>
  <si>
    <t xml:space="preserve">TOTALY </t>
  </si>
  <si>
    <t xml:space="preserve">BANK ACOOUT : </t>
  </si>
  <si>
    <t xml:space="preserve">BRANCH : </t>
  </si>
  <si>
    <t>SELÇUKLU SANAYİ - 0773</t>
  </si>
  <si>
    <t xml:space="preserve">ACCOUNT NO : </t>
  </si>
  <si>
    <t xml:space="preserve">IBAN NO : </t>
  </si>
  <si>
    <t xml:space="preserve">SWİFT CODE : </t>
  </si>
  <si>
    <t>KONYA  - 00016</t>
  </si>
  <si>
    <t>TVBATR2A</t>
  </si>
  <si>
    <t>Ex-Works Konya
%50 Cash % Before Payment</t>
  </si>
  <si>
    <t>SATIŞ SÖZLEŞMESİ</t>
  </si>
  <si>
    <t>SÖZLEŞMENİN KONUSU</t>
  </si>
  <si>
    <t>:</t>
  </si>
  <si>
    <t>SÖZLEŞME YERİ VE TARİHİ</t>
  </si>
  <si>
    <t>İFA YERİ</t>
  </si>
  <si>
    <t>SATICI BİLGİLERİ</t>
  </si>
  <si>
    <t>ADI SOYADI / ÜNVANI</t>
  </si>
  <si>
    <t>GAZTEK MAK.MÜH.OTOM.İNŞ.SAN.TİC.LTD.ŞTİ.</t>
  </si>
  <si>
    <t>ADRESİ</t>
  </si>
  <si>
    <t>HOROZLUHAN MH.ANADOLU SAN.GÜNPINAR SK.NO:46 SELÇUKLU / KONYA</t>
  </si>
  <si>
    <t>İLETİŞİM</t>
  </si>
  <si>
    <t>0 543 763 73 13</t>
  </si>
  <si>
    <t>TEL</t>
  </si>
  <si>
    <t>0.332 345 26 77</t>
  </si>
  <si>
    <t>MAİL ADRESİ</t>
  </si>
  <si>
    <t>FAKS</t>
  </si>
  <si>
    <t>0.332 345 26 89</t>
  </si>
  <si>
    <t>VERGİ DAİRESİ</t>
  </si>
  <si>
    <t>SELÇUK</t>
  </si>
  <si>
    <t>VERGİ NO</t>
  </si>
  <si>
    <t>330 048 7965</t>
  </si>
  <si>
    <t>YETKİLİ ADI / SOYADI</t>
  </si>
  <si>
    <t>ALİ KÜRŞAT EROL</t>
  </si>
  <si>
    <t>SATIŞ TEMSİLCİSİ</t>
  </si>
  <si>
    <t>MAİL</t>
  </si>
  <si>
    <t>ALICI BİLGİLERİ</t>
  </si>
  <si>
    <t>ÜRÜN BİLGİLERİ</t>
  </si>
  <si>
    <t>SATICI İMZA</t>
  </si>
  <si>
    <t>ALICI İMZA</t>
  </si>
  <si>
    <t>Syf 1/4</t>
  </si>
  <si>
    <t>GENEL HÜKÜMLER</t>
  </si>
  <si>
    <t>1-)</t>
  </si>
  <si>
    <t>Alıcı, yukarıda belirtilen sözleşme konusu ürünün temel nitelikleri, satış fiyatı ve ödeme şekli ile teslimata ilişkin tüm ön bilgileri okuyup bilgi sahibi olduğunu beyan eder.  </t>
  </si>
  <si>
    <t>2-)</t>
  </si>
  <si>
    <t>Sözleşme konusu ürün, yasal 30 günlük süreyi aşmamak koşulu ile her bir ürün için alıcının yerleşim yerinin uzaklığına bağlı olarak ön bilgiler içinde açıklanan süre içinde alıcı veya gösterdiği adresteki kişi veya kuruluşa teslim edilir.</t>
  </si>
  <si>
    <t>3-)</t>
  </si>
  <si>
    <t>Sözleşme konusu ürün, alıcıdan başka bir kişi veya kuruluşa teslim edilecek ise, teslim edilecek kişi veya kuruluşun teslimatı kabul etmemesinden dolayı satıcı sorumlu değildir.</t>
  </si>
  <si>
    <t>4-)</t>
  </si>
  <si>
    <t>Satıcı, sözleşme konusu ürünün sağlam, eksiksiz, siparişte belirtilen niteliklere uygun ve varsa garanti belgeleri ve kullanım kılavuzları ile birlikte teslim edilmesinden sorumludur. Nakliye ücreti alıcıya aittir.</t>
  </si>
  <si>
    <t>5-)</t>
  </si>
  <si>
    <t>Sözleşme konusu ürünün teslimatı için iş bu sözleşmenin imzalanmış olması ve satış bedelinin alıcının tercih ettiği ödeme şekli ile ödenmiş olması şarttır. Herhangi bir nedenle ürün bedeli ödenmez veya banka kayıtlarında iptal edilir ise, Satıcı ürünün teslimi yükümlülüğünden kurtulmuş kabul edilir.</t>
  </si>
  <si>
    <t>6-)</t>
  </si>
  <si>
    <t>Satıcı mücbir sebepler veya nakliyeyi engelleyen hava muhalefeti, ulaşımın kesilmesi gibi olağanüstü durumlar nedeni ile sözleşme konusu ürünü süresi içinde teslim edemez ise, durumu alıcıya bildirmekle yükümlüdür.</t>
  </si>
  <si>
    <t>7-)</t>
  </si>
  <si>
    <t xml:space="preserve">Bu takdirde alıcı siparişinin iptal edilmesini, sözleşme konusu ürünün varsa emsali ile değiştirilmesini ve/veya teslimat süresinin engelleyici durumun ortadan kalkmasına kadar ertelenmesi haklarından birini kullanabilir. </t>
  </si>
  <si>
    <t>8-)</t>
  </si>
  <si>
    <t xml:space="preserve">Yukarıda sebeple alıcının siparişi iptal etmesi halinde herkes aldığını iade edecektir. Satıcı makine için aldığı para ve bono ve çekleri iade edecektir. </t>
  </si>
  <si>
    <t>9-)</t>
  </si>
  <si>
    <t>Alıcı ve/veya alıcının teslimat yapılması istediği kişi ve/veya kurumlara teslim edilmiş olan ürünlerin arızalı veya bozuk olması durumunda, garanti şartları içinde gerekli onarım veya değiştirme işleminin yapılması için ilgili ürün veya ürünler, Satıcıya, alıcı tarafının teslim aldığı tarihten başlayarak 7 gün içinde gönderilir ve nakliye giderleri satıcı tarafından karşılanır.  Böyle bir durumda 7 günlük sürenin dolması halinde, alıcı teslim almış olduğu ürünü ilgili servisine götürmek zorundadır.</t>
  </si>
  <si>
    <t>Syf 2/4</t>
  </si>
  <si>
    <t>10-)</t>
  </si>
  <si>
    <t>İş bu sözleşme imza anında geçerlilik kazanacaktır.</t>
  </si>
  <si>
    <t>11-)</t>
  </si>
  <si>
    <t xml:space="preserve">Alıcı, sözleşme konusu ürürünün kendisine veya gösterdiği adresteki kişi/kuruluşa tesliminden itibaren yedi (7) gün içinde cayma hakkına sahiptir. Cayma hakkının kullanılabilmesi için bu süre içinde SATICIYA faks veya elektronik posta ile bildirimde bulunulması ve ürünün kullanılmamış ve ambalajının zarar görmemiş olması şarttır. Bu hakkın kullanılması halinde, 3. kişiye veya Alıcıya teslim edilen ürünün SATICIYA gönderildiğine dair kargo teslim tutanağı örneği ile iade faturasının kesilmesi zorunludur. </t>
  </si>
  <si>
    <t>12-)</t>
  </si>
  <si>
    <t>Bu belgelerin ulaşmasını takip eden 7 gün içinde ürün bedeli ALICIYA iade edilir. İade faturasının kesilmemesi durumunda katma değer vergisi ve varsa diğer yasal yükümlülükler iade edilmez. Cayma hakkı nedeni ile iade edilen ürünün kargo bedeli ALICIYA aittir. Ayrıca, niteliği itibarıyla iade edilemeyecek ürünler, tek kullanımlık ürünler, kopyalanabilir yazılım ve programlar, hızlı bozulan veya son kullanım tarihi geçen ürünler için cayma hakkı kullanılamaz.</t>
  </si>
  <si>
    <t>13-)</t>
  </si>
  <si>
    <t xml:space="preserve">Bu sözleşmeden hüküm bulunmayan hallerde Borçlar Kanunu, Türk Ticaret Kanunu ve Tüketicinin Korunması Kanunu hükümleri uygulanır. </t>
  </si>
  <si>
    <t>14-)</t>
  </si>
  <si>
    <t>Bu sözleşmeden kaynaklanan alacakların gecikmesi halinde ticari faiz oranı uygulanacaktır. Gecikme halinde ayrıca uygulanan faiz oranının % 50’si kadar temerrüt faizi uygulanacaktır.</t>
  </si>
  <si>
    <t>15-)</t>
  </si>
  <si>
    <t xml:space="preserve">Alıcı haksız ve kötü niyetli sözleşmeden dönerse sözleşme bedeli kadar cezai şart ödemeyi kabul ve taahhüt eder. </t>
  </si>
  <si>
    <t>16-)</t>
  </si>
  <si>
    <t>Faks veya Mail olarak teknik servis talebinde bulunmayan müşterilerimizin servis talebleri dikkate alınmayacaktır.</t>
  </si>
  <si>
    <t>17-)</t>
  </si>
  <si>
    <r>
      <rPr>
        <sz val="11"/>
        <color rgb="FF000000"/>
        <rFont val="Calibri"/>
        <family val="2"/>
        <charset val="162"/>
      </rPr>
      <t xml:space="preserve">Bu sözleşmeden kaynaklanan ihtilafların hal mercii satıcının ikametgâhındaki mahkemeler ile </t>
    </r>
    <r>
      <rPr>
        <b/>
        <u/>
        <sz val="11"/>
        <color rgb="FF000000"/>
        <rFont val="Calibri"/>
        <family val="2"/>
        <charset val="162"/>
      </rPr>
      <t>T.C. KONYA</t>
    </r>
    <r>
      <rPr>
        <sz val="11"/>
        <color rgb="FF000000"/>
        <rFont val="Calibri"/>
        <family val="2"/>
        <charset val="162"/>
      </rPr>
      <t xml:space="preserve"> mahkemeleri ve icra daireleridir.</t>
    </r>
  </si>
  <si>
    <t>18-)</t>
  </si>
  <si>
    <t xml:space="preserve">İŞ BU SÖZLEŞME 18 MADDEDEN VE 2 NÜSHADAN İBARET OLUP OKUNUP BİRLİKTE İMZA ALTINA ALINMIŞTIR. </t>
  </si>
  <si>
    <t>Syf 3/4</t>
  </si>
  <si>
    <t>ÖDEME VE TESLİMAT</t>
  </si>
  <si>
    <t>MAKİNA FİYATI</t>
  </si>
  <si>
    <t>+KDV</t>
  </si>
  <si>
    <t>KOMPRESÖR FİYATI</t>
  </si>
  <si>
    <t>FAN FİYATI</t>
  </si>
  <si>
    <t>UPS GÜÇ KAYNAĞI FİYATI</t>
  </si>
  <si>
    <t>KURUTUCU FİYATI</t>
  </si>
  <si>
    <t>TOPLAM TUTAR</t>
  </si>
  <si>
    <t>TESLİM SÜRESİ</t>
  </si>
  <si>
    <t xml:space="preserve"> Sözleşme imzalandıktan 7 iş günü içerisinde teslim edilecektir.</t>
  </si>
  <si>
    <t>25.000 tl Kredi Kartı ile 4 Taksit</t>
  </si>
  <si>
    <t xml:space="preserve">Kalan Rakam Teslimatta Peşin. </t>
  </si>
  <si>
    <t>TESLİM YERİ VE ŞEKLİ</t>
  </si>
  <si>
    <t>KURULUM</t>
  </si>
  <si>
    <t>Makinanın çalışması için gereken elektrik, hava, su bağlantıları alıcı firma tarafından hazırlanacaktır.</t>
  </si>
  <si>
    <t>EĞİTİM</t>
  </si>
  <si>
    <t>Makinanın devreye alınması ve kullanıcı eğitiminin verilmesi yetkili teknik servis uzmanları satıcı firma tarafından yerine getirilecektir, Personelin Konaklama, yemek gibi vb. giderler Firmanız tarafından karşılanacaktır.</t>
  </si>
  <si>
    <t>MUCHİR SEBEPLER</t>
  </si>
  <si>
    <t>Grev, lokavt, yangın, seferberlik, doğal afetler, uzun süreli elektrik kesintileri, ithal malzeme temininde olabilecek gecikmeler, yan sanayi ve tedarikçilerden olabilecek gecikmeler mücbir sebep sayılacaktır.</t>
  </si>
  <si>
    <t>GARANTİ</t>
  </si>
  <si>
    <t>Malzeme ve imalat hatalarına karşı garanti 2 yıldır. Garanti süreci teslimde kesilecek fatura tarihinden itibaren başlar. Plazma torcu garanti kapsamı dışındadır. Serviste kullanıcı hatası tesbit edildiği taktirde değişecek ürünler ve tamir bedelleri fatura edilecek konaklama ve yol ücretleri alıcıya ait olacaktır.Garanti Kapsamında 24 saat içerisinde müdahale edilecektir.</t>
  </si>
  <si>
    <t>SATICI</t>
  </si>
  <si>
    <t>ALICI</t>
  </si>
  <si>
    <t xml:space="preserve">YETKİLİ : </t>
  </si>
  <si>
    <t xml:space="preserve">VERGİ DAİRESİ : </t>
  </si>
  <si>
    <t xml:space="preserve">VERGİ NO : </t>
  </si>
  <si>
    <t>Syf 4/4</t>
  </si>
  <si>
    <t>Firma Ünvanı</t>
  </si>
  <si>
    <t>Web Sitesi</t>
  </si>
  <si>
    <t>Dosya Adı</t>
  </si>
  <si>
    <t>ARCAN MAKİNA</t>
  </si>
  <si>
    <t>ARCAN MAKİNA 1</t>
  </si>
  <si>
    <t>İNCİRCİOĞLU MAKİNA</t>
  </si>
  <si>
    <t>İNCİRCİOĞLU MAKİNA 3</t>
  </si>
  <si>
    <t>TD METAL İNŞAAT LTD.ŞTİ</t>
  </si>
  <si>
    <t>TD METAL İNŞAAT LTD.ŞTİ 9</t>
  </si>
  <si>
    <t>Baltacı Metal Pres İnş.San.Tic.Ltd.Şti.</t>
  </si>
  <si>
    <t>Baltacı Metal Pres İnş.San.Tic.Ltd.Şti. 11</t>
  </si>
  <si>
    <t>Mekalift Asansör Tic.Ltd.Şti</t>
  </si>
  <si>
    <t>Mekalift Asansör Tic.Ltd.Şti 14</t>
  </si>
  <si>
    <t>Mekalift Asansör Tic.Ltd.Şti 16</t>
  </si>
  <si>
    <t>Mekalift Asansör Tic.Ltd.Şti 18</t>
  </si>
  <si>
    <t>Asmed Havalandırma</t>
  </si>
  <si>
    <t>Asmed Havalandırma 20</t>
  </si>
  <si>
    <t>Asmed Havalandırma 22</t>
  </si>
  <si>
    <t>Ergün Makine</t>
  </si>
  <si>
    <t>Ergün Makine 24</t>
  </si>
  <si>
    <t>Ergün Makine 26</t>
  </si>
  <si>
    <t>Mensn Menteşe San.Tic.Ltd.Şti.</t>
  </si>
  <si>
    <t>Mensn Menteşe San.Tic.Ltd.Şti. 28</t>
  </si>
  <si>
    <t>Mensn Menteşe San.Tic.Ltd.Şti. 30</t>
  </si>
  <si>
    <t>möhkem makine paslanmaz çelik imalat montaj</t>
  </si>
  <si>
    <t>möhkem makine paslanmaz çelik imalat montaj 32</t>
  </si>
  <si>
    <t>AKMEN ASANSÖR</t>
  </si>
  <si>
    <t>http://akmenasansor.com.tr</t>
  </si>
  <si>
    <t>AKMEN ASANSÖR 36</t>
  </si>
  <si>
    <t>AKMEN ASANSÖR 38</t>
  </si>
  <si>
    <t xml:space="preserve">Er-Fa Conta Tic. Ltd. Şti </t>
  </si>
  <si>
    <t>http://www.erfalastik.com</t>
  </si>
  <si>
    <t>Er-Fa Conta Tic. Ltd. Şti  40</t>
  </si>
  <si>
    <t>Sirkeci Makine</t>
  </si>
  <si>
    <t>http://www.sirkecimakina.com</t>
  </si>
  <si>
    <t>Sirkeci Makine 42</t>
  </si>
  <si>
    <t>Sirkeci Makine 44</t>
  </si>
  <si>
    <t xml:space="preserve">Mekatronik İnşaat </t>
  </si>
  <si>
    <t>www.megatronikinsaat.com.tr</t>
  </si>
  <si>
    <t>Mekatronik İnşaat  46</t>
  </si>
  <si>
    <t>Air Life Mekanik</t>
  </si>
  <si>
    <t>Air Life Mekanik 48</t>
  </si>
  <si>
    <t>Megatronik İnş.</t>
  </si>
  <si>
    <t>Megatronik İnş. 50</t>
  </si>
  <si>
    <t>Şahin İklimlendirme San.Tic.Ltd.Şti</t>
  </si>
  <si>
    <t>Şahin İklimlendirme San.Tic.Ltd.Şti 52</t>
  </si>
  <si>
    <t>Şahin İklimlendirme San.Tic.Ltd.Şti 54</t>
  </si>
  <si>
    <t>İzkon Demir Çelik Galvaniz Saç Profil Mak.İml.San.Tic.</t>
  </si>
  <si>
    <t>http://www.cenaskonteyner.com.tr</t>
  </si>
  <si>
    <t>İzkon Demir Çelik Galvaniz Saç Profil Mak.İml.San.Tic. 60</t>
  </si>
  <si>
    <t>Sefa iklimlendirme</t>
  </si>
  <si>
    <t>Sefa iklimlendirme 62</t>
  </si>
  <si>
    <t>Sefa iklimlendirme San.Tic.Ltd.Şti.</t>
  </si>
  <si>
    <t>Sefa iklimlendirme San.Tic.Ltd.Şti. 66</t>
  </si>
  <si>
    <t>Kayfan İklimlendirme</t>
  </si>
  <si>
    <t>Kayfan İklimlendirme 68</t>
  </si>
  <si>
    <t>ZETA PANO OTOMASYON MAKİNA TİC. TAMER KABA</t>
  </si>
  <si>
    <t>ZETA PANO OTOMASYON MAKİNA TİC. TAMER KABA 70</t>
  </si>
  <si>
    <t>Fi Havalandırma</t>
  </si>
  <si>
    <t>Fi Havalandırma 74</t>
  </si>
  <si>
    <t>Fi Havalandırma 76</t>
  </si>
  <si>
    <t>Fi Havalandırma 78</t>
  </si>
  <si>
    <t>Dörtkol gunes enerjisi kaliröfer Soba sanayii</t>
  </si>
  <si>
    <t>Dörtkol gunes enerjisi kaliröfer Soba sanayii 84</t>
  </si>
  <si>
    <t>Hussein Alyones</t>
  </si>
  <si>
    <t>Hussein Alyones 86</t>
  </si>
  <si>
    <t>Hussein Alyones 88</t>
  </si>
  <si>
    <t>Hussein Alyones 90</t>
  </si>
  <si>
    <t>EÜAŞ BURSA DOĞAL GAZ KOMBİNE SANTRALI İŞLETME MÜDÜRLÜĞÜ</t>
  </si>
  <si>
    <t>EÜAŞ BURSA DOĞAL GAZ KOMBİNE SANTRALI İŞLETME MÜDÜRLÜĞÜ 92</t>
  </si>
  <si>
    <t>EÜAŞ BURSA DOĞAL GAZ KOMBİNE SANTRALI İŞLETME MÜDÜRLÜĞÜ 94</t>
  </si>
  <si>
    <t>Mekatronik İnşaat</t>
  </si>
  <si>
    <t>www.mekatronikinsaat.com.tr</t>
  </si>
  <si>
    <t>Mekatronik İnşaat 97</t>
  </si>
  <si>
    <t>Mekatronik İnşaat 99</t>
  </si>
  <si>
    <t>Mekatronik İnşaat 101</t>
  </si>
  <si>
    <t>Tek Sar Teknik İzolasyon San.Tic.Ltd.Şti.</t>
  </si>
  <si>
    <t>www.tek-sar.com</t>
  </si>
  <si>
    <t>Tek Sar Teknik İzolasyon San.Tic.Ltd.Şti. 61</t>
  </si>
  <si>
    <t>Tek Sar Teknik İzolasyon San.Tic.Ltd.Şti. 63</t>
  </si>
  <si>
    <t>Can Kardeşler Radyatör</t>
  </si>
  <si>
    <t>info@cankardeslerradyator.com.tr</t>
  </si>
  <si>
    <t>Can Kardeşler Radyatör 65</t>
  </si>
  <si>
    <t>Can Kardeşler Radyatör 67</t>
  </si>
  <si>
    <t>Can Kardeşler Radyatör 69</t>
  </si>
  <si>
    <t>UDB Havalandırma</t>
  </si>
  <si>
    <t>info@udbhavalandirma.com.tr</t>
  </si>
  <si>
    <t>UDB Havalandırma 71</t>
  </si>
  <si>
    <t>Egeli Uza Çatı</t>
  </si>
  <si>
    <t>info@egeliuzaycati.com</t>
  </si>
  <si>
    <t>Egeli Uza Çatı 73</t>
  </si>
  <si>
    <t>Oraner Havalandırma</t>
  </si>
  <si>
    <t>hayatioraner@hotmail.com</t>
  </si>
  <si>
    <t>Oraner Havalandırma 81</t>
  </si>
  <si>
    <t>Oraner Havalandırma 83</t>
  </si>
  <si>
    <t>Oraner Havalandırma 85</t>
  </si>
  <si>
    <t>ATC Hidrolik Baca Sis.Otom.İnş.San.Tic.Ltd.Şti.</t>
  </si>
  <si>
    <t>ATC Hidrolik Baca Sis.Otom.İnş.San.Tic.Ltd.Şti. 87</t>
  </si>
  <si>
    <t>bacatek@hotmail.com</t>
  </si>
  <si>
    <t>ATC Hidrolik Baca Sis.Otom.İnş.San.Tic.Ltd.Şti. 89</t>
  </si>
  <si>
    <t>Emtaş Havalandırma ve Baca Sistemleri</t>
  </si>
  <si>
    <t>info@emtashavalandirma.com</t>
  </si>
  <si>
    <t>Emtaş Havalandırma ve Baca Sistemleri 91</t>
  </si>
  <si>
    <t>Emtaş Havalandırma ve Baca Sistemleri 93</t>
  </si>
  <si>
    <t>AYG Yangın</t>
  </si>
  <si>
    <t>AYG Yangın 95</t>
  </si>
  <si>
    <t>AYG Yangın 97</t>
  </si>
  <si>
    <t>Havalandırma Grup</t>
  </si>
  <si>
    <t>Havalandırma Grup 101</t>
  </si>
  <si>
    <t>Havalandırma Grup 103</t>
  </si>
  <si>
    <t>Rami Değirmen</t>
  </si>
  <si>
    <t>Rami Değirmen 105</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</si>
</sst>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164" formatCode="%0"/>
    <numFmt numFmtId="165" formatCode="[$₺-41F]#,##0.00;[Red]\-[$₺-41F]#,##0.00"/>
    <numFmt numFmtId="166" formatCode="#,##0.00&quot; TL&quot;"/>
    <numFmt numFmtId="167" formatCode="#,##0.00\ [$EUR]"/>
    <numFmt numFmtId="168" formatCode="#,##0.00\ [$USD]"/>
    <numFmt numFmtId="169" formatCode="#,##0.00&quot; ₺&quot;"/>
    <numFmt numFmtId="170" formatCode="#,##0.00\ [$$];[Red]\-#,##0.00\ [$$]"/>
    <numFmt numFmtId="171" formatCode="#,##0.00\ [$€-407]"/>
    <numFmt numFmtId="172" formatCode="[$-41F]d\ mmmm\ yyyy;@"/>
    <numFmt numFmtId="173" formatCode="#,##0&quot; ₺&quot;"/>
    <numFmt numFmtId="174" formatCode="%0.00"/>
    <numFmt numFmtId="175" formatCode="0.0000"/>
    <numFmt numFmtId="176" formatCode="0.00000"/>
    <numFmt numFmtId="177" formatCode="#,##0.00\ [$€-1]"/>
    <numFmt numFmtId="178" formatCode="#,##0.00\ [$$-C0C]"/>
    <numFmt numFmtId="179" formatCode="[&lt;=9999999]###\-####;\(###&quot;) &quot;###\-####"/>
    <numFmt numFmtId="180" formatCode="#\ ?/4"/>
    <numFmt numFmtId="181" formatCode="#,##0.00&quot; TL&quot;;[Red]\-#,##0.00&quot; TL&quot;"/>
    <numFmt numFmtId="182" formatCode="#,##0.00&quot; ₺&quot;;[Red]\-#,##0.00&quot; ₺&quot;"/>
    <numFmt numFmtId="183" formatCode="#,##0.00&quot;-TL&quot;;[Red]\-#,##0&quot; TL&quot;"/>
  </numFmts>
  <fonts count="62">
    <font>
      <sz val="11"/>
      <color rgb="FF000000"/>
      <name val="Calibri"/>
      <family val="2"/>
      <charset val="162"/>
    </font>
    <font>
      <b/>
      <sz val="11"/>
      <color rgb="FF000000"/>
      <name val="Calibri"/>
      <family val="2"/>
      <charset val="162"/>
    </font>
    <font>
      <sz val="14"/>
      <color rgb="FF000000"/>
      <name val="Arial"/>
      <family val="2"/>
      <charset val="162"/>
    </font>
    <font>
      <b/>
      <sz val="14"/>
      <color rgb="FF000000"/>
      <name val="Arial"/>
      <family val="2"/>
      <charset val="162"/>
    </font>
    <font>
      <u/>
      <sz val="14"/>
      <color rgb="FF0563C1"/>
      <name val="Arial"/>
      <family val="2"/>
      <charset val="162"/>
    </font>
    <font>
      <u/>
      <sz val="11"/>
      <color rgb="FF0563C1"/>
      <name val="Calibri"/>
      <family val="2"/>
      <charset val="162"/>
    </font>
    <font>
      <sz val="30"/>
      <color rgb="FF000000"/>
      <name val="Gotham Narrow Black"/>
      <family val="3"/>
      <charset val="1"/>
    </font>
    <font>
      <b/>
      <sz val="25"/>
      <color rgb="FF000000"/>
      <name val="Gotham Narrow Black"/>
      <family val="3"/>
      <charset val="1"/>
    </font>
    <font>
      <sz val="9"/>
      <color rgb="FF000000"/>
      <name val="Gotham Narrow Black"/>
      <family val="3"/>
      <charset val="1"/>
    </font>
    <font>
      <sz val="9"/>
      <color rgb="FF000000"/>
      <name val="Calibri"/>
      <family val="2"/>
      <charset val="162"/>
    </font>
    <font>
      <sz val="9"/>
      <name val="Gotham Narrow Medium"/>
      <family val="3"/>
      <charset val="1"/>
    </font>
    <font>
      <sz val="9"/>
      <color rgb="FF000000"/>
      <name val="Gotham Narrow Medium"/>
      <family val="3"/>
      <charset val="1"/>
    </font>
    <font>
      <sz val="10"/>
      <color rgb="FF000000"/>
      <name val="Gotham Narrow Medium"/>
      <family val="3"/>
      <charset val="1"/>
    </font>
    <font>
      <sz val="10"/>
      <color rgb="FF000000"/>
      <name val="Calibri"/>
      <family val="2"/>
      <charset val="162"/>
    </font>
    <font>
      <sz val="9"/>
      <color rgb="FF000000"/>
      <name val="Gotham Narrow Book"/>
      <family val="3"/>
      <charset val="1"/>
    </font>
    <font>
      <sz val="8"/>
      <color rgb="FF000000"/>
      <name val="Gotham Narrow Book"/>
      <family val="3"/>
      <charset val="1"/>
    </font>
    <font>
      <sz val="7"/>
      <color rgb="FF000000"/>
      <name val="Gotham Narrow Book"/>
      <family val="3"/>
      <charset val="1"/>
    </font>
    <font>
      <sz val="8"/>
      <color rgb="FF000000"/>
      <name val="Calibri"/>
      <family val="2"/>
      <charset val="162"/>
    </font>
    <font>
      <sz val="10"/>
      <name val="Gotham Narrow Medium"/>
      <family val="3"/>
      <charset val="1"/>
    </font>
    <font>
      <sz val="10"/>
      <color rgb="FF000000"/>
      <name val="Gotham Narrow Black"/>
      <family val="3"/>
      <charset val="1"/>
    </font>
    <font>
      <sz val="11"/>
      <color rgb="FF000000"/>
      <name val="Gotham Narrow Black"/>
      <family val="3"/>
      <charset val="1"/>
    </font>
    <font>
      <b/>
      <sz val="9"/>
      <name val="Gotham Narrow Medium"/>
      <family val="3"/>
      <charset val="1"/>
    </font>
    <font>
      <b/>
      <sz val="10"/>
      <color rgb="FF000000"/>
      <name val="Gotham Narrow Black"/>
      <family val="3"/>
      <charset val="1"/>
    </font>
    <font>
      <b/>
      <sz val="10"/>
      <color rgb="FF000000"/>
      <name val="Calibri"/>
      <family val="2"/>
      <charset val="162"/>
    </font>
    <font>
      <b/>
      <sz val="9"/>
      <color rgb="FF000000"/>
      <name val="Gotham Narrow Medium"/>
      <family val="3"/>
      <charset val="1"/>
    </font>
    <font>
      <sz val="11"/>
      <color rgb="FF000000"/>
      <name val="Arial"/>
      <family val="2"/>
      <charset val="162"/>
    </font>
    <font>
      <b/>
      <sz val="11"/>
      <color rgb="FF000000"/>
      <name val="Arial"/>
      <family val="2"/>
      <charset val="162"/>
    </font>
    <font>
      <sz val="9"/>
      <color rgb="FFFFFFFF"/>
      <name val="Gotham Narrow Medium"/>
      <family val="3"/>
      <charset val="1"/>
    </font>
    <font>
      <sz val="11"/>
      <color rgb="FFFFFFFF"/>
      <name val="Calibri"/>
      <family val="2"/>
      <charset val="162"/>
    </font>
    <font>
      <sz val="10"/>
      <color rgb="FFFFFFFF"/>
      <name val="Gotham Narrow Medium"/>
      <family val="3"/>
      <charset val="1"/>
    </font>
    <font>
      <b/>
      <i/>
      <sz val="11"/>
      <color rgb="FF000000"/>
      <name val="Arial"/>
      <family val="2"/>
      <charset val="162"/>
    </font>
    <font>
      <b/>
      <sz val="3"/>
      <color rgb="FF000000"/>
      <name val="Arial"/>
      <family val="2"/>
      <charset val="162"/>
    </font>
    <font>
      <b/>
      <sz val="10.5"/>
      <name val="Arial"/>
      <family val="2"/>
      <charset val="162"/>
    </font>
    <font>
      <i/>
      <sz val="12"/>
      <color rgb="FF000000"/>
      <name val="Arial"/>
      <family val="2"/>
      <charset val="162"/>
    </font>
    <font>
      <b/>
      <i/>
      <u/>
      <sz val="12"/>
      <color rgb="FF000000"/>
      <name val="Arial"/>
      <family val="2"/>
      <charset val="162"/>
    </font>
    <font>
      <b/>
      <sz val="12"/>
      <color rgb="FF000000"/>
      <name val="Arial"/>
      <family val="2"/>
      <charset val="162"/>
    </font>
    <font>
      <b/>
      <sz val="10.5"/>
      <color rgb="FF000000"/>
      <name val="Arial"/>
      <family val="2"/>
      <charset val="162"/>
    </font>
    <font>
      <b/>
      <i/>
      <u/>
      <sz val="11"/>
      <color rgb="FF000000"/>
      <name val="Arial"/>
      <family val="2"/>
      <charset val="162"/>
    </font>
    <font>
      <i/>
      <sz val="9"/>
      <color rgb="FF000000"/>
      <name val="Arial"/>
      <family val="2"/>
      <charset val="162"/>
    </font>
    <font>
      <b/>
      <sz val="20"/>
      <color rgb="FF000000"/>
      <name val="Arial"/>
      <family val="2"/>
      <charset val="162"/>
    </font>
    <font>
      <sz val="10"/>
      <color rgb="FF000000"/>
      <name val="Arial"/>
      <family val="2"/>
      <charset val="162"/>
    </font>
    <font>
      <sz val="12"/>
      <name val="Arial"/>
      <family val="2"/>
      <charset val="162"/>
    </font>
    <font>
      <sz val="12"/>
      <color rgb="FF000000"/>
      <name val="Arial"/>
      <family val="2"/>
      <charset val="162"/>
    </font>
    <font>
      <b/>
      <sz val="12"/>
      <name val="Arial"/>
      <family val="2"/>
      <charset val="162"/>
    </font>
    <font>
      <sz val="10"/>
      <color rgb="FFFFFFFF"/>
      <name val="Arial"/>
      <family val="2"/>
      <charset val="162"/>
    </font>
    <font>
      <b/>
      <sz val="9"/>
      <color rgb="FF000000"/>
      <name val="Arial"/>
      <family val="2"/>
      <charset val="162"/>
    </font>
    <font>
      <b/>
      <sz val="10"/>
      <color rgb="FF000000"/>
      <name val="Arial"/>
      <family val="2"/>
      <charset val="162"/>
    </font>
    <font>
      <b/>
      <sz val="15"/>
      <color rgb="FF000000"/>
      <name val="Arial"/>
      <family val="2"/>
      <charset val="162"/>
    </font>
    <font>
      <sz val="12"/>
      <color rgb="FF404040"/>
      <name val="Gesta"/>
      <charset val="162"/>
    </font>
    <font>
      <sz val="13"/>
      <color rgb="FF000000"/>
      <name val="Arial"/>
      <family val="2"/>
      <charset val="162"/>
    </font>
    <font>
      <b/>
      <sz val="12"/>
      <color rgb="FF404040"/>
      <name val="Gesta"/>
      <charset val="1"/>
    </font>
    <font>
      <b/>
      <sz val="15"/>
      <color rgb="FF000000"/>
      <name val="Calibri"/>
      <family val="2"/>
      <charset val="162"/>
    </font>
    <font>
      <b/>
      <u/>
      <sz val="10"/>
      <color rgb="FF000000"/>
      <name val="Calibri"/>
      <family val="2"/>
      <charset val="162"/>
    </font>
    <font>
      <sz val="10.5"/>
      <color rgb="FF000000"/>
      <name val="Calibri"/>
      <family val="2"/>
      <charset val="162"/>
    </font>
    <font>
      <sz val="10"/>
      <color rgb="FFFF0000"/>
      <name val="Calibri"/>
      <family val="2"/>
      <charset val="162"/>
    </font>
    <font>
      <b/>
      <u/>
      <sz val="12"/>
      <color rgb="FF000000"/>
      <name val="Calibri"/>
      <family val="2"/>
      <charset val="162"/>
    </font>
    <font>
      <b/>
      <u/>
      <sz val="11"/>
      <color rgb="FF000000"/>
      <name val="Calibri"/>
      <family val="2"/>
      <charset val="162"/>
    </font>
    <font>
      <sz val="11"/>
      <color rgb="FFFF0000"/>
      <name val="Calibri"/>
      <family val="2"/>
      <charset val="162"/>
    </font>
    <font>
      <sz val="9"/>
      <name val="Calibri"/>
      <family val="2"/>
      <charset val="162"/>
    </font>
    <font>
      <b/>
      <sz val="13"/>
      <color rgb="FF000000"/>
      <name val="Calibri"/>
      <family val="2"/>
      <charset val="162"/>
    </font>
    <font>
      <sz val="11"/>
      <color rgb="FF808080"/>
      <name val="Calibri"/>
      <family val="2"/>
      <charset val="162"/>
    </font>
    <font>
      <sz val="14"/>
      <color rgb="FF000000"/>
      <name val="Calibri"/>
      <family val="2"/>
      <charset val="162"/>
    </font>
  </fonts>
  <fills count="5">
    <fill>
      <patternFill patternType="none"/>
    </fill>
    <fill>
      <patternFill patternType="gray125"/>
    </fill>
    <fill>
      <patternFill patternType="solid">
        <fgColor rgb="FFE7E6E6"/>
        <bgColor rgb="FFFFFFFF"/>
      </patternFill>
    </fill>
    <fill>
      <patternFill patternType="solid">
        <fgColor rgb="FFFFFF00"/>
        <bgColor rgb="FFFFFF00"/>
      </patternFill>
    </fill>
    <fill>
      <patternFill patternType="solid">
        <fgColor rgb="FFFFFF00"/>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right style="medium">
        <color auto="1"/>
      </right>
      <top style="hair">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s>
  <cellStyleXfs count="2">
    <xf numFmtId="0" fontId="0" fillId="0" borderId="0"/>
    <xf numFmtId="0" fontId="5" fillId="0" borderId="0" applyBorder="0" applyProtection="0"/>
  </cellStyleXfs>
  <cellXfs count="396">
    <xf numFmtId="0" fontId="0" fillId="0" borderId="0" xfId="0"/>
    <xf numFmtId="49" fontId="0" fillId="0" borderId="0" xfId="0" applyNumberFormat="1"/>
    <xf numFmtId="49" fontId="1" fillId="0" borderId="0" xfId="0" applyNumberFormat="1" applyFont="1"/>
    <xf numFmtId="164" fontId="0" fillId="0" borderId="0" xfId="0" applyNumberFormat="1"/>
    <xf numFmtId="0" fontId="0" fillId="0" borderId="0" xfId="0" applyAlignment="1">
      <alignment horizontal="center" vertical="center"/>
    </xf>
    <xf numFmtId="165" fontId="0" fillId="0" borderId="0" xfId="0" applyNumberFormat="1"/>
    <xf numFmtId="0" fontId="0" fillId="0" borderId="0" xfId="0" applyFont="1" applyAlignment="1">
      <alignment horizontal="left" vertical="top" wrapText="1"/>
    </xf>
    <xf numFmtId="0" fontId="0" fillId="0" borderId="1" xfId="0" applyBorder="1"/>
    <xf numFmtId="49" fontId="0" fillId="0" borderId="2" xfId="0" applyNumberFormat="1" applyBorder="1"/>
    <xf numFmtId="49" fontId="0" fillId="0" borderId="3" xfId="0" applyNumberFormat="1" applyBorder="1"/>
    <xf numFmtId="0" fontId="0" fillId="0" borderId="4" xfId="0" applyBorder="1" applyAlignment="1"/>
    <xf numFmtId="0" fontId="0" fillId="0" borderId="0" xfId="0" applyBorder="1" applyAlignment="1"/>
    <xf numFmtId="49" fontId="0" fillId="0" borderId="5" xfId="0" applyNumberFormat="1" applyBorder="1"/>
    <xf numFmtId="0" fontId="0" fillId="0" borderId="4" xfId="0" applyBorder="1"/>
    <xf numFmtId="49" fontId="0" fillId="0" borderId="0" xfId="0" applyNumberFormat="1" applyBorder="1" applyAlignment="1"/>
    <xf numFmtId="49" fontId="0" fillId="0" borderId="4" xfId="0" applyNumberFormat="1" applyFont="1" applyBorder="1"/>
    <xf numFmtId="49" fontId="0" fillId="0" borderId="0" xfId="0" applyNumberFormat="1" applyBorder="1"/>
    <xf numFmtId="3" fontId="0" fillId="0" borderId="6" xfId="0" applyNumberFormat="1" applyBorder="1"/>
    <xf numFmtId="3" fontId="0" fillId="0" borderId="7" xfId="0" applyNumberFormat="1" applyBorder="1"/>
    <xf numFmtId="49" fontId="0" fillId="0" borderId="8" xfId="0" applyNumberFormat="1" applyBorder="1"/>
    <xf numFmtId="0" fontId="2" fillId="0" borderId="0" xfId="0" applyFont="1" applyAlignment="1">
      <alignment horizontal="center" vertical="center"/>
    </xf>
    <xf numFmtId="0" fontId="3" fillId="2" borderId="0" xfId="0" applyFont="1" applyFill="1" applyBorder="1" applyAlignment="1">
      <alignment horizontal="center" vertical="center"/>
    </xf>
    <xf numFmtId="0" fontId="2" fillId="2" borderId="0" xfId="0" applyFont="1" applyFill="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right" vertical="center"/>
    </xf>
    <xf numFmtId="0" fontId="2" fillId="0" borderId="11" xfId="0" applyFont="1" applyBorder="1" applyAlignment="1">
      <alignment horizontal="center" vertical="center" wrapText="1"/>
    </xf>
    <xf numFmtId="2" fontId="2" fillId="0" borderId="10" xfId="0" applyNumberFormat="1" applyFont="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right" vertical="center"/>
    </xf>
    <xf numFmtId="0" fontId="2" fillId="0" borderId="14" xfId="0" applyFont="1" applyBorder="1" applyAlignment="1">
      <alignment horizontal="center" vertical="center"/>
    </xf>
    <xf numFmtId="166" fontId="2" fillId="0" borderId="13" xfId="0" applyNumberFormat="1" applyFont="1" applyBorder="1" applyAlignment="1">
      <alignment horizontal="center" vertical="center"/>
    </xf>
    <xf numFmtId="3" fontId="2" fillId="0" borderId="13" xfId="0" applyNumberFormat="1" applyFont="1" applyBorder="1" applyAlignment="1">
      <alignment horizontal="center" vertical="center"/>
    </xf>
    <xf numFmtId="167" fontId="2" fillId="0" borderId="15" xfId="0" applyNumberFormat="1" applyFont="1" applyBorder="1" applyAlignment="1">
      <alignment horizontal="center" vertical="center"/>
    </xf>
    <xf numFmtId="168" fontId="2" fillId="0" borderId="16" xfId="0" applyNumberFormat="1" applyFont="1" applyBorder="1" applyAlignment="1">
      <alignment horizontal="center" vertical="center"/>
    </xf>
    <xf numFmtId="0" fontId="2" fillId="0" borderId="14" xfId="0" applyFont="1" applyBorder="1" applyAlignment="1">
      <alignment horizontal="center" vertical="center" wrapText="1"/>
    </xf>
    <xf numFmtId="0" fontId="2" fillId="2" borderId="13" xfId="0" applyFont="1" applyFill="1" applyBorder="1" applyAlignment="1">
      <alignment horizontal="right" vertical="center" shrinkToFit="1"/>
    </xf>
    <xf numFmtId="49" fontId="2" fillId="0" borderId="14" xfId="0" applyNumberFormat="1" applyFont="1" applyBorder="1" applyAlignment="1">
      <alignment horizontal="center" vertical="center"/>
    </xf>
    <xf numFmtId="164" fontId="2" fillId="0" borderId="13" xfId="0" applyNumberFormat="1" applyFont="1" applyBorder="1" applyAlignment="1">
      <alignment horizontal="center" vertical="center"/>
    </xf>
    <xf numFmtId="0" fontId="2" fillId="0" borderId="13" xfId="0" applyFont="1" applyBorder="1" applyAlignment="1">
      <alignment horizontal="center" vertical="center"/>
    </xf>
    <xf numFmtId="0" fontId="3" fillId="0" borderId="15" xfId="0" applyFont="1" applyBorder="1" applyAlignment="1">
      <alignment horizontal="center" vertical="center"/>
    </xf>
    <xf numFmtId="169" fontId="3" fillId="0" borderId="16" xfId="0" applyNumberFormat="1" applyFont="1" applyBorder="1" applyAlignment="1">
      <alignment horizontal="center" vertical="center"/>
    </xf>
    <xf numFmtId="0" fontId="4" fillId="0" borderId="14" xfId="1" applyFont="1" applyBorder="1" applyAlignment="1" applyProtection="1">
      <alignment horizontal="center" vertical="center"/>
    </xf>
    <xf numFmtId="168" fontId="2" fillId="0" borderId="15" xfId="0" applyNumberFormat="1" applyFont="1" applyBorder="1" applyAlignment="1">
      <alignment horizontal="center" vertical="center"/>
    </xf>
    <xf numFmtId="170" fontId="2" fillId="0" borderId="0" xfId="0" applyNumberFormat="1" applyFont="1" applyAlignment="1">
      <alignment horizontal="center" vertical="center"/>
    </xf>
    <xf numFmtId="0" fontId="5" fillId="0" borderId="14" xfId="1" applyFont="1" applyBorder="1" applyAlignment="1" applyProtection="1">
      <alignment horizontal="center" vertical="center"/>
    </xf>
    <xf numFmtId="1" fontId="2" fillId="0" borderId="14" xfId="0" applyNumberFormat="1" applyFont="1" applyBorder="1" applyAlignment="1">
      <alignment horizontal="center" vertical="center"/>
    </xf>
    <xf numFmtId="1" fontId="2" fillId="0" borderId="13" xfId="0" applyNumberFormat="1" applyFont="1" applyBorder="1" applyAlignment="1">
      <alignment horizontal="center" vertical="center"/>
    </xf>
    <xf numFmtId="14" fontId="2" fillId="0" borderId="13" xfId="0" applyNumberFormat="1"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right"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171" fontId="2" fillId="0" borderId="15" xfId="0" applyNumberFormat="1"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right" vertical="center"/>
    </xf>
    <xf numFmtId="167" fontId="2" fillId="0" borderId="0" xfId="0" applyNumberFormat="1" applyFont="1" applyAlignment="1">
      <alignment horizontal="center" vertical="center"/>
    </xf>
    <xf numFmtId="168" fontId="2" fillId="0" borderId="0" xfId="0" applyNumberFormat="1" applyFont="1" applyAlignment="1">
      <alignment horizontal="center" vertical="center"/>
    </xf>
    <xf numFmtId="0" fontId="2" fillId="2" borderId="10" xfId="0" applyFont="1" applyFill="1" applyBorder="1" applyAlignment="1">
      <alignment horizontal="center" vertical="center"/>
    </xf>
    <xf numFmtId="0" fontId="3" fillId="0" borderId="11" xfId="0" applyFont="1" applyBorder="1" applyAlignment="1">
      <alignment horizontal="center" vertical="center"/>
    </xf>
    <xf numFmtId="0" fontId="2" fillId="0" borderId="11" xfId="0" applyFont="1" applyBorder="1" applyAlignment="1">
      <alignment horizontal="center" vertical="center"/>
    </xf>
    <xf numFmtId="0" fontId="2" fillId="2" borderId="13" xfId="0" applyFont="1" applyFill="1" applyBorder="1" applyAlignment="1">
      <alignment horizontal="center" vertical="center"/>
    </xf>
    <xf numFmtId="0" fontId="2" fillId="0" borderId="0" xfId="0" applyFont="1" applyBorder="1" applyAlignment="1">
      <alignment horizontal="center" vertical="center"/>
    </xf>
    <xf numFmtId="0" fontId="2" fillId="3" borderId="14" xfId="0" applyFont="1" applyFill="1" applyBorder="1" applyAlignment="1">
      <alignment horizontal="center" vertical="center"/>
    </xf>
    <xf numFmtId="0" fontId="2" fillId="2" borderId="18" xfId="0" applyFont="1" applyFill="1" applyBorder="1" applyAlignment="1">
      <alignment horizontal="center" vertical="center"/>
    </xf>
    <xf numFmtId="0" fontId="2" fillId="3" borderId="19" xfId="0" applyFont="1" applyFill="1" applyBorder="1" applyAlignment="1">
      <alignment horizontal="center" vertical="center"/>
    </xf>
    <xf numFmtId="0" fontId="0" fillId="0" borderId="0" xfId="0" applyAlignment="1">
      <alignment vertical="center"/>
    </xf>
    <xf numFmtId="0" fontId="6" fillId="0" borderId="0" xfId="0" applyFont="1" applyAlignment="1">
      <alignment horizontal="right" vertical="center"/>
    </xf>
    <xf numFmtId="0" fontId="0" fillId="0" borderId="7" xfId="0" applyBorder="1" applyAlignment="1">
      <alignment vertical="center"/>
    </xf>
    <xf numFmtId="0" fontId="8" fillId="0" borderId="0" xfId="0" applyFont="1" applyAlignment="1">
      <alignment horizontal="right" vertical="center"/>
    </xf>
    <xf numFmtId="0" fontId="8" fillId="0" borderId="0" xfId="0" applyFont="1" applyAlignment="1">
      <alignment vertical="center"/>
    </xf>
    <xf numFmtId="0" fontId="9" fillId="0" borderId="0" xfId="0" applyFont="1" applyAlignment="1">
      <alignment vertical="center"/>
    </xf>
    <xf numFmtId="0" fontId="9" fillId="0" borderId="2" xfId="0" applyFont="1" applyBorder="1" applyAlignment="1">
      <alignment vertical="center"/>
    </xf>
    <xf numFmtId="0" fontId="8" fillId="0" borderId="0" xfId="0" applyFont="1" applyAlignment="1">
      <alignment horizontal="left" vertical="center"/>
    </xf>
    <xf numFmtId="0" fontId="10" fillId="0" borderId="0" xfId="0" applyFont="1" applyAlignment="1">
      <alignment vertical="center"/>
    </xf>
    <xf numFmtId="49" fontId="9" fillId="0" borderId="0" xfId="0" applyNumberFormat="1" applyFont="1" applyAlignment="1">
      <alignment vertical="center"/>
    </xf>
    <xf numFmtId="0" fontId="11" fillId="0" borderId="0" xfId="0" applyFont="1" applyAlignment="1">
      <alignment horizontal="left" vertical="center"/>
    </xf>
    <xf numFmtId="0" fontId="9" fillId="0" borderId="7" xfId="0" applyFont="1" applyBorder="1" applyAlignment="1">
      <alignment vertical="center"/>
    </xf>
    <xf numFmtId="172" fontId="11" fillId="0" borderId="0" xfId="0" applyNumberFormat="1" applyFont="1" applyBorder="1" applyAlignment="1">
      <alignment horizontal="left" vertical="center"/>
    </xf>
    <xf numFmtId="0" fontId="9" fillId="0" borderId="0" xfId="0" applyFont="1" applyBorder="1" applyAlignment="1">
      <alignment vertical="center"/>
    </xf>
    <xf numFmtId="0" fontId="8" fillId="0" borderId="0" xfId="0" applyFont="1" applyBorder="1" applyAlignment="1">
      <alignment vertical="center"/>
    </xf>
    <xf numFmtId="0" fontId="8" fillId="0" borderId="0" xfId="0" applyFont="1" applyBorder="1" applyAlignment="1">
      <alignment horizontal="center" vertical="center"/>
    </xf>
    <xf numFmtId="0" fontId="8" fillId="0" borderId="7" xfId="0" applyFont="1" applyBorder="1" applyAlignment="1">
      <alignment vertical="center"/>
    </xf>
    <xf numFmtId="0" fontId="9" fillId="0" borderId="7" xfId="0" applyFont="1" applyBorder="1" applyAlignment="1">
      <alignment horizontal="center" vertical="center"/>
    </xf>
    <xf numFmtId="0" fontId="8" fillId="0" borderId="7" xfId="0" applyFont="1" applyBorder="1" applyAlignment="1">
      <alignment horizontal="center" vertical="center"/>
    </xf>
    <xf numFmtId="164" fontId="8" fillId="0" borderId="7" xfId="0" applyNumberFormat="1" applyFont="1" applyBorder="1" applyAlignment="1">
      <alignment horizontal="center" vertical="center"/>
    </xf>
    <xf numFmtId="0" fontId="13" fillId="0" borderId="0" xfId="0" applyFont="1" applyBorder="1" applyAlignment="1">
      <alignment horizontal="center" vertical="center"/>
    </xf>
    <xf numFmtId="173" fontId="13" fillId="0" borderId="0" xfId="0" applyNumberFormat="1" applyFont="1" applyBorder="1" applyAlignment="1">
      <alignment horizontal="center" vertical="center"/>
    </xf>
    <xf numFmtId="0" fontId="9" fillId="0" borderId="0" xfId="0" applyFont="1" applyAlignment="1">
      <alignment horizontal="center" vertical="center"/>
    </xf>
    <xf numFmtId="173" fontId="9" fillId="0" borderId="0" xfId="0" applyNumberFormat="1" applyFont="1" applyAlignment="1">
      <alignment horizontal="center" vertical="center"/>
    </xf>
    <xf numFmtId="172" fontId="14" fillId="0" borderId="0" xfId="0" applyNumberFormat="1" applyFont="1" applyBorder="1" applyAlignment="1">
      <alignment vertical="center"/>
    </xf>
    <xf numFmtId="172" fontId="11" fillId="0" borderId="0" xfId="0" applyNumberFormat="1" applyFont="1" applyBorder="1" applyAlignment="1">
      <alignment vertical="center"/>
    </xf>
    <xf numFmtId="172" fontId="15" fillId="0" borderId="0" xfId="0" applyNumberFormat="1" applyFont="1" applyBorder="1" applyAlignment="1"/>
    <xf numFmtId="172" fontId="16" fillId="0" borderId="7" xfId="0" applyNumberFormat="1" applyFont="1" applyBorder="1" applyAlignment="1">
      <alignment vertical="center"/>
    </xf>
    <xf numFmtId="172" fontId="11" fillId="0" borderId="7" xfId="0" applyNumberFormat="1" applyFont="1" applyBorder="1" applyAlignment="1">
      <alignment vertical="center"/>
    </xf>
    <xf numFmtId="0" fontId="9" fillId="0" borderId="21" xfId="0" applyFont="1" applyBorder="1" applyAlignment="1">
      <alignment vertical="center"/>
    </xf>
    <xf numFmtId="0" fontId="17" fillId="0" borderId="0" xfId="0" applyFont="1" applyBorder="1" applyAlignment="1">
      <alignment vertical="center"/>
    </xf>
    <xf numFmtId="172" fontId="15" fillId="0" borderId="0" xfId="0" applyNumberFormat="1" applyFont="1" applyBorder="1" applyAlignment="1">
      <alignment horizontal="right" vertical="center"/>
    </xf>
    <xf numFmtId="0" fontId="18" fillId="0" borderId="7" xfId="0" applyFont="1" applyBorder="1" applyAlignment="1">
      <alignment horizontal="right" vertical="center"/>
    </xf>
    <xf numFmtId="1" fontId="12" fillId="0" borderId="7" xfId="0" applyNumberFormat="1" applyFont="1" applyBorder="1" applyAlignment="1">
      <alignment horizontal="center" vertical="center"/>
    </xf>
    <xf numFmtId="0" fontId="13" fillId="0" borderId="0" xfId="0" applyFont="1" applyAlignment="1">
      <alignment vertical="center"/>
    </xf>
    <xf numFmtId="0" fontId="13" fillId="0" borderId="2" xfId="0" applyFont="1" applyBorder="1" applyAlignment="1">
      <alignment vertical="center"/>
    </xf>
    <xf numFmtId="0" fontId="19" fillId="0" borderId="0" xfId="0" applyFont="1" applyAlignment="1">
      <alignment horizontal="left" vertical="center"/>
    </xf>
    <xf numFmtId="0" fontId="19" fillId="0" borderId="0" xfId="0" applyFont="1" applyAlignment="1">
      <alignment vertical="center"/>
    </xf>
    <xf numFmtId="0" fontId="18" fillId="0" borderId="0" xfId="0" applyFont="1" applyAlignment="1">
      <alignment vertical="center"/>
    </xf>
    <xf numFmtId="0" fontId="0" fillId="0" borderId="0" xfId="0" applyFont="1" applyAlignment="1">
      <alignment vertical="center" wrapText="1"/>
    </xf>
    <xf numFmtId="0" fontId="13" fillId="0" borderId="7" xfId="0" applyFont="1" applyBorder="1" applyAlignment="1">
      <alignment vertical="center"/>
    </xf>
    <xf numFmtId="0" fontId="10" fillId="0" borderId="0" xfId="0" applyFont="1" applyAlignment="1">
      <alignment vertical="center" wrapText="1"/>
    </xf>
    <xf numFmtId="0" fontId="21" fillId="0" borderId="0" xfId="0" applyFont="1" applyAlignment="1">
      <alignment vertical="center"/>
    </xf>
    <xf numFmtId="0" fontId="1" fillId="0" borderId="0" xfId="0" applyFont="1" applyAlignment="1">
      <alignment horizontal="center" vertical="center"/>
    </xf>
    <xf numFmtId="0" fontId="22" fillId="0" borderId="0" xfId="0" applyFont="1" applyAlignment="1">
      <alignment vertical="center"/>
    </xf>
    <xf numFmtId="0" fontId="23" fillId="0" borderId="0" xfId="0" applyFont="1" applyAlignment="1">
      <alignment vertical="center"/>
    </xf>
    <xf numFmtId="0" fontId="13" fillId="0" borderId="0" xfId="0" applyFont="1" applyBorder="1" applyAlignment="1">
      <alignment vertical="center"/>
    </xf>
    <xf numFmtId="0" fontId="0" fillId="0" borderId="0" xfId="0" applyBorder="1"/>
    <xf numFmtId="0" fontId="0" fillId="0" borderId="0" xfId="0" applyFont="1" applyAlignment="1">
      <alignment vertical="center"/>
    </xf>
    <xf numFmtId="0" fontId="24" fillId="0" borderId="0" xfId="0" applyFont="1" applyAlignment="1">
      <alignment vertical="center"/>
    </xf>
    <xf numFmtId="169" fontId="24" fillId="0" borderId="0" xfId="0" applyNumberFormat="1" applyFont="1" applyBorder="1" applyAlignment="1">
      <alignment vertical="center"/>
    </xf>
    <xf numFmtId="172" fontId="11" fillId="0" borderId="0" xfId="0" applyNumberFormat="1" applyFont="1" applyAlignment="1">
      <alignment horizontal="center" vertical="center"/>
    </xf>
    <xf numFmtId="0" fontId="11" fillId="0" borderId="0" xfId="0" applyFont="1" applyAlignment="1">
      <alignment vertical="center"/>
    </xf>
    <xf numFmtId="169" fontId="11" fillId="0" borderId="0" xfId="0" applyNumberFormat="1" applyFont="1" applyBorder="1" applyAlignment="1">
      <alignment vertical="center"/>
    </xf>
    <xf numFmtId="172" fontId="12" fillId="0" borderId="0" xfId="0" applyNumberFormat="1" applyFont="1" applyAlignment="1">
      <alignment vertical="center"/>
    </xf>
    <xf numFmtId="0" fontId="25" fillId="0" borderId="0" xfId="0" applyFont="1" applyBorder="1"/>
    <xf numFmtId="0" fontId="25" fillId="0" borderId="0" xfId="0" applyFont="1" applyBorder="1" applyAlignment="1">
      <alignment horizontal="center" vertical="center"/>
    </xf>
    <xf numFmtId="14" fontId="26" fillId="0" borderId="0" xfId="0" applyNumberFormat="1" applyFont="1" applyBorder="1"/>
    <xf numFmtId="0" fontId="0" fillId="0" borderId="0" xfId="0" applyAlignment="1">
      <alignment vertical="top" wrapText="1" shrinkToFit="1"/>
    </xf>
    <xf numFmtId="0" fontId="0" fillId="0" borderId="0" xfId="0" applyBorder="1" applyAlignment="1">
      <alignment vertical="center"/>
    </xf>
    <xf numFmtId="0" fontId="19" fillId="0" borderId="0" xfId="0" applyFont="1" applyBorder="1" applyAlignment="1">
      <alignment vertical="center"/>
    </xf>
    <xf numFmtId="0" fontId="24" fillId="0" borderId="0" xfId="0" applyFont="1" applyAlignment="1">
      <alignment vertical="center" shrinkToFit="1"/>
    </xf>
    <xf numFmtId="168" fontId="24" fillId="0" borderId="0" xfId="0" applyNumberFormat="1" applyFont="1" applyBorder="1" applyAlignment="1">
      <alignment vertical="center" shrinkToFit="1"/>
    </xf>
    <xf numFmtId="172" fontId="11" fillId="0" borderId="0" xfId="0" applyNumberFormat="1" applyFont="1" applyAlignment="1">
      <alignment horizontal="center" vertical="center" shrinkToFit="1"/>
    </xf>
    <xf numFmtId="170" fontId="13" fillId="0" borderId="0" xfId="0" applyNumberFormat="1" applyFont="1" applyBorder="1" applyAlignment="1">
      <alignment horizontal="center" vertical="center"/>
    </xf>
    <xf numFmtId="0" fontId="27" fillId="0" borderId="0" xfId="0" applyFont="1" applyAlignment="1">
      <alignment vertical="center"/>
    </xf>
    <xf numFmtId="0" fontId="28" fillId="0" borderId="0" xfId="0" applyFont="1" applyAlignment="1">
      <alignment vertical="center"/>
    </xf>
    <xf numFmtId="0" fontId="25" fillId="0" borderId="0" xfId="0" applyFont="1"/>
    <xf numFmtId="0" fontId="25" fillId="0" borderId="0" xfId="0" applyFont="1" applyAlignment="1">
      <alignment horizontal="center"/>
    </xf>
    <xf numFmtId="0" fontId="25" fillId="0" borderId="0" xfId="0" applyFont="1" applyBorder="1" applyAlignment="1">
      <alignment horizontal="center"/>
    </xf>
    <xf numFmtId="0" fontId="26" fillId="0" borderId="0" xfId="0" applyFont="1" applyBorder="1" applyAlignment="1">
      <alignment horizontal="center"/>
    </xf>
    <xf numFmtId="0" fontId="30" fillId="0" borderId="0" xfId="0" applyFont="1" applyAlignment="1"/>
    <xf numFmtId="0" fontId="30" fillId="0" borderId="0" xfId="0" applyFont="1" applyAlignment="1">
      <alignment horizontal="center"/>
    </xf>
    <xf numFmtId="0" fontId="30" fillId="0" borderId="0" xfId="0" applyFont="1" applyAlignment="1">
      <alignment vertical="top"/>
    </xf>
    <xf numFmtId="0" fontId="36" fillId="0" borderId="6" xfId="0" applyFont="1" applyBorder="1" applyAlignment="1">
      <alignment vertical="center"/>
    </xf>
    <xf numFmtId="0" fontId="33" fillId="0" borderId="7" xfId="0" applyFont="1" applyBorder="1" applyAlignment="1">
      <alignment horizontal="right" vertical="center" wrapText="1"/>
    </xf>
    <xf numFmtId="0" fontId="26" fillId="0" borderId="0" xfId="0" applyFont="1" applyAlignment="1">
      <alignment vertical="center"/>
    </xf>
    <xf numFmtId="0" fontId="38" fillId="0" borderId="0" xfId="0" applyFont="1" applyAlignment="1">
      <alignment vertical="center" wrapText="1"/>
    </xf>
    <xf numFmtId="0" fontId="36" fillId="0" borderId="0" xfId="0" applyFont="1" applyAlignment="1">
      <alignment vertical="center"/>
    </xf>
    <xf numFmtId="0" fontId="33" fillId="0" borderId="0" xfId="0" applyFont="1" applyAlignment="1">
      <alignment horizontal="right" vertical="center" wrapText="1"/>
    </xf>
    <xf numFmtId="49" fontId="33" fillId="0" borderId="0" xfId="0" applyNumberFormat="1" applyFont="1" applyAlignment="1">
      <alignment horizontal="left" vertical="center" wrapText="1"/>
    </xf>
    <xf numFmtId="1" fontId="26" fillId="0" borderId="0" xfId="0" applyNumberFormat="1" applyFont="1" applyBorder="1" applyAlignment="1">
      <alignment horizontal="center"/>
    </xf>
    <xf numFmtId="0" fontId="39" fillId="0" borderId="1" xfId="0" applyFont="1" applyBorder="1" applyAlignment="1">
      <alignment vertical="center"/>
    </xf>
    <xf numFmtId="0" fontId="39" fillId="0" borderId="2" xfId="0" applyFont="1" applyBorder="1" applyAlignment="1">
      <alignmen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5" fillId="2" borderId="24" xfId="0" applyFont="1" applyFill="1" applyBorder="1" applyAlignment="1">
      <alignment horizontal="center"/>
    </xf>
    <xf numFmtId="0" fontId="35" fillId="2" borderId="25" xfId="0" applyFont="1" applyFill="1" applyBorder="1" applyAlignment="1">
      <alignment horizontal="center"/>
    </xf>
    <xf numFmtId="0" fontId="35" fillId="2" borderId="26" xfId="0" applyFont="1" applyFill="1" applyBorder="1" applyAlignment="1">
      <alignment horizontal="center"/>
    </xf>
    <xf numFmtId="0" fontId="35" fillId="2" borderId="27" xfId="0" applyFont="1" applyFill="1" applyBorder="1" applyAlignment="1">
      <alignment horizontal="center"/>
    </xf>
    <xf numFmtId="0" fontId="41" fillId="0" borderId="29" xfId="0" applyFont="1" applyBorder="1" applyAlignment="1">
      <alignment vertical="center"/>
    </xf>
    <xf numFmtId="0" fontId="42" fillId="0" borderId="29" xfId="0" applyFont="1" applyBorder="1" applyAlignment="1">
      <alignment vertical="center"/>
    </xf>
    <xf numFmtId="0" fontId="42" fillId="0" borderId="30" xfId="0" applyFont="1" applyBorder="1" applyAlignment="1">
      <alignment vertical="center"/>
    </xf>
    <xf numFmtId="166" fontId="42" fillId="0" borderId="31" xfId="0" applyNumberFormat="1" applyFont="1" applyBorder="1" applyAlignment="1">
      <alignment vertical="center" wrapText="1"/>
    </xf>
    <xf numFmtId="3" fontId="41" fillId="0" borderId="32" xfId="0" applyNumberFormat="1" applyFont="1" applyBorder="1" applyAlignment="1">
      <alignment horizontal="center" vertical="center"/>
    </xf>
    <xf numFmtId="0" fontId="42" fillId="0" borderId="32" xfId="0" applyFont="1" applyBorder="1" applyAlignment="1">
      <alignment horizontal="center" vertical="center"/>
    </xf>
    <xf numFmtId="170" fontId="42" fillId="0" borderId="33" xfId="0" applyNumberFormat="1" applyFont="1" applyBorder="1" applyAlignment="1">
      <alignment horizontal="center" vertical="center"/>
    </xf>
    <xf numFmtId="170" fontId="42" fillId="0" borderId="34" xfId="0" applyNumberFormat="1" applyFont="1" applyBorder="1" applyAlignment="1">
      <alignment vertical="center" wrapText="1"/>
    </xf>
    <xf numFmtId="0" fontId="41" fillId="0" borderId="32" xfId="0" applyFont="1" applyBorder="1" applyAlignment="1">
      <alignment horizontal="center" vertical="center"/>
    </xf>
    <xf numFmtId="166" fontId="42" fillId="0" borderId="33" xfId="0" applyNumberFormat="1" applyFont="1" applyBorder="1" applyAlignment="1">
      <alignment vertical="center"/>
    </xf>
    <xf numFmtId="166" fontId="42" fillId="0" borderId="34" xfId="0" applyNumberFormat="1" applyFont="1" applyBorder="1" applyAlignment="1">
      <alignment vertical="center" wrapText="1"/>
    </xf>
    <xf numFmtId="170" fontId="42" fillId="0" borderId="33" xfId="0" applyNumberFormat="1" applyFont="1" applyBorder="1" applyAlignment="1">
      <alignment vertical="center"/>
    </xf>
    <xf numFmtId="0" fontId="41" fillId="0" borderId="35" xfId="0" applyFont="1" applyBorder="1" applyAlignment="1">
      <alignment horizontal="center" vertical="center"/>
    </xf>
    <xf numFmtId="0" fontId="42" fillId="0" borderId="35" xfId="0" applyFont="1" applyBorder="1" applyAlignment="1">
      <alignment horizontal="center" vertical="center"/>
    </xf>
    <xf numFmtId="166" fontId="42" fillId="0" borderId="36" xfId="0" applyNumberFormat="1" applyFont="1" applyBorder="1" applyAlignment="1">
      <alignment vertical="center"/>
    </xf>
    <xf numFmtId="166" fontId="42" fillId="0" borderId="37" xfId="0" applyNumberFormat="1" applyFont="1" applyBorder="1" applyAlignment="1">
      <alignment vertical="center" wrapText="1"/>
    </xf>
    <xf numFmtId="0" fontId="26" fillId="0" borderId="0" xfId="0" applyFont="1" applyBorder="1" applyAlignment="1">
      <alignment horizontal="center" vertical="center"/>
    </xf>
    <xf numFmtId="0" fontId="40" fillId="0" borderId="0" xfId="0" applyFont="1" applyBorder="1" applyAlignment="1">
      <alignment horizontal="center" vertical="center"/>
    </xf>
    <xf numFmtId="0" fontId="25" fillId="0" borderId="2" xfId="0" applyFont="1" applyBorder="1" applyAlignment="1">
      <alignment horizontal="center"/>
    </xf>
    <xf numFmtId="0" fontId="43" fillId="0" borderId="3" xfId="0" applyFont="1" applyBorder="1" applyAlignment="1">
      <alignment vertical="center"/>
    </xf>
    <xf numFmtId="0" fontId="43" fillId="2" borderId="38" xfId="0" applyFont="1" applyFill="1" applyBorder="1" applyAlignment="1">
      <alignment horizontal="right" vertical="center"/>
    </xf>
    <xf numFmtId="170" fontId="35" fillId="0" borderId="20" xfId="0" applyNumberFormat="1" applyFont="1" applyBorder="1" applyAlignment="1">
      <alignment horizontal="right" vertical="center"/>
    </xf>
    <xf numFmtId="0" fontId="44" fillId="0" borderId="0" xfId="0" applyFont="1" applyBorder="1" applyAlignment="1">
      <alignment horizontal="center" vertical="center"/>
    </xf>
    <xf numFmtId="0" fontId="43" fillId="0" borderId="0" xfId="0" applyFont="1" applyBorder="1" applyAlignment="1">
      <alignment horizontal="right" vertical="center"/>
    </xf>
    <xf numFmtId="0" fontId="25" fillId="0" borderId="5" xfId="0" applyFont="1" applyBorder="1" applyAlignment="1">
      <alignment horizontal="center"/>
    </xf>
    <xf numFmtId="174" fontId="43" fillId="2" borderId="38" xfId="0" applyNumberFormat="1" applyFont="1" applyFill="1" applyBorder="1" applyAlignment="1">
      <alignment horizontal="right" vertical="center"/>
    </xf>
    <xf numFmtId="0" fontId="43" fillId="0" borderId="5" xfId="0" applyFont="1" applyBorder="1" applyAlignment="1">
      <alignment vertical="center"/>
    </xf>
    <xf numFmtId="0" fontId="42" fillId="0" borderId="0" xfId="0" applyFont="1" applyBorder="1" applyAlignment="1">
      <alignment horizontal="center"/>
    </xf>
    <xf numFmtId="0" fontId="26" fillId="0" borderId="0" xfId="0" applyFont="1" applyAlignment="1">
      <alignment horizontal="right"/>
    </xf>
    <xf numFmtId="0" fontId="25" fillId="0" borderId="0" xfId="0" applyFont="1" applyAlignment="1">
      <alignment horizontal="left"/>
    </xf>
    <xf numFmtId="0" fontId="45" fillId="0" borderId="0" xfId="0" applyFont="1" applyBorder="1" applyAlignment="1">
      <alignment horizontal="left" vertical="center" wrapText="1"/>
    </xf>
    <xf numFmtId="0" fontId="45" fillId="0" borderId="0" xfId="0" applyFont="1" applyBorder="1" applyAlignment="1">
      <alignment vertical="center" wrapText="1"/>
    </xf>
    <xf numFmtId="49" fontId="25" fillId="0" borderId="0" xfId="0" applyNumberFormat="1" applyFont="1" applyAlignment="1">
      <alignment horizontal="left"/>
    </xf>
    <xf numFmtId="0" fontId="47" fillId="0" borderId="0" xfId="0" applyFont="1" applyBorder="1" applyAlignment="1">
      <alignment horizontal="left"/>
    </xf>
    <xf numFmtId="166" fontId="42" fillId="0" borderId="33" xfId="0" applyNumberFormat="1" applyFont="1" applyBorder="1" applyAlignment="1">
      <alignment horizontal="center" vertical="center"/>
    </xf>
    <xf numFmtId="166" fontId="35" fillId="0" borderId="20" xfId="0" applyNumberFormat="1" applyFont="1" applyBorder="1" applyAlignment="1">
      <alignment horizontal="right" vertical="center"/>
    </xf>
    <xf numFmtId="175" fontId="25" fillId="0" borderId="0" xfId="0" applyNumberFormat="1" applyFont="1"/>
    <xf numFmtId="168" fontId="42" fillId="0" borderId="33" xfId="0" applyNumberFormat="1" applyFont="1" applyBorder="1" applyAlignment="1">
      <alignment horizontal="center" vertical="center"/>
    </xf>
    <xf numFmtId="168" fontId="42" fillId="0" borderId="34" xfId="0" applyNumberFormat="1" applyFont="1" applyBorder="1" applyAlignment="1">
      <alignment vertical="center" wrapText="1"/>
    </xf>
    <xf numFmtId="168" fontId="42" fillId="0" borderId="33" xfId="0" applyNumberFormat="1" applyFont="1" applyBorder="1" applyAlignment="1">
      <alignment vertical="center"/>
    </xf>
    <xf numFmtId="168" fontId="42" fillId="0" borderId="36" xfId="0" applyNumberFormat="1" applyFont="1" applyBorder="1" applyAlignment="1">
      <alignment vertical="center"/>
    </xf>
    <xf numFmtId="168" fontId="42" fillId="0" borderId="37" xfId="0" applyNumberFormat="1" applyFont="1" applyBorder="1" applyAlignment="1">
      <alignment vertical="center" wrapText="1"/>
    </xf>
    <xf numFmtId="168" fontId="35" fillId="0" borderId="20" xfId="0" applyNumberFormat="1" applyFont="1" applyBorder="1" applyAlignment="1">
      <alignment horizontal="right" vertical="center"/>
    </xf>
    <xf numFmtId="174" fontId="43" fillId="2" borderId="38" xfId="0" applyNumberFormat="1" applyFont="1" applyFill="1" applyBorder="1" applyAlignment="1">
      <alignment horizontal="center" vertical="center"/>
    </xf>
    <xf numFmtId="168" fontId="35" fillId="0" borderId="20" xfId="0" applyNumberFormat="1" applyFont="1" applyBorder="1" applyAlignment="1">
      <alignment horizontal="center" vertical="center"/>
    </xf>
    <xf numFmtId="0" fontId="43" fillId="2" borderId="38" xfId="0" applyFont="1" applyFill="1" applyBorder="1" applyAlignment="1">
      <alignment horizontal="center" vertical="center"/>
    </xf>
    <xf numFmtId="0" fontId="48" fillId="0" borderId="0" xfId="0" applyFont="1"/>
    <xf numFmtId="167" fontId="42" fillId="0" borderId="33" xfId="0" applyNumberFormat="1" applyFont="1" applyBorder="1" applyAlignment="1">
      <alignment horizontal="center" vertical="center"/>
    </xf>
    <xf numFmtId="167" fontId="42" fillId="0" borderId="34" xfId="0" applyNumberFormat="1" applyFont="1" applyBorder="1" applyAlignment="1">
      <alignment vertical="center" wrapText="1"/>
    </xf>
    <xf numFmtId="167" fontId="42" fillId="0" borderId="33" xfId="0" applyNumberFormat="1" applyFont="1" applyBorder="1" applyAlignment="1">
      <alignment vertical="center"/>
    </xf>
    <xf numFmtId="167" fontId="42" fillId="0" borderId="36" xfId="0" applyNumberFormat="1" applyFont="1" applyBorder="1" applyAlignment="1">
      <alignment vertical="center"/>
    </xf>
    <xf numFmtId="167" fontId="42" fillId="0" borderId="37" xfId="0" applyNumberFormat="1" applyFont="1" applyBorder="1" applyAlignment="1">
      <alignment vertical="center" wrapText="1"/>
    </xf>
    <xf numFmtId="167" fontId="35" fillId="0" borderId="20" xfId="0" applyNumberFormat="1" applyFont="1" applyBorder="1" applyAlignment="1">
      <alignment horizontal="right" vertical="center"/>
    </xf>
    <xf numFmtId="0" fontId="36" fillId="0" borderId="6" xfId="0" applyFont="1" applyBorder="1" applyAlignment="1">
      <alignment horizontal="right" vertical="center"/>
    </xf>
    <xf numFmtId="0" fontId="26" fillId="2" borderId="25" xfId="0" applyFont="1" applyFill="1" applyBorder="1" applyAlignment="1">
      <alignment horizontal="center"/>
    </xf>
    <xf numFmtId="0" fontId="26" fillId="0" borderId="39" xfId="0" applyFont="1" applyBorder="1" applyAlignment="1">
      <alignment horizontal="center" vertical="center"/>
    </xf>
    <xf numFmtId="0" fontId="49" fillId="3" borderId="0" xfId="0" applyFont="1" applyFill="1"/>
    <xf numFmtId="176" fontId="49" fillId="3" borderId="0" xfId="0" applyNumberFormat="1" applyFont="1" applyFill="1"/>
    <xf numFmtId="0" fontId="26" fillId="0" borderId="40" xfId="0" applyFont="1" applyBorder="1" applyAlignment="1">
      <alignment horizontal="center" vertical="center"/>
    </xf>
    <xf numFmtId="177" fontId="42" fillId="0" borderId="33" xfId="0" applyNumberFormat="1" applyFont="1" applyBorder="1" applyAlignment="1">
      <alignment horizontal="center" vertical="center"/>
    </xf>
    <xf numFmtId="177" fontId="42" fillId="0" borderId="34" xfId="0" applyNumberFormat="1" applyFont="1" applyBorder="1" applyAlignment="1">
      <alignment horizontal="center" vertical="center" wrapText="1"/>
    </xf>
    <xf numFmtId="0" fontId="26" fillId="0" borderId="41" xfId="0" applyFont="1" applyBorder="1" applyAlignment="1">
      <alignment horizontal="center" vertical="center"/>
    </xf>
    <xf numFmtId="177" fontId="42" fillId="0" borderId="36" xfId="0" applyNumberFormat="1" applyFont="1" applyBorder="1" applyAlignment="1">
      <alignment horizontal="center" vertical="center"/>
    </xf>
    <xf numFmtId="177" fontId="42" fillId="0" borderId="37" xfId="0" applyNumberFormat="1" applyFont="1" applyBorder="1" applyAlignment="1">
      <alignment horizontal="center" vertical="center" wrapText="1"/>
    </xf>
    <xf numFmtId="0" fontId="43" fillId="2" borderId="20" xfId="0" applyFont="1" applyFill="1" applyBorder="1" applyAlignment="1">
      <alignment horizontal="right" vertical="center"/>
    </xf>
    <xf numFmtId="177" fontId="35" fillId="0" borderId="20" xfId="0" applyNumberFormat="1" applyFont="1" applyBorder="1" applyAlignment="1">
      <alignment horizontal="center" vertical="center"/>
    </xf>
    <xf numFmtId="0" fontId="43" fillId="0" borderId="2" xfId="0" applyFont="1" applyBorder="1" applyAlignment="1">
      <alignment horizontal="right" vertical="center"/>
    </xf>
    <xf numFmtId="174" fontId="43" fillId="0" borderId="2" xfId="0" applyNumberFormat="1" applyFont="1" applyBorder="1" applyAlignment="1">
      <alignment horizontal="right" vertical="center"/>
    </xf>
    <xf numFmtId="166" fontId="35" fillId="0" borderId="2" xfId="0" applyNumberFormat="1" applyFont="1" applyBorder="1" applyAlignment="1">
      <alignment horizontal="center" vertical="center"/>
    </xf>
    <xf numFmtId="166" fontId="35" fillId="0" borderId="0" xfId="0" applyNumberFormat="1" applyFont="1" applyBorder="1" applyAlignment="1">
      <alignment horizontal="center" vertical="center"/>
    </xf>
    <xf numFmtId="0" fontId="50" fillId="0" borderId="0" xfId="0" applyFont="1"/>
    <xf numFmtId="178" fontId="42" fillId="0" borderId="33" xfId="0" applyNumberFormat="1" applyFont="1" applyBorder="1" applyAlignment="1">
      <alignment horizontal="center" vertical="center"/>
    </xf>
    <xf numFmtId="178" fontId="42" fillId="0" borderId="34" xfId="0" applyNumberFormat="1" applyFont="1" applyBorder="1" applyAlignment="1">
      <alignment horizontal="center" vertical="center" wrapText="1"/>
    </xf>
    <xf numFmtId="178" fontId="42" fillId="0" borderId="36" xfId="0" applyNumberFormat="1" applyFont="1" applyBorder="1" applyAlignment="1">
      <alignment horizontal="center" vertical="center"/>
    </xf>
    <xf numFmtId="178" fontId="42" fillId="0" borderId="37" xfId="0" applyNumberFormat="1" applyFont="1" applyBorder="1" applyAlignment="1">
      <alignment horizontal="center" vertical="center" wrapText="1"/>
    </xf>
    <xf numFmtId="178" fontId="43" fillId="2" borderId="20" xfId="0" applyNumberFormat="1" applyFont="1" applyFill="1" applyBorder="1" applyAlignment="1">
      <alignment horizontal="right" vertical="center"/>
    </xf>
    <xf numFmtId="178" fontId="35" fillId="0" borderId="20" xfId="0" applyNumberFormat="1" applyFont="1" applyBorder="1" applyAlignment="1">
      <alignment horizontal="center" vertical="center"/>
    </xf>
    <xf numFmtId="0" fontId="0" fillId="0" borderId="0" xfId="0" applyAlignment="1">
      <alignment horizontal="left"/>
    </xf>
    <xf numFmtId="0" fontId="51" fillId="0" borderId="0" xfId="0" applyFont="1" applyAlignment="1">
      <alignment vertical="center"/>
    </xf>
    <xf numFmtId="0" fontId="23" fillId="0" borderId="0" xfId="0" applyFont="1"/>
    <xf numFmtId="0" fontId="13" fillId="0" borderId="0" xfId="0" applyFont="1" applyAlignment="1">
      <alignment horizontal="left"/>
    </xf>
    <xf numFmtId="0" fontId="23" fillId="0" borderId="0" xfId="0" applyFont="1" applyAlignment="1">
      <alignment horizontal="center"/>
    </xf>
    <xf numFmtId="0" fontId="23" fillId="0" borderId="0" xfId="0" applyFont="1" applyAlignment="1"/>
    <xf numFmtId="0" fontId="54" fillId="0" borderId="0" xfId="0" applyFont="1" applyAlignment="1"/>
    <xf numFmtId="0" fontId="13" fillId="0" borderId="0" xfId="0" applyFont="1"/>
    <xf numFmtId="0" fontId="1" fillId="0" borderId="0" xfId="0" applyFont="1" applyAlignment="1">
      <alignment vertical="center"/>
    </xf>
    <xf numFmtId="179" fontId="57" fillId="0" borderId="0" xfId="0" applyNumberFormat="1" applyFont="1" applyAlignment="1"/>
    <xf numFmtId="0" fontId="56" fillId="0" borderId="0" xfId="0" applyFont="1" applyAlignment="1">
      <alignment horizontal="right"/>
    </xf>
    <xf numFmtId="0" fontId="1" fillId="0" borderId="0" xfId="0" applyFont="1"/>
    <xf numFmtId="179" fontId="5" fillId="0" borderId="0" xfId="1" applyNumberFormat="1" applyFont="1" applyBorder="1" applyAlignment="1" applyProtection="1">
      <alignment horizontal="left"/>
    </xf>
    <xf numFmtId="179" fontId="57" fillId="0" borderId="0" xfId="0" applyNumberFormat="1" applyFont="1" applyAlignment="1">
      <alignment horizontal="left"/>
    </xf>
    <xf numFmtId="0" fontId="57" fillId="0" borderId="0" xfId="0" applyFont="1" applyAlignment="1">
      <alignment horizontal="left"/>
    </xf>
    <xf numFmtId="0" fontId="1" fillId="0" borderId="0" xfId="0" applyFont="1" applyAlignment="1">
      <alignment horizontal="left" vertical="center"/>
    </xf>
    <xf numFmtId="0" fontId="58" fillId="0" borderId="0" xfId="0" applyFont="1" applyAlignment="1">
      <alignment vertical="center" wrapText="1"/>
    </xf>
    <xf numFmtId="0" fontId="0" fillId="0" borderId="0" xfId="0" applyBorder="1" applyAlignment="1">
      <alignment horizontal="center" vertical="center" wrapText="1"/>
    </xf>
    <xf numFmtId="0" fontId="0" fillId="0" borderId="0" xfId="0" applyBorder="1" applyAlignment="1">
      <alignment horizontal="left"/>
    </xf>
    <xf numFmtId="0" fontId="0" fillId="0" borderId="0" xfId="0" applyBorder="1" applyAlignment="1">
      <alignment vertical="center" wrapText="1"/>
    </xf>
    <xf numFmtId="0" fontId="0" fillId="0" borderId="0" xfId="0" applyAlignment="1">
      <alignment horizontal="center" vertical="center" wrapText="1"/>
    </xf>
    <xf numFmtId="49" fontId="60" fillId="0" borderId="0" xfId="0" applyNumberFormat="1" applyFont="1" applyAlignment="1">
      <alignment horizontal="right"/>
    </xf>
    <xf numFmtId="0" fontId="0" fillId="0" borderId="0" xfId="0" applyAlignment="1">
      <alignment horizontal="center"/>
    </xf>
    <xf numFmtId="49" fontId="0" fillId="0" borderId="0" xfId="0" applyNumberFormat="1" applyAlignment="1">
      <alignment horizontal="center"/>
    </xf>
    <xf numFmtId="0" fontId="1" fillId="0" borderId="0" xfId="0" applyFont="1" applyAlignment="1">
      <alignment horizontal="center" vertical="top"/>
    </xf>
    <xf numFmtId="0" fontId="0" fillId="0" borderId="0" xfId="0" applyFont="1" applyAlignment="1">
      <alignment horizontal="left" wrapText="1"/>
    </xf>
    <xf numFmtId="0" fontId="0" fillId="0" borderId="0" xfId="0" applyFont="1" applyAlignment="1">
      <alignment vertical="top" wrapText="1"/>
    </xf>
    <xf numFmtId="14" fontId="0" fillId="0" borderId="0" xfId="0" applyNumberFormat="1" applyAlignment="1"/>
    <xf numFmtId="0" fontId="17" fillId="0" borderId="0" xfId="0" applyFont="1" applyAlignment="1"/>
    <xf numFmtId="0" fontId="59" fillId="0" borderId="0" xfId="0" applyFont="1" applyAlignment="1"/>
    <xf numFmtId="0" fontId="0" fillId="0" borderId="0" xfId="0" applyAlignment="1"/>
    <xf numFmtId="0" fontId="1" fillId="0" borderId="0" xfId="0" applyFont="1" applyAlignment="1">
      <alignment vertical="top"/>
    </xf>
    <xf numFmtId="49" fontId="23" fillId="0" borderId="0" xfId="0" applyNumberFormat="1" applyFont="1" applyAlignment="1"/>
    <xf numFmtId="182" fontId="23" fillId="0" borderId="0" xfId="0" applyNumberFormat="1" applyFont="1" applyAlignment="1"/>
    <xf numFmtId="182" fontId="1" fillId="0" borderId="0" xfId="0" applyNumberFormat="1" applyFont="1" applyAlignment="1"/>
    <xf numFmtId="0" fontId="1" fillId="2" borderId="0" xfId="0" applyFont="1" applyFill="1" applyAlignment="1">
      <alignment vertical="top"/>
    </xf>
    <xf numFmtId="49" fontId="23" fillId="2" borderId="0" xfId="0" applyNumberFormat="1" applyFont="1" applyFill="1" applyAlignment="1"/>
    <xf numFmtId="166" fontId="0" fillId="0" borderId="0" xfId="0" applyNumberFormat="1" applyFont="1" applyAlignment="1">
      <alignment vertical="top" wrapText="1"/>
    </xf>
    <xf numFmtId="183" fontId="1" fillId="0" borderId="0" xfId="0" applyNumberFormat="1" applyFont="1" applyAlignment="1"/>
    <xf numFmtId="0" fontId="1" fillId="0" borderId="0" xfId="0" applyFont="1" applyAlignment="1">
      <alignment horizontal="right" vertical="top"/>
    </xf>
    <xf numFmtId="0" fontId="0" fillId="0" borderId="0" xfId="0" applyAlignment="1">
      <alignment horizontal="right"/>
    </xf>
    <xf numFmtId="0" fontId="0" fillId="0" borderId="0" xfId="0" applyAlignment="1">
      <alignment horizontal="left" vertical="top" wrapText="1"/>
    </xf>
    <xf numFmtId="0" fontId="1" fillId="0" borderId="0" xfId="0" applyFont="1" applyAlignment="1">
      <alignment horizontal="right" vertical="top" wrapText="1"/>
    </xf>
    <xf numFmtId="0" fontId="53" fillId="0" borderId="0" xfId="0" applyFont="1" applyAlignment="1">
      <alignment horizontal="left" vertical="top" wrapText="1"/>
    </xf>
    <xf numFmtId="0" fontId="0" fillId="0" borderId="42" xfId="0" applyBorder="1" applyAlignment="1"/>
    <xf numFmtId="0" fontId="61" fillId="2" borderId="25" xfId="0" applyFont="1" applyFill="1" applyBorder="1" applyAlignment="1">
      <alignment horizontal="center" vertical="center"/>
    </xf>
    <xf numFmtId="0" fontId="61" fillId="0" borderId="25" xfId="0" applyFont="1" applyBorder="1" applyAlignment="1">
      <alignment horizontal="center" vertical="center" wrapText="1"/>
    </xf>
    <xf numFmtId="0" fontId="5" fillId="0" borderId="25" xfId="1" applyFont="1" applyBorder="1" applyAlignment="1" applyProtection="1">
      <alignment horizontal="center" vertical="center"/>
    </xf>
    <xf numFmtId="0" fontId="0" fillId="0" borderId="25" xfId="0" applyFont="1" applyBorder="1" applyAlignment="1">
      <alignment horizontal="center" vertical="center"/>
    </xf>
    <xf numFmtId="0" fontId="0" fillId="0" borderId="0" xfId="0" applyFont="1" applyBorder="1" applyAlignment="1">
      <alignment horizontal="left" vertical="top" wrapText="1"/>
    </xf>
    <xf numFmtId="0" fontId="3" fillId="2" borderId="4" xfId="0" applyFont="1" applyFill="1" applyBorder="1" applyAlignment="1">
      <alignment horizontal="center" vertical="center"/>
    </xf>
    <xf numFmtId="2" fontId="2" fillId="0" borderId="11" xfId="0" applyNumberFormat="1" applyFont="1" applyBorder="1" applyAlignment="1">
      <alignment horizontal="center" vertical="center"/>
    </xf>
    <xf numFmtId="0" fontId="3" fillId="2" borderId="20" xfId="0" applyFont="1" applyFill="1" applyBorder="1" applyAlignment="1">
      <alignment horizontal="center" vertical="center"/>
    </xf>
    <xf numFmtId="169" fontId="12" fillId="0" borderId="0" xfId="0" applyNumberFormat="1" applyFont="1" applyBorder="1" applyAlignment="1">
      <alignment horizontal="left" vertical="center"/>
    </xf>
    <xf numFmtId="0" fontId="0" fillId="0" borderId="0" xfId="0" applyFont="1" applyBorder="1" applyAlignment="1">
      <alignment horizontal="center" vertical="top" wrapText="1" shrinkToFit="1"/>
    </xf>
    <xf numFmtId="0" fontId="19" fillId="0" borderId="0" xfId="0" applyFont="1" applyBorder="1" applyAlignment="1">
      <alignment horizontal="center" vertical="center"/>
    </xf>
    <xf numFmtId="172" fontId="24" fillId="0" borderId="0" xfId="0" applyNumberFormat="1" applyFont="1" applyBorder="1" applyAlignment="1">
      <alignment horizontal="center" vertical="center"/>
    </xf>
    <xf numFmtId="172" fontId="11" fillId="0" borderId="0" xfId="0" applyNumberFormat="1" applyFont="1" applyBorder="1" applyAlignment="1">
      <alignment horizontal="center" vertical="center"/>
    </xf>
    <xf numFmtId="166" fontId="26" fillId="0" borderId="0" xfId="0" applyNumberFormat="1" applyFont="1" applyBorder="1" applyAlignment="1">
      <alignment horizontal="center" vertical="center"/>
    </xf>
    <xf numFmtId="169" fontId="11" fillId="0" borderId="0" xfId="0" applyNumberFormat="1" applyFont="1" applyBorder="1" applyAlignment="1">
      <alignment horizontal="right" vertical="center"/>
    </xf>
    <xf numFmtId="169" fontId="22" fillId="0" borderId="0" xfId="0" applyNumberFormat="1" applyFont="1" applyBorder="1" applyAlignment="1">
      <alignment horizontal="right" vertical="center"/>
    </xf>
    <xf numFmtId="0" fontId="20" fillId="0" borderId="0" xfId="0" applyFont="1" applyBorder="1" applyAlignment="1">
      <alignment horizontal="center" vertical="center"/>
    </xf>
    <xf numFmtId="169" fontId="11" fillId="0" borderId="0" xfId="0" applyNumberFormat="1" applyFont="1" applyBorder="1" applyAlignment="1">
      <alignment horizontal="center" vertical="center"/>
    </xf>
    <xf numFmtId="172" fontId="12" fillId="0" borderId="0" xfId="0" applyNumberFormat="1" applyFont="1" applyBorder="1" applyAlignment="1">
      <alignment horizontal="center" vertical="center"/>
    </xf>
    <xf numFmtId="1" fontId="11" fillId="0" borderId="0" xfId="0" applyNumberFormat="1" applyFont="1" applyBorder="1" applyAlignment="1">
      <alignment horizontal="center" vertical="center"/>
    </xf>
    <xf numFmtId="169" fontId="8" fillId="0" borderId="21" xfId="0" applyNumberFormat="1" applyFont="1" applyBorder="1" applyAlignment="1">
      <alignment horizontal="right" vertical="center"/>
    </xf>
    <xf numFmtId="0" fontId="7" fillId="0" borderId="0" xfId="0" applyFont="1" applyBorder="1" applyAlignment="1">
      <alignment horizontal="right" vertical="center"/>
    </xf>
    <xf numFmtId="0" fontId="0" fillId="0" borderId="0" xfId="0" applyBorder="1" applyAlignment="1">
      <alignment horizontal="left" vertical="center"/>
    </xf>
    <xf numFmtId="172" fontId="12" fillId="0" borderId="0" xfId="0" applyNumberFormat="1" applyFont="1" applyBorder="1" applyAlignment="1">
      <alignment horizontal="left" vertical="center"/>
    </xf>
    <xf numFmtId="0" fontId="11" fillId="0" borderId="0" xfId="0" applyFont="1" applyBorder="1" applyAlignment="1">
      <alignment horizontal="left" vertical="center"/>
    </xf>
    <xf numFmtId="172" fontId="11" fillId="0" borderId="0" xfId="0" applyNumberFormat="1" applyFont="1" applyBorder="1" applyAlignment="1">
      <alignment horizontal="left" vertical="center"/>
    </xf>
    <xf numFmtId="169" fontId="9" fillId="0" borderId="7" xfId="0" applyNumberFormat="1" applyFont="1" applyBorder="1" applyAlignment="1">
      <alignment horizontal="right" vertical="center"/>
    </xf>
    <xf numFmtId="169" fontId="9" fillId="0" borderId="21" xfId="0" applyNumberFormat="1" applyFont="1" applyBorder="1" applyAlignment="1">
      <alignment horizontal="right" vertical="center"/>
    </xf>
    <xf numFmtId="0" fontId="0" fillId="0" borderId="0" xfId="0" applyBorder="1" applyAlignment="1">
      <alignment horizontal="center" vertical="top" wrapText="1" shrinkToFit="1"/>
    </xf>
    <xf numFmtId="169" fontId="0" fillId="0" borderId="0" xfId="0" applyNumberFormat="1" applyBorder="1" applyAlignment="1">
      <alignment horizontal="center" vertical="top" wrapText="1" shrinkToFit="1"/>
    </xf>
    <xf numFmtId="172" fontId="24" fillId="0" borderId="0" xfId="0" applyNumberFormat="1" applyFont="1" applyBorder="1" applyAlignment="1">
      <alignment horizontal="center" vertical="center" shrinkToFit="1"/>
    </xf>
    <xf numFmtId="168" fontId="11" fillId="0" borderId="0" xfId="0" applyNumberFormat="1" applyFont="1" applyBorder="1" applyAlignment="1">
      <alignment horizontal="right" vertical="center"/>
    </xf>
    <xf numFmtId="168" fontId="22" fillId="0" borderId="0" xfId="0" applyNumberFormat="1" applyFont="1" applyBorder="1" applyAlignment="1">
      <alignment horizontal="right" vertical="center"/>
    </xf>
    <xf numFmtId="168" fontId="11" fillId="0" borderId="0" xfId="0" applyNumberFormat="1" applyFont="1" applyBorder="1" applyAlignment="1">
      <alignment horizontal="center" vertical="center"/>
    </xf>
    <xf numFmtId="168" fontId="8" fillId="0" borderId="21" xfId="0" applyNumberFormat="1" applyFont="1" applyBorder="1" applyAlignment="1">
      <alignment horizontal="right" vertical="center"/>
    </xf>
    <xf numFmtId="168" fontId="9" fillId="0" borderId="7" xfId="0" applyNumberFormat="1" applyFont="1" applyBorder="1" applyAlignment="1">
      <alignment horizontal="right" vertical="center"/>
    </xf>
    <xf numFmtId="168" fontId="9" fillId="0" borderId="21" xfId="0" applyNumberFormat="1" applyFont="1" applyBorder="1" applyAlignment="1">
      <alignment horizontal="right" vertical="center"/>
    </xf>
    <xf numFmtId="172" fontId="29" fillId="0" borderId="0" xfId="0" applyNumberFormat="1" applyFont="1" applyBorder="1" applyAlignment="1">
      <alignment horizontal="center" vertical="center"/>
    </xf>
    <xf numFmtId="0" fontId="10" fillId="0" borderId="0" xfId="0" applyFont="1" applyBorder="1" applyAlignment="1">
      <alignment horizontal="left" vertical="center" wrapText="1"/>
    </xf>
    <xf numFmtId="0" fontId="26" fillId="0" borderId="0" xfId="0" applyFont="1" applyBorder="1" applyAlignment="1">
      <alignment horizontal="center"/>
    </xf>
    <xf numFmtId="0" fontId="46" fillId="0" borderId="0" xfId="0" applyFont="1" applyBorder="1" applyAlignment="1">
      <alignment horizontal="center" wrapText="1"/>
    </xf>
    <xf numFmtId="0" fontId="42" fillId="0" borderId="32" xfId="0" applyFont="1" applyBorder="1" applyAlignment="1">
      <alignment horizontal="center" vertical="center" wrapText="1"/>
    </xf>
    <xf numFmtId="0" fontId="42" fillId="0" borderId="35" xfId="0" applyFont="1" applyBorder="1" applyAlignment="1">
      <alignment horizontal="center" vertical="center" wrapText="1"/>
    </xf>
    <xf numFmtId="0" fontId="39" fillId="2" borderId="20" xfId="0" applyFont="1" applyFill="1" applyBorder="1" applyAlignment="1">
      <alignment horizontal="center" vertical="center"/>
    </xf>
    <xf numFmtId="0" fontId="35" fillId="2" borderId="25" xfId="0" applyFont="1" applyFill="1" applyBorder="1" applyAlignment="1">
      <alignment horizontal="center"/>
    </xf>
    <xf numFmtId="0" fontId="26" fillId="0" borderId="28" xfId="0" applyFont="1" applyBorder="1" applyAlignment="1">
      <alignment horizontal="center" vertical="center"/>
    </xf>
    <xf numFmtId="0" fontId="40" fillId="0" borderId="29" xfId="0" applyFont="1" applyBorder="1" applyAlignment="1">
      <alignment horizontal="center" vertical="center" wrapText="1"/>
    </xf>
    <xf numFmtId="0" fontId="36" fillId="0" borderId="4" xfId="0" applyFont="1" applyBorder="1" applyAlignment="1">
      <alignment horizontal="center" vertical="top"/>
    </xf>
    <xf numFmtId="0" fontId="33" fillId="0" borderId="5" xfId="0" applyFont="1" applyBorder="1" applyAlignment="1">
      <alignment horizontal="center" vertical="center" wrapText="1"/>
    </xf>
    <xf numFmtId="0" fontId="37" fillId="2" borderId="22" xfId="0" applyFont="1" applyFill="1" applyBorder="1" applyAlignment="1">
      <alignment horizontal="center"/>
    </xf>
    <xf numFmtId="49" fontId="33" fillId="0" borderId="8" xfId="0" applyNumberFormat="1" applyFont="1" applyBorder="1" applyAlignment="1">
      <alignment horizontal="left" vertical="center" wrapText="1"/>
    </xf>
    <xf numFmtId="1" fontId="26" fillId="0" borderId="23" xfId="0" applyNumberFormat="1" applyFont="1" applyBorder="1" applyAlignment="1">
      <alignment horizontal="center"/>
    </xf>
    <xf numFmtId="0" fontId="30" fillId="0" borderId="0" xfId="0" applyFont="1" applyBorder="1" applyAlignment="1">
      <alignment horizontal="right"/>
    </xf>
    <xf numFmtId="0" fontId="31" fillId="0" borderId="1" xfId="0" applyFont="1" applyBorder="1" applyAlignment="1">
      <alignment horizontal="center" vertical="top" wrapText="1"/>
    </xf>
    <xf numFmtId="0" fontId="33" fillId="0" borderId="3" xfId="0" applyFont="1" applyBorder="1" applyAlignment="1">
      <alignment horizontal="center" vertical="center" wrapText="1"/>
    </xf>
    <xf numFmtId="0" fontId="34" fillId="2" borderId="22" xfId="0" applyFont="1" applyFill="1" applyBorder="1" applyAlignment="1">
      <alignment horizontal="center" vertical="center"/>
    </xf>
    <xf numFmtId="14" fontId="35" fillId="0" borderId="23" xfId="0" applyNumberFormat="1" applyFont="1" applyBorder="1" applyAlignment="1">
      <alignment horizontal="center" vertical="center"/>
    </xf>
    <xf numFmtId="0" fontId="25" fillId="0" borderId="0" xfId="0" applyFont="1" applyBorder="1" applyAlignment="1">
      <alignment horizontal="center"/>
    </xf>
    <xf numFmtId="0" fontId="30" fillId="0" borderId="0" xfId="0" applyFont="1" applyBorder="1" applyAlignment="1">
      <alignment horizontal="center"/>
    </xf>
    <xf numFmtId="0" fontId="46" fillId="0" borderId="0" xfId="0" applyFont="1" applyBorder="1" applyAlignment="1">
      <alignment horizontal="center" vertical="center" wrapText="1"/>
    </xf>
    <xf numFmtId="0" fontId="26" fillId="0" borderId="0" xfId="0" applyFont="1" applyBorder="1" applyAlignment="1">
      <alignment horizontal="right"/>
    </xf>
    <xf numFmtId="0" fontId="3" fillId="0" borderId="0" xfId="0" applyFont="1" applyBorder="1" applyAlignment="1">
      <alignment horizontal="center" wrapText="1"/>
    </xf>
    <xf numFmtId="0" fontId="43" fillId="2" borderId="20" xfId="0" applyFont="1" applyFill="1" applyBorder="1" applyAlignment="1">
      <alignment horizontal="right" vertical="center"/>
    </xf>
    <xf numFmtId="0" fontId="43" fillId="0" borderId="0" xfId="0" applyFont="1" applyBorder="1" applyAlignment="1">
      <alignment horizontal="right" vertical="center"/>
    </xf>
    <xf numFmtId="0" fontId="42" fillId="0" borderId="32" xfId="0" applyFont="1" applyBorder="1" applyAlignment="1">
      <alignment horizontal="center" vertical="top" wrapText="1"/>
    </xf>
    <xf numFmtId="0" fontId="45" fillId="0" borderId="4" xfId="0" applyFont="1" applyBorder="1" applyAlignment="1">
      <alignment horizontal="right" vertical="top"/>
    </xf>
    <xf numFmtId="0" fontId="31" fillId="0" borderId="1" xfId="0" applyFont="1" applyBorder="1" applyAlignment="1">
      <alignment horizontal="right" vertical="top" wrapText="1"/>
    </xf>
    <xf numFmtId="0" fontId="59" fillId="0" borderId="0" xfId="0" applyFont="1" applyBorder="1" applyAlignment="1">
      <alignment horizontal="center"/>
    </xf>
    <xf numFmtId="0" fontId="59" fillId="0" borderId="45" xfId="0" applyFont="1" applyBorder="1" applyAlignment="1">
      <alignment horizontal="center"/>
    </xf>
    <xf numFmtId="0" fontId="17" fillId="0" borderId="0" xfId="0" applyFont="1" applyBorder="1" applyAlignment="1">
      <alignment horizontal="center"/>
    </xf>
    <xf numFmtId="0" fontId="0" fillId="0" borderId="0" xfId="0" applyBorder="1" applyAlignment="1">
      <alignment horizontal="center"/>
    </xf>
    <xf numFmtId="0" fontId="1" fillId="0" borderId="33" xfId="0" applyFont="1" applyBorder="1" applyAlignment="1">
      <alignment horizontal="right" vertical="top"/>
    </xf>
    <xf numFmtId="0" fontId="0" fillId="0" borderId="42" xfId="0" applyBorder="1" applyAlignment="1">
      <alignment horizontal="left" vertical="top" wrapText="1"/>
    </xf>
    <xf numFmtId="0" fontId="0" fillId="0" borderId="42" xfId="0" applyBorder="1" applyAlignment="1">
      <alignment horizontal="left"/>
    </xf>
    <xf numFmtId="0" fontId="1" fillId="0" borderId="33" xfId="0" applyFont="1" applyBorder="1" applyAlignment="1">
      <alignment horizontal="right"/>
    </xf>
    <xf numFmtId="0" fontId="1" fillId="0" borderId="43" xfId="0" applyFont="1" applyBorder="1" applyAlignment="1">
      <alignment horizontal="right" vertical="top"/>
    </xf>
    <xf numFmtId="180" fontId="0" fillId="0" borderId="44" xfId="0" applyNumberFormat="1" applyBorder="1" applyAlignment="1">
      <alignment horizontal="left"/>
    </xf>
    <xf numFmtId="0" fontId="1" fillId="0" borderId="43" xfId="0" applyFont="1" applyBorder="1" applyAlignment="1">
      <alignment horizontal="right"/>
    </xf>
    <xf numFmtId="0" fontId="1" fillId="0" borderId="0" xfId="0" applyFont="1" applyBorder="1" applyAlignment="1">
      <alignment horizontal="right" vertical="top" wrapText="1"/>
    </xf>
    <xf numFmtId="0" fontId="1" fillId="0" borderId="0" xfId="0" applyFont="1" applyBorder="1" applyAlignment="1">
      <alignment horizontal="right" vertical="top"/>
    </xf>
    <xf numFmtId="0" fontId="53" fillId="0" borderId="0" xfId="0" applyFont="1" applyBorder="1" applyAlignment="1">
      <alignment horizontal="left" vertical="top" wrapText="1"/>
    </xf>
    <xf numFmtId="0" fontId="1" fillId="2" borderId="25" xfId="0" applyFont="1" applyFill="1" applyBorder="1" applyAlignment="1">
      <alignment horizontal="center" vertical="center"/>
    </xf>
    <xf numFmtId="0" fontId="0" fillId="0" borderId="32" xfId="0" applyFont="1" applyBorder="1" applyAlignment="1">
      <alignment horizontal="center" vertical="center" wrapText="1"/>
    </xf>
    <xf numFmtId="0" fontId="1" fillId="0" borderId="0" xfId="0" applyFont="1" applyBorder="1" applyAlignment="1">
      <alignment horizontal="left" vertical="top"/>
    </xf>
    <xf numFmtId="0" fontId="1" fillId="0" borderId="0" xfId="0" applyFont="1" applyBorder="1" applyAlignment="1">
      <alignment horizontal="left" vertical="center"/>
    </xf>
    <xf numFmtId="0" fontId="1" fillId="0" borderId="0" xfId="0" applyFont="1" applyBorder="1" applyAlignment="1">
      <alignment horizontal="center" vertical="top"/>
    </xf>
    <xf numFmtId="183" fontId="1" fillId="0" borderId="0" xfId="0" applyNumberFormat="1" applyFont="1" applyBorder="1" applyAlignment="1">
      <alignment horizontal="right"/>
    </xf>
    <xf numFmtId="0" fontId="0" fillId="0" borderId="0" xfId="0" applyBorder="1" applyAlignment="1">
      <alignment horizontal="left" vertical="top" wrapText="1"/>
    </xf>
    <xf numFmtId="181" fontId="1" fillId="0" borderId="0" xfId="0" applyNumberFormat="1" applyFont="1" applyBorder="1" applyAlignment="1">
      <alignment horizontal="right"/>
    </xf>
    <xf numFmtId="0" fontId="1" fillId="2" borderId="0" xfId="0" applyFont="1" applyFill="1" applyBorder="1" applyAlignment="1">
      <alignment horizontal="left" vertical="top"/>
    </xf>
    <xf numFmtId="181" fontId="1" fillId="2" borderId="0" xfId="0" applyNumberFormat="1" applyFont="1" applyFill="1" applyBorder="1" applyAlignment="1">
      <alignment horizontal="right"/>
    </xf>
    <xf numFmtId="166" fontId="0" fillId="0" borderId="0" xfId="0" applyNumberFormat="1" applyFont="1" applyBorder="1" applyAlignment="1">
      <alignment horizontal="left" vertical="top" wrapText="1"/>
    </xf>
    <xf numFmtId="183" fontId="1" fillId="0" borderId="0" xfId="0" applyNumberFormat="1" applyFont="1" applyBorder="1" applyAlignment="1">
      <alignment horizontal="left"/>
    </xf>
    <xf numFmtId="0" fontId="51" fillId="2" borderId="0" xfId="0" applyFont="1" applyFill="1" applyBorder="1" applyAlignment="1">
      <alignment horizontal="center" vertical="center"/>
    </xf>
    <xf numFmtId="0" fontId="1" fillId="0" borderId="0" xfId="0" applyFont="1" applyBorder="1" applyAlignment="1">
      <alignment horizontal="left" vertical="top" wrapText="1"/>
    </xf>
    <xf numFmtId="0" fontId="0" fillId="0" borderId="0" xfId="0" applyBorder="1" applyAlignment="1">
      <alignment horizontal="center" vertical="top" wrapText="1"/>
    </xf>
    <xf numFmtId="0" fontId="17" fillId="0" borderId="0" xfId="0" applyFont="1" applyBorder="1" applyAlignment="1">
      <alignment horizontal="center" shrinkToFit="1"/>
    </xf>
    <xf numFmtId="0" fontId="0" fillId="0" borderId="0" xfId="0" applyBorder="1" applyAlignment="1">
      <alignment horizontal="center" vertical="center" wrapText="1"/>
    </xf>
    <xf numFmtId="0" fontId="0" fillId="0" borderId="0" xfId="0" applyBorder="1" applyAlignment="1"/>
    <xf numFmtId="0" fontId="0" fillId="0" borderId="0" xfId="0" applyFont="1" applyBorder="1" applyAlignment="1">
      <alignment horizontal="left" wrapText="1"/>
    </xf>
    <xf numFmtId="0" fontId="56" fillId="0" borderId="0" xfId="0" applyFont="1" applyBorder="1" applyAlignment="1">
      <alignment horizontal="right"/>
    </xf>
    <xf numFmtId="16" fontId="57" fillId="0" borderId="0" xfId="0" applyNumberFormat="1" applyFont="1" applyBorder="1" applyAlignment="1">
      <alignment horizontal="left" vertical="center"/>
    </xf>
    <xf numFmtId="0" fontId="55" fillId="2" borderId="0" xfId="0" applyFont="1" applyFill="1" applyBorder="1" applyAlignment="1">
      <alignment horizontal="center"/>
    </xf>
    <xf numFmtId="0" fontId="56" fillId="0" borderId="0" xfId="0" applyFont="1" applyBorder="1" applyAlignment="1">
      <alignment horizontal="right" vertical="center"/>
    </xf>
    <xf numFmtId="179" fontId="57" fillId="0" borderId="0" xfId="0" applyNumberFormat="1" applyFont="1" applyBorder="1" applyAlignment="1">
      <alignment horizontal="left" vertical="center"/>
    </xf>
    <xf numFmtId="179" fontId="57" fillId="0" borderId="0" xfId="0" applyNumberFormat="1" applyFont="1" applyBorder="1" applyAlignment="1">
      <alignment horizontal="left"/>
    </xf>
    <xf numFmtId="0" fontId="5" fillId="0" borderId="0" xfId="1" applyBorder="1" applyAlignment="1" applyProtection="1">
      <alignment horizontal="center"/>
    </xf>
    <xf numFmtId="180" fontId="57" fillId="0" borderId="0" xfId="0" applyNumberFormat="1" applyFont="1" applyBorder="1" applyAlignment="1">
      <alignment horizontal="left"/>
    </xf>
    <xf numFmtId="0" fontId="57" fillId="0" borderId="0" xfId="0" applyFont="1" applyBorder="1" applyAlignment="1">
      <alignment horizontal="left"/>
    </xf>
    <xf numFmtId="0" fontId="57" fillId="0" borderId="0" xfId="0" applyFont="1" applyBorder="1" applyAlignment="1">
      <alignment horizontal="left" vertical="center"/>
    </xf>
    <xf numFmtId="0" fontId="0" fillId="0" borderId="0" xfId="0" applyBorder="1" applyAlignment="1">
      <alignment horizontal="left" vertical="center" shrinkToFit="1"/>
    </xf>
    <xf numFmtId="0" fontId="57" fillId="0" borderId="0" xfId="0" applyFont="1" applyBorder="1" applyAlignment="1">
      <alignment horizontal="left" vertical="top" wrapText="1"/>
    </xf>
    <xf numFmtId="0" fontId="52" fillId="0" borderId="0" xfId="0" applyFont="1" applyBorder="1" applyAlignment="1">
      <alignment horizontal="right"/>
    </xf>
    <xf numFmtId="14" fontId="54" fillId="0" borderId="0" xfId="0" applyNumberFormat="1" applyFont="1" applyBorder="1" applyAlignment="1">
      <alignment horizontal="left"/>
    </xf>
    <xf numFmtId="0" fontId="54" fillId="0" borderId="0" xfId="0" applyFont="1" applyBorder="1" applyAlignment="1">
      <alignment horizontal="left"/>
    </xf>
    <xf numFmtId="49" fontId="1" fillId="4" borderId="0" xfId="0" applyNumberFormat="1" applyFont="1" applyFill="1"/>
    <xf numFmtId="49" fontId="0" fillId="4" borderId="0" xfId="0" applyNumberFormat="1" applyFill="1"/>
  </cellXfs>
  <cellStyles count="2">
    <cellStyle name="Köprü" xfId="1" builtinId="8"/>
    <cellStyle name="Normal" xfId="0" builtinId="0"/>
  </cellStyles>
  <dxfs count="2">
    <dxf>
      <font>
        <b/>
        <i val="0"/>
        <sz val="10"/>
        <color rgb="FF000000"/>
        <name val="Calibri"/>
      </font>
    </dxf>
    <dxf>
      <font>
        <b/>
        <i val="0"/>
        <sz val="10"/>
        <color rgb="FF000000"/>
        <name val="Calibri"/>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hyperlink" Target="#'Proforma (ingilizce-euro)'!A1"/><Relationship Id="rId7" Type="http://schemas.openxmlformats.org/officeDocument/2006/relationships/hyperlink" Target="#'Proforma USD'!A1"/><Relationship Id="rId2" Type="http://schemas.openxmlformats.org/officeDocument/2006/relationships/hyperlink" Target="#'Proforma TL'!A1"/><Relationship Id="rId1" Type="http://schemas.openxmlformats.org/officeDocument/2006/relationships/hyperlink" Target="#Teklif!A1"/><Relationship Id="rId6" Type="http://schemas.openxmlformats.org/officeDocument/2006/relationships/hyperlink" Target="#'Proforma EURO'!A1"/><Relationship Id="rId5" Type="http://schemas.openxmlformats.org/officeDocument/2006/relationships/hyperlink" Target="#'Proforma (ingilizce-usd)'!A1"/><Relationship Id="rId4" Type="http://schemas.openxmlformats.org/officeDocument/2006/relationships/hyperlink" Target="#S&#246;zle&#351;me!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4.jpeg"/><Relationship Id="rId4" Type="http://schemas.openxmlformats.org/officeDocument/2006/relationships/hyperlink" Target="#'Bilgi Giri&#351; Sayfas&#305;'!A1"/></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4.jpeg"/><Relationship Id="rId4" Type="http://schemas.openxmlformats.org/officeDocument/2006/relationships/hyperlink" Target="#'Bilgi Giri&#351; Sayfas&#305;'!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5.jpe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hyperlink" Target="#'Bilgi Giri&#351; Sayfas&#305;'!A1"/></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hyperlink" Target="#'Bilgi Giri&#351; Sayfas&#305;'!A1"/></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hyperlink" Target="#'Bilgi Giri&#351; Sayfas&#305;'!A1"/></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hyperlink" Target="#'Bilgi Giri&#351; Sayfas&#305;'!A1"/></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hyperlink" Target="#'Bilgi Giri&#351; Sayfas&#30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4.jpeg"/><Relationship Id="rId4" Type="http://schemas.openxmlformats.org/officeDocument/2006/relationships/hyperlink" Target="#'Bilgi Giri&#351; Sayfas&#305;'!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4.jpeg"/><Relationship Id="rId4" Type="http://schemas.openxmlformats.org/officeDocument/2006/relationships/hyperlink" Target="#'Bilgi Giri&#351; Sayfas&#305;'!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4.jpeg"/><Relationship Id="rId4" Type="http://schemas.openxmlformats.org/officeDocument/2006/relationships/hyperlink" Target="#'Bilgi Giri&#351; Sayfas&#305;'!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4.jpeg"/><Relationship Id="rId4" Type="http://schemas.openxmlformats.org/officeDocument/2006/relationships/hyperlink" Target="#'Bilgi Giri&#351; Sayfas&#305;'!A1"/></Relationships>
</file>

<file path=xl/drawings/drawing1.xml><?xml version="1.0" encoding="utf-8"?>
<xdr:wsDr xmlns:xdr="http://schemas.openxmlformats.org/drawingml/2006/spreadsheetDrawing" xmlns:a="http://schemas.openxmlformats.org/drawingml/2006/main">
  <xdr:twoCellAnchor>
    <xdr:from>
      <xdr:col>0</xdr:col>
      <xdr:colOff>71280</xdr:colOff>
      <xdr:row>28</xdr:row>
      <xdr:rowOff>47520</xdr:rowOff>
    </xdr:from>
    <xdr:to>
      <xdr:col>1</xdr:col>
      <xdr:colOff>1896120</xdr:colOff>
      <xdr:row>30</xdr:row>
      <xdr:rowOff>160560</xdr:rowOff>
    </xdr:to>
    <xdr:sp macro="" textlink="">
      <xdr:nvSpPr>
        <xdr:cNvPr id="2" name="3 Dikdörtgen">
          <a:hlinkClick xmlns:r="http://schemas.openxmlformats.org/officeDocument/2006/relationships" r:id="rId1"/>
        </xdr:cNvPr>
        <xdr:cNvSpPr/>
      </xdr:nvSpPr>
      <xdr:spPr>
        <a:xfrm>
          <a:off x="71280" y="8581680"/>
          <a:ext cx="2136960" cy="57024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TEKLİF ÇIKART</a:t>
          </a:r>
          <a:endParaRPr lang="tr-TR" sz="2000" b="0" strike="noStrike" spc="-1">
            <a:latin typeface="Times New Roman"/>
          </a:endParaRPr>
        </a:p>
      </xdr:txBody>
    </xdr:sp>
    <xdr:clientData/>
  </xdr:twoCellAnchor>
  <xdr:twoCellAnchor>
    <xdr:from>
      <xdr:col>1</xdr:col>
      <xdr:colOff>1971720</xdr:colOff>
      <xdr:row>28</xdr:row>
      <xdr:rowOff>76320</xdr:rowOff>
    </xdr:from>
    <xdr:to>
      <xdr:col>2</xdr:col>
      <xdr:colOff>2046600</xdr:colOff>
      <xdr:row>30</xdr:row>
      <xdr:rowOff>189360</xdr:rowOff>
    </xdr:to>
    <xdr:sp macro="" textlink="">
      <xdr:nvSpPr>
        <xdr:cNvPr id="3" name="4 Dikdörtgen">
          <a:hlinkClick xmlns:r="http://schemas.openxmlformats.org/officeDocument/2006/relationships" r:id="rId2"/>
        </xdr:cNvPr>
        <xdr:cNvSpPr/>
      </xdr:nvSpPr>
      <xdr:spPr>
        <a:xfrm>
          <a:off x="2283840" y="8610480"/>
          <a:ext cx="2241720" cy="57024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PROFORMA TL </a:t>
          </a:r>
          <a:endParaRPr lang="tr-TR" sz="2000" b="0" strike="noStrike" spc="-1">
            <a:latin typeface="Times New Roman"/>
          </a:endParaRPr>
        </a:p>
      </xdr:txBody>
    </xdr:sp>
    <xdr:clientData/>
  </xdr:twoCellAnchor>
  <xdr:twoCellAnchor>
    <xdr:from>
      <xdr:col>3</xdr:col>
      <xdr:colOff>26280</xdr:colOff>
      <xdr:row>28</xdr:row>
      <xdr:rowOff>76320</xdr:rowOff>
    </xdr:from>
    <xdr:to>
      <xdr:col>4</xdr:col>
      <xdr:colOff>1851120</xdr:colOff>
      <xdr:row>30</xdr:row>
      <xdr:rowOff>189360</xdr:rowOff>
    </xdr:to>
    <xdr:sp macro="" textlink="">
      <xdr:nvSpPr>
        <xdr:cNvPr id="4" name="5 Dikdörtgen">
          <a:hlinkClick xmlns:r="http://schemas.openxmlformats.org/officeDocument/2006/relationships" r:id="rId3"/>
        </xdr:cNvPr>
        <xdr:cNvSpPr/>
      </xdr:nvSpPr>
      <xdr:spPr>
        <a:xfrm>
          <a:off x="9611280" y="8610480"/>
          <a:ext cx="2137320" cy="57024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İNGİLİZCE EURO PROFORMA</a:t>
          </a:r>
          <a:endParaRPr lang="tr-TR" sz="2000" b="0" strike="noStrike" spc="-1">
            <a:latin typeface="Times New Roman"/>
          </a:endParaRPr>
        </a:p>
      </xdr:txBody>
    </xdr:sp>
    <xdr:clientData/>
  </xdr:twoCellAnchor>
  <xdr:twoCellAnchor>
    <xdr:from>
      <xdr:col>6</xdr:col>
      <xdr:colOff>535680</xdr:colOff>
      <xdr:row>28</xdr:row>
      <xdr:rowOff>57240</xdr:rowOff>
    </xdr:from>
    <xdr:to>
      <xdr:col>10</xdr:col>
      <xdr:colOff>217440</xdr:colOff>
      <xdr:row>30</xdr:row>
      <xdr:rowOff>170280</xdr:rowOff>
    </xdr:to>
    <xdr:sp macro="" textlink="">
      <xdr:nvSpPr>
        <xdr:cNvPr id="5" name="6 Dikdörtgen">
          <a:hlinkClick xmlns:r="http://schemas.openxmlformats.org/officeDocument/2006/relationships" r:id="rId4"/>
        </xdr:cNvPr>
        <xdr:cNvSpPr/>
      </xdr:nvSpPr>
      <xdr:spPr>
        <a:xfrm>
          <a:off x="14434560" y="8591400"/>
          <a:ext cx="4367160" cy="57024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SÖZLEŞME</a:t>
          </a:r>
          <a:endParaRPr lang="tr-TR" sz="2000" b="0" strike="noStrike" spc="-1">
            <a:latin typeface="Times New Roman"/>
          </a:endParaRPr>
        </a:p>
      </xdr:txBody>
    </xdr:sp>
    <xdr:clientData/>
  </xdr:twoCellAnchor>
  <xdr:twoCellAnchor>
    <xdr:from>
      <xdr:col>4</xdr:col>
      <xdr:colOff>2043000</xdr:colOff>
      <xdr:row>28</xdr:row>
      <xdr:rowOff>57240</xdr:rowOff>
    </xdr:from>
    <xdr:to>
      <xdr:col>6</xdr:col>
      <xdr:colOff>381960</xdr:colOff>
      <xdr:row>30</xdr:row>
      <xdr:rowOff>170280</xdr:rowOff>
    </xdr:to>
    <xdr:sp macro="" textlink="">
      <xdr:nvSpPr>
        <xdr:cNvPr id="6" name="7 Dikdörtgen">
          <a:hlinkClick xmlns:r="http://schemas.openxmlformats.org/officeDocument/2006/relationships" r:id="rId5"/>
        </xdr:cNvPr>
        <xdr:cNvSpPr/>
      </xdr:nvSpPr>
      <xdr:spPr>
        <a:xfrm>
          <a:off x="11940480" y="8591400"/>
          <a:ext cx="2340360" cy="57024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İNGİLİZCE USD PROFORMA</a:t>
          </a:r>
          <a:endParaRPr lang="tr-TR" sz="2000" b="0" strike="noStrike" spc="-1">
            <a:latin typeface="Times New Roman"/>
          </a:endParaRPr>
        </a:p>
      </xdr:txBody>
    </xdr:sp>
    <xdr:clientData/>
  </xdr:twoCellAnchor>
  <xdr:twoCellAnchor>
    <xdr:from>
      <xdr:col>2</xdr:col>
      <xdr:colOff>4455360</xdr:colOff>
      <xdr:row>28</xdr:row>
      <xdr:rowOff>71280</xdr:rowOff>
    </xdr:from>
    <xdr:to>
      <xdr:col>2</xdr:col>
      <xdr:colOff>6577920</xdr:colOff>
      <xdr:row>30</xdr:row>
      <xdr:rowOff>184320</xdr:rowOff>
    </xdr:to>
    <xdr:sp macro="" textlink="">
      <xdr:nvSpPr>
        <xdr:cNvPr id="7" name="9 Dikdörtgen">
          <a:hlinkClick xmlns:r="http://schemas.openxmlformats.org/officeDocument/2006/relationships" r:id="rId6"/>
        </xdr:cNvPr>
        <xdr:cNvSpPr/>
      </xdr:nvSpPr>
      <xdr:spPr>
        <a:xfrm>
          <a:off x="6934320" y="8605440"/>
          <a:ext cx="2122560" cy="57024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PROFORMA EURO </a:t>
          </a:r>
          <a:endParaRPr lang="tr-TR" sz="2000" b="0" strike="noStrike" spc="-1">
            <a:latin typeface="Times New Roman"/>
          </a:endParaRPr>
        </a:p>
      </xdr:txBody>
    </xdr:sp>
    <xdr:clientData/>
  </xdr:twoCellAnchor>
  <xdr:twoCellAnchor>
    <xdr:from>
      <xdr:col>2</xdr:col>
      <xdr:colOff>2183400</xdr:colOff>
      <xdr:row>28</xdr:row>
      <xdr:rowOff>73800</xdr:rowOff>
    </xdr:from>
    <xdr:to>
      <xdr:col>2</xdr:col>
      <xdr:colOff>4305960</xdr:colOff>
      <xdr:row>30</xdr:row>
      <xdr:rowOff>186840</xdr:rowOff>
    </xdr:to>
    <xdr:sp macro="" textlink="">
      <xdr:nvSpPr>
        <xdr:cNvPr id="8" name="10 Dikdörtgen">
          <a:hlinkClick xmlns:r="http://schemas.openxmlformats.org/officeDocument/2006/relationships" r:id="rId7"/>
        </xdr:cNvPr>
        <xdr:cNvSpPr/>
      </xdr:nvSpPr>
      <xdr:spPr>
        <a:xfrm>
          <a:off x="4662360" y="8607960"/>
          <a:ext cx="2122560" cy="57024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PROFORMA USD </a:t>
          </a:r>
          <a:endParaRPr lang="tr-TR" sz="20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114480</xdr:rowOff>
    </xdr:from>
    <xdr:to>
      <xdr:col>4</xdr:col>
      <xdr:colOff>766440</xdr:colOff>
      <xdr:row>5</xdr:row>
      <xdr:rowOff>103680</xdr:rowOff>
    </xdr:to>
    <xdr:pic>
      <xdr:nvPicPr>
        <xdr:cNvPr id="47" name="Resim 1"/>
        <xdr:cNvPicPr/>
      </xdr:nvPicPr>
      <xdr:blipFill>
        <a:blip xmlns:r="http://schemas.openxmlformats.org/officeDocument/2006/relationships" r:embed="rId1"/>
        <a:stretch/>
      </xdr:blipFill>
      <xdr:spPr>
        <a:xfrm>
          <a:off x="0" y="304920"/>
          <a:ext cx="3607200" cy="750960"/>
        </a:xfrm>
        <a:prstGeom prst="rect">
          <a:avLst/>
        </a:prstGeom>
        <a:ln w="0">
          <a:noFill/>
        </a:ln>
      </xdr:spPr>
    </xdr:pic>
    <xdr:clientData/>
  </xdr:twoCellAnchor>
  <xdr:twoCellAnchor editAs="oneCell">
    <xdr:from>
      <xdr:col>6</xdr:col>
      <xdr:colOff>146880</xdr:colOff>
      <xdr:row>40</xdr:row>
      <xdr:rowOff>57240</xdr:rowOff>
    </xdr:from>
    <xdr:to>
      <xdr:col>9</xdr:col>
      <xdr:colOff>488880</xdr:colOff>
      <xdr:row>45</xdr:row>
      <xdr:rowOff>90000</xdr:rowOff>
    </xdr:to>
    <xdr:pic>
      <xdr:nvPicPr>
        <xdr:cNvPr id="48" name="Picture 4"/>
        <xdr:cNvPicPr/>
      </xdr:nvPicPr>
      <xdr:blipFill>
        <a:blip xmlns:r="http://schemas.openxmlformats.org/officeDocument/2006/relationships" r:embed="rId2"/>
        <a:stretch/>
      </xdr:blipFill>
      <xdr:spPr>
        <a:xfrm rot="120000">
          <a:off x="5062680" y="8914680"/>
          <a:ext cx="2467800" cy="985320"/>
        </a:xfrm>
        <a:prstGeom prst="rect">
          <a:avLst/>
        </a:prstGeom>
        <a:ln w="0">
          <a:noFill/>
        </a:ln>
      </xdr:spPr>
    </xdr:pic>
    <xdr:clientData/>
  </xdr:twoCellAnchor>
  <xdr:twoCellAnchor editAs="oneCell">
    <xdr:from>
      <xdr:col>6</xdr:col>
      <xdr:colOff>295560</xdr:colOff>
      <xdr:row>37</xdr:row>
      <xdr:rowOff>95400</xdr:rowOff>
    </xdr:from>
    <xdr:to>
      <xdr:col>9</xdr:col>
      <xdr:colOff>395640</xdr:colOff>
      <xdr:row>41</xdr:row>
      <xdr:rowOff>151560</xdr:rowOff>
    </xdr:to>
    <xdr:pic>
      <xdr:nvPicPr>
        <xdr:cNvPr id="49" name="Picture 2"/>
        <xdr:cNvPicPr/>
      </xdr:nvPicPr>
      <xdr:blipFill>
        <a:blip xmlns:r="http://schemas.openxmlformats.org/officeDocument/2006/relationships" r:embed="rId3"/>
        <a:stretch/>
      </xdr:blipFill>
      <xdr:spPr>
        <a:xfrm>
          <a:off x="5211720" y="8381880"/>
          <a:ext cx="2225880" cy="818280"/>
        </a:xfrm>
        <a:prstGeom prst="rect">
          <a:avLst/>
        </a:prstGeom>
        <a:ln w="0">
          <a:noFill/>
        </a:ln>
      </xdr:spPr>
    </xdr:pic>
    <xdr:clientData/>
  </xdr:twoCellAnchor>
  <xdr:twoCellAnchor>
    <xdr:from>
      <xdr:col>12</xdr:col>
      <xdr:colOff>0</xdr:colOff>
      <xdr:row>4</xdr:row>
      <xdr:rowOff>0</xdr:rowOff>
    </xdr:from>
    <xdr:to>
      <xdr:col>15</xdr:col>
      <xdr:colOff>246240</xdr:colOff>
      <xdr:row>7</xdr:row>
      <xdr:rowOff>150840</xdr:rowOff>
    </xdr:to>
    <xdr:sp macro="" textlink="">
      <xdr:nvSpPr>
        <xdr:cNvPr id="50" name="4 Dikdörtgen">
          <a:hlinkClick xmlns:r="http://schemas.openxmlformats.org/officeDocument/2006/relationships" r:id="rId4"/>
        </xdr:cNvPr>
        <xdr:cNvSpPr/>
      </xdr:nvSpPr>
      <xdr:spPr>
        <a:xfrm>
          <a:off x="9420840" y="761760"/>
          <a:ext cx="2231640" cy="72252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BİLGİ GİRİŞ SAYFASI</a:t>
          </a:r>
          <a:endParaRPr lang="tr-TR" sz="20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114480</xdr:rowOff>
    </xdr:from>
    <xdr:to>
      <xdr:col>4</xdr:col>
      <xdr:colOff>766440</xdr:colOff>
      <xdr:row>5</xdr:row>
      <xdr:rowOff>103680</xdr:rowOff>
    </xdr:to>
    <xdr:pic>
      <xdr:nvPicPr>
        <xdr:cNvPr id="51" name="Resim 1"/>
        <xdr:cNvPicPr/>
      </xdr:nvPicPr>
      <xdr:blipFill>
        <a:blip xmlns:r="http://schemas.openxmlformats.org/officeDocument/2006/relationships" r:embed="rId1"/>
        <a:stretch/>
      </xdr:blipFill>
      <xdr:spPr>
        <a:xfrm>
          <a:off x="0" y="304920"/>
          <a:ext cx="3607200" cy="750960"/>
        </a:xfrm>
        <a:prstGeom prst="rect">
          <a:avLst/>
        </a:prstGeom>
        <a:ln w="0">
          <a:noFill/>
        </a:ln>
      </xdr:spPr>
    </xdr:pic>
    <xdr:clientData/>
  </xdr:twoCellAnchor>
  <xdr:twoCellAnchor editAs="oneCell">
    <xdr:from>
      <xdr:col>6</xdr:col>
      <xdr:colOff>146880</xdr:colOff>
      <xdr:row>40</xdr:row>
      <xdr:rowOff>57240</xdr:rowOff>
    </xdr:from>
    <xdr:to>
      <xdr:col>9</xdr:col>
      <xdr:colOff>488880</xdr:colOff>
      <xdr:row>45</xdr:row>
      <xdr:rowOff>90000</xdr:rowOff>
    </xdr:to>
    <xdr:pic>
      <xdr:nvPicPr>
        <xdr:cNvPr id="52" name="Picture 4"/>
        <xdr:cNvPicPr/>
      </xdr:nvPicPr>
      <xdr:blipFill>
        <a:blip xmlns:r="http://schemas.openxmlformats.org/officeDocument/2006/relationships" r:embed="rId2"/>
        <a:stretch/>
      </xdr:blipFill>
      <xdr:spPr>
        <a:xfrm rot="120000">
          <a:off x="5062680" y="8914680"/>
          <a:ext cx="2467800" cy="985320"/>
        </a:xfrm>
        <a:prstGeom prst="rect">
          <a:avLst/>
        </a:prstGeom>
        <a:ln w="0">
          <a:noFill/>
        </a:ln>
      </xdr:spPr>
    </xdr:pic>
    <xdr:clientData/>
  </xdr:twoCellAnchor>
  <xdr:twoCellAnchor editAs="oneCell">
    <xdr:from>
      <xdr:col>6</xdr:col>
      <xdr:colOff>295560</xdr:colOff>
      <xdr:row>37</xdr:row>
      <xdr:rowOff>95400</xdr:rowOff>
    </xdr:from>
    <xdr:to>
      <xdr:col>9</xdr:col>
      <xdr:colOff>395640</xdr:colOff>
      <xdr:row>41</xdr:row>
      <xdr:rowOff>151560</xdr:rowOff>
    </xdr:to>
    <xdr:pic>
      <xdr:nvPicPr>
        <xdr:cNvPr id="53" name="Picture 2"/>
        <xdr:cNvPicPr/>
      </xdr:nvPicPr>
      <xdr:blipFill>
        <a:blip xmlns:r="http://schemas.openxmlformats.org/officeDocument/2006/relationships" r:embed="rId3"/>
        <a:stretch/>
      </xdr:blipFill>
      <xdr:spPr>
        <a:xfrm>
          <a:off x="5211720" y="8381880"/>
          <a:ext cx="2225880" cy="818280"/>
        </a:xfrm>
        <a:prstGeom prst="rect">
          <a:avLst/>
        </a:prstGeom>
        <a:ln w="0">
          <a:noFill/>
        </a:ln>
      </xdr:spPr>
    </xdr:pic>
    <xdr:clientData/>
  </xdr:twoCellAnchor>
  <xdr:twoCellAnchor>
    <xdr:from>
      <xdr:col>12</xdr:col>
      <xdr:colOff>0</xdr:colOff>
      <xdr:row>4</xdr:row>
      <xdr:rowOff>0</xdr:rowOff>
    </xdr:from>
    <xdr:to>
      <xdr:col>15</xdr:col>
      <xdr:colOff>246240</xdr:colOff>
      <xdr:row>7</xdr:row>
      <xdr:rowOff>150840</xdr:rowOff>
    </xdr:to>
    <xdr:sp macro="" textlink="">
      <xdr:nvSpPr>
        <xdr:cNvPr id="54" name="4 Dikdörtgen">
          <a:hlinkClick xmlns:r="http://schemas.openxmlformats.org/officeDocument/2006/relationships" r:id="rId4"/>
        </xdr:cNvPr>
        <xdr:cNvSpPr/>
      </xdr:nvSpPr>
      <xdr:spPr>
        <a:xfrm>
          <a:off x="9420840" y="761760"/>
          <a:ext cx="2231640" cy="72252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BİLGİ GİRİŞ SAYFASI</a:t>
          </a:r>
          <a:endParaRPr lang="tr-TR" sz="2000" b="0" strike="noStrike" spc="-1">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37440</xdr:colOff>
      <xdr:row>0</xdr:row>
      <xdr:rowOff>30600</xdr:rowOff>
    </xdr:from>
    <xdr:to>
      <xdr:col>9</xdr:col>
      <xdr:colOff>187560</xdr:colOff>
      <xdr:row>3</xdr:row>
      <xdr:rowOff>181440</xdr:rowOff>
    </xdr:to>
    <xdr:pic>
      <xdr:nvPicPr>
        <xdr:cNvPr id="55" name="Resim 5"/>
        <xdr:cNvPicPr/>
      </xdr:nvPicPr>
      <xdr:blipFill>
        <a:blip xmlns:r="http://schemas.openxmlformats.org/officeDocument/2006/relationships" r:embed="rId1"/>
        <a:stretch/>
      </xdr:blipFill>
      <xdr:spPr>
        <a:xfrm>
          <a:off x="37440" y="30600"/>
          <a:ext cx="3100680" cy="722160"/>
        </a:xfrm>
        <a:prstGeom prst="rect">
          <a:avLst/>
        </a:prstGeom>
        <a:ln w="0">
          <a:noFill/>
        </a:ln>
      </xdr:spPr>
    </xdr:pic>
    <xdr:clientData/>
  </xdr:twoCellAnchor>
  <xdr:twoCellAnchor editAs="oneCell">
    <xdr:from>
      <xdr:col>0</xdr:col>
      <xdr:colOff>87840</xdr:colOff>
      <xdr:row>103</xdr:row>
      <xdr:rowOff>46800</xdr:rowOff>
    </xdr:from>
    <xdr:to>
      <xdr:col>9</xdr:col>
      <xdr:colOff>237960</xdr:colOff>
      <xdr:row>107</xdr:row>
      <xdr:rowOff>7200</xdr:rowOff>
    </xdr:to>
    <xdr:pic>
      <xdr:nvPicPr>
        <xdr:cNvPr id="56" name="Resim 8"/>
        <xdr:cNvPicPr/>
      </xdr:nvPicPr>
      <xdr:blipFill>
        <a:blip xmlns:r="http://schemas.openxmlformats.org/officeDocument/2006/relationships" r:embed="rId1"/>
        <a:stretch/>
      </xdr:blipFill>
      <xdr:spPr>
        <a:xfrm>
          <a:off x="87840" y="19212840"/>
          <a:ext cx="3100680" cy="722520"/>
        </a:xfrm>
        <a:prstGeom prst="rect">
          <a:avLst/>
        </a:prstGeom>
        <a:ln w="0">
          <a:noFill/>
        </a:ln>
      </xdr:spPr>
    </xdr:pic>
    <xdr:clientData/>
  </xdr:twoCellAnchor>
  <xdr:twoCellAnchor editAs="oneCell">
    <xdr:from>
      <xdr:col>0</xdr:col>
      <xdr:colOff>95400</xdr:colOff>
      <xdr:row>154</xdr:row>
      <xdr:rowOff>42480</xdr:rowOff>
    </xdr:from>
    <xdr:to>
      <xdr:col>9</xdr:col>
      <xdr:colOff>245520</xdr:colOff>
      <xdr:row>158</xdr:row>
      <xdr:rowOff>2880</xdr:rowOff>
    </xdr:to>
    <xdr:pic>
      <xdr:nvPicPr>
        <xdr:cNvPr id="57" name="Resim 11"/>
        <xdr:cNvPicPr/>
      </xdr:nvPicPr>
      <xdr:blipFill>
        <a:blip xmlns:r="http://schemas.openxmlformats.org/officeDocument/2006/relationships" r:embed="rId1"/>
        <a:stretch/>
      </xdr:blipFill>
      <xdr:spPr>
        <a:xfrm>
          <a:off x="95400" y="28827000"/>
          <a:ext cx="3100680" cy="722160"/>
        </a:xfrm>
        <a:prstGeom prst="rect">
          <a:avLst/>
        </a:prstGeom>
        <a:ln w="0">
          <a:noFill/>
        </a:ln>
      </xdr:spPr>
    </xdr:pic>
    <xdr:clientData/>
  </xdr:twoCellAnchor>
  <xdr:twoCellAnchor editAs="oneCell">
    <xdr:from>
      <xdr:col>0</xdr:col>
      <xdr:colOff>38160</xdr:colOff>
      <xdr:row>52</xdr:row>
      <xdr:rowOff>38160</xdr:rowOff>
    </xdr:from>
    <xdr:to>
      <xdr:col>9</xdr:col>
      <xdr:colOff>188280</xdr:colOff>
      <xdr:row>55</xdr:row>
      <xdr:rowOff>189000</xdr:rowOff>
    </xdr:to>
    <xdr:pic>
      <xdr:nvPicPr>
        <xdr:cNvPr id="58" name="Resim 14"/>
        <xdr:cNvPicPr/>
      </xdr:nvPicPr>
      <xdr:blipFill>
        <a:blip xmlns:r="http://schemas.openxmlformats.org/officeDocument/2006/relationships" r:embed="rId1"/>
        <a:stretch/>
      </xdr:blipFill>
      <xdr:spPr>
        <a:xfrm>
          <a:off x="38160" y="9585720"/>
          <a:ext cx="3100680" cy="722520"/>
        </a:xfrm>
        <a:prstGeom prst="rect">
          <a:avLst/>
        </a:prstGeom>
        <a:ln w="0">
          <a:noFill/>
        </a:ln>
      </xdr:spPr>
    </xdr:pic>
    <xdr:clientData/>
  </xdr:twoCellAnchor>
  <xdr:twoCellAnchor editAs="oneCell">
    <xdr:from>
      <xdr:col>1</xdr:col>
      <xdr:colOff>100800</xdr:colOff>
      <xdr:row>46</xdr:row>
      <xdr:rowOff>160560</xdr:rowOff>
    </xdr:from>
    <xdr:to>
      <xdr:col>8</xdr:col>
      <xdr:colOff>253800</xdr:colOff>
      <xdr:row>51</xdr:row>
      <xdr:rowOff>85320</xdr:rowOff>
    </xdr:to>
    <xdr:pic>
      <xdr:nvPicPr>
        <xdr:cNvPr id="59" name="Picture 4"/>
        <xdr:cNvPicPr/>
      </xdr:nvPicPr>
      <xdr:blipFill>
        <a:blip xmlns:r="http://schemas.openxmlformats.org/officeDocument/2006/relationships" r:embed="rId2"/>
        <a:stretch/>
      </xdr:blipFill>
      <xdr:spPr>
        <a:xfrm rot="120000">
          <a:off x="382320" y="8564400"/>
          <a:ext cx="2197080" cy="877320"/>
        </a:xfrm>
        <a:prstGeom prst="rect">
          <a:avLst/>
        </a:prstGeom>
        <a:ln w="0">
          <a:noFill/>
        </a:ln>
      </xdr:spPr>
    </xdr:pic>
    <xdr:clientData/>
  </xdr:twoCellAnchor>
  <xdr:twoCellAnchor editAs="oneCell">
    <xdr:from>
      <xdr:col>1</xdr:col>
      <xdr:colOff>214920</xdr:colOff>
      <xdr:row>44</xdr:row>
      <xdr:rowOff>177480</xdr:rowOff>
    </xdr:from>
    <xdr:to>
      <xdr:col>8</xdr:col>
      <xdr:colOff>152280</xdr:colOff>
      <xdr:row>48</xdr:row>
      <xdr:rowOff>144000</xdr:rowOff>
    </xdr:to>
    <xdr:pic>
      <xdr:nvPicPr>
        <xdr:cNvPr id="60" name="Picture 2"/>
        <xdr:cNvPicPr/>
      </xdr:nvPicPr>
      <xdr:blipFill>
        <a:blip xmlns:r="http://schemas.openxmlformats.org/officeDocument/2006/relationships" r:embed="rId3"/>
        <a:stretch/>
      </xdr:blipFill>
      <xdr:spPr>
        <a:xfrm>
          <a:off x="496800" y="8201160"/>
          <a:ext cx="1981440" cy="728640"/>
        </a:xfrm>
        <a:prstGeom prst="rect">
          <a:avLst/>
        </a:prstGeom>
        <a:ln w="0">
          <a:noFill/>
        </a:ln>
      </xdr:spPr>
    </xdr:pic>
    <xdr:clientData/>
  </xdr:twoCellAnchor>
  <xdr:twoCellAnchor editAs="oneCell">
    <xdr:from>
      <xdr:col>1</xdr:col>
      <xdr:colOff>36720</xdr:colOff>
      <xdr:row>95</xdr:row>
      <xdr:rowOff>151560</xdr:rowOff>
    </xdr:from>
    <xdr:to>
      <xdr:col>8</xdr:col>
      <xdr:colOff>189720</xdr:colOff>
      <xdr:row>100</xdr:row>
      <xdr:rowOff>47160</xdr:rowOff>
    </xdr:to>
    <xdr:pic>
      <xdr:nvPicPr>
        <xdr:cNvPr id="61" name="Picture 4"/>
        <xdr:cNvPicPr/>
      </xdr:nvPicPr>
      <xdr:blipFill>
        <a:blip xmlns:r="http://schemas.openxmlformats.org/officeDocument/2006/relationships" r:embed="rId2"/>
        <a:stretch/>
      </xdr:blipFill>
      <xdr:spPr>
        <a:xfrm rot="120000">
          <a:off x="318240" y="17764200"/>
          <a:ext cx="2197080" cy="876600"/>
        </a:xfrm>
        <a:prstGeom prst="rect">
          <a:avLst/>
        </a:prstGeom>
        <a:ln w="0">
          <a:noFill/>
        </a:ln>
      </xdr:spPr>
    </xdr:pic>
    <xdr:clientData/>
  </xdr:twoCellAnchor>
  <xdr:twoCellAnchor editAs="oneCell">
    <xdr:from>
      <xdr:col>1</xdr:col>
      <xdr:colOff>150840</xdr:colOff>
      <xdr:row>93</xdr:row>
      <xdr:rowOff>168480</xdr:rowOff>
    </xdr:from>
    <xdr:to>
      <xdr:col>8</xdr:col>
      <xdr:colOff>88200</xdr:colOff>
      <xdr:row>97</xdr:row>
      <xdr:rowOff>105480</xdr:rowOff>
    </xdr:to>
    <xdr:pic>
      <xdr:nvPicPr>
        <xdr:cNvPr id="62" name="Picture 2"/>
        <xdr:cNvPicPr/>
      </xdr:nvPicPr>
      <xdr:blipFill>
        <a:blip xmlns:r="http://schemas.openxmlformats.org/officeDocument/2006/relationships" r:embed="rId3"/>
        <a:stretch/>
      </xdr:blipFill>
      <xdr:spPr>
        <a:xfrm>
          <a:off x="432720" y="17400960"/>
          <a:ext cx="1981440" cy="727560"/>
        </a:xfrm>
        <a:prstGeom prst="rect">
          <a:avLst/>
        </a:prstGeom>
        <a:ln w="0">
          <a:noFill/>
        </a:ln>
      </xdr:spPr>
    </xdr:pic>
    <xdr:clientData/>
  </xdr:twoCellAnchor>
  <xdr:twoCellAnchor editAs="oneCell">
    <xdr:from>
      <xdr:col>0</xdr:col>
      <xdr:colOff>227160</xdr:colOff>
      <xdr:row>146</xdr:row>
      <xdr:rowOff>136080</xdr:rowOff>
    </xdr:from>
    <xdr:to>
      <xdr:col>8</xdr:col>
      <xdr:colOff>116280</xdr:colOff>
      <xdr:row>151</xdr:row>
      <xdr:rowOff>60840</xdr:rowOff>
    </xdr:to>
    <xdr:pic>
      <xdr:nvPicPr>
        <xdr:cNvPr id="63" name="Picture 4"/>
        <xdr:cNvPicPr/>
      </xdr:nvPicPr>
      <xdr:blipFill>
        <a:blip xmlns:r="http://schemas.openxmlformats.org/officeDocument/2006/relationships" r:embed="rId2"/>
        <a:stretch/>
      </xdr:blipFill>
      <xdr:spPr>
        <a:xfrm rot="120000">
          <a:off x="226800" y="27396000"/>
          <a:ext cx="2215080" cy="877320"/>
        </a:xfrm>
        <a:prstGeom prst="rect">
          <a:avLst/>
        </a:prstGeom>
        <a:ln w="0">
          <a:noFill/>
        </a:ln>
      </xdr:spPr>
    </xdr:pic>
    <xdr:clientData/>
  </xdr:twoCellAnchor>
  <xdr:twoCellAnchor editAs="oneCell">
    <xdr:from>
      <xdr:col>1</xdr:col>
      <xdr:colOff>77760</xdr:colOff>
      <xdr:row>144</xdr:row>
      <xdr:rowOff>153720</xdr:rowOff>
    </xdr:from>
    <xdr:to>
      <xdr:col>8</xdr:col>
      <xdr:colOff>15120</xdr:colOff>
      <xdr:row>148</xdr:row>
      <xdr:rowOff>120240</xdr:rowOff>
    </xdr:to>
    <xdr:pic>
      <xdr:nvPicPr>
        <xdr:cNvPr id="64" name="Picture 2"/>
        <xdr:cNvPicPr/>
      </xdr:nvPicPr>
      <xdr:blipFill>
        <a:blip xmlns:r="http://schemas.openxmlformats.org/officeDocument/2006/relationships" r:embed="rId3"/>
        <a:stretch/>
      </xdr:blipFill>
      <xdr:spPr>
        <a:xfrm>
          <a:off x="359640" y="27033120"/>
          <a:ext cx="1981440" cy="728640"/>
        </a:xfrm>
        <a:prstGeom prst="rect">
          <a:avLst/>
        </a:prstGeom>
        <a:ln w="0">
          <a:noFill/>
        </a:ln>
      </xdr:spPr>
    </xdr:pic>
    <xdr:clientData/>
  </xdr:twoCellAnchor>
  <xdr:twoCellAnchor editAs="oneCell">
    <xdr:from>
      <xdr:col>0</xdr:col>
      <xdr:colOff>227160</xdr:colOff>
      <xdr:row>202</xdr:row>
      <xdr:rowOff>172800</xdr:rowOff>
    </xdr:from>
    <xdr:to>
      <xdr:col>8</xdr:col>
      <xdr:colOff>116280</xdr:colOff>
      <xdr:row>207</xdr:row>
      <xdr:rowOff>97560</xdr:rowOff>
    </xdr:to>
    <xdr:pic>
      <xdr:nvPicPr>
        <xdr:cNvPr id="65" name="Picture 4"/>
        <xdr:cNvPicPr/>
      </xdr:nvPicPr>
      <xdr:blipFill>
        <a:blip xmlns:r="http://schemas.openxmlformats.org/officeDocument/2006/relationships" r:embed="rId2"/>
        <a:stretch/>
      </xdr:blipFill>
      <xdr:spPr>
        <a:xfrm rot="120000">
          <a:off x="226800" y="37249200"/>
          <a:ext cx="2215080" cy="877320"/>
        </a:xfrm>
        <a:prstGeom prst="rect">
          <a:avLst/>
        </a:prstGeom>
        <a:ln w="0">
          <a:noFill/>
        </a:ln>
      </xdr:spPr>
    </xdr:pic>
    <xdr:clientData/>
  </xdr:twoCellAnchor>
  <xdr:twoCellAnchor editAs="oneCell">
    <xdr:from>
      <xdr:col>1</xdr:col>
      <xdr:colOff>77760</xdr:colOff>
      <xdr:row>201</xdr:row>
      <xdr:rowOff>0</xdr:rowOff>
    </xdr:from>
    <xdr:to>
      <xdr:col>8</xdr:col>
      <xdr:colOff>15120</xdr:colOff>
      <xdr:row>204</xdr:row>
      <xdr:rowOff>156960</xdr:rowOff>
    </xdr:to>
    <xdr:pic>
      <xdr:nvPicPr>
        <xdr:cNvPr id="66" name="Picture 2"/>
        <xdr:cNvPicPr/>
      </xdr:nvPicPr>
      <xdr:blipFill>
        <a:blip xmlns:r="http://schemas.openxmlformats.org/officeDocument/2006/relationships" r:embed="rId3"/>
        <a:stretch/>
      </xdr:blipFill>
      <xdr:spPr>
        <a:xfrm>
          <a:off x="359640" y="36886320"/>
          <a:ext cx="1981440" cy="728640"/>
        </a:xfrm>
        <a:prstGeom prst="rect">
          <a:avLst/>
        </a:prstGeom>
        <a:ln w="0">
          <a:noFill/>
        </a:ln>
      </xdr:spPr>
    </xdr:pic>
    <xdr:clientData/>
  </xdr:twoCellAnchor>
  <xdr:twoCellAnchor>
    <xdr:from>
      <xdr:col>17</xdr:col>
      <xdr:colOff>0</xdr:colOff>
      <xdr:row>3</xdr:row>
      <xdr:rowOff>0</xdr:rowOff>
    </xdr:from>
    <xdr:to>
      <xdr:col>20</xdr:col>
      <xdr:colOff>298080</xdr:colOff>
      <xdr:row>7</xdr:row>
      <xdr:rowOff>92520</xdr:rowOff>
    </xdr:to>
    <xdr:sp macro="" textlink="">
      <xdr:nvSpPr>
        <xdr:cNvPr id="67" name="29 Dikdörtgen">
          <a:hlinkClick xmlns:r="http://schemas.openxmlformats.org/officeDocument/2006/relationships" r:id="rId4"/>
        </xdr:cNvPr>
        <xdr:cNvSpPr/>
      </xdr:nvSpPr>
      <xdr:spPr>
        <a:xfrm>
          <a:off x="7153200" y="571320"/>
          <a:ext cx="2142000" cy="72864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BİLGİ GİRİŞ SAYFASI</a:t>
          </a:r>
          <a:endParaRPr lang="tr-TR" sz="2000" b="0" strike="noStrike" spc="-1">
            <a:latin typeface="Times New Roman"/>
          </a:endParaRPr>
        </a:p>
      </xdr:txBody>
    </xdr:sp>
    <xdr:clientData/>
  </xdr:twoCellAnchor>
  <xdr:twoCellAnchor editAs="oneCell">
    <xdr:from>
      <xdr:col>9</xdr:col>
      <xdr:colOff>256320</xdr:colOff>
      <xdr:row>0</xdr:row>
      <xdr:rowOff>7200</xdr:rowOff>
    </xdr:from>
    <xdr:to>
      <xdr:col>12</xdr:col>
      <xdr:colOff>574560</xdr:colOff>
      <xdr:row>4</xdr:row>
      <xdr:rowOff>176760</xdr:rowOff>
    </xdr:to>
    <xdr:pic>
      <xdr:nvPicPr>
        <xdr:cNvPr id="68" name="23 Resim" descr="hvac-line_1517302505_i.jpg"/>
        <xdr:cNvPicPr/>
      </xdr:nvPicPr>
      <xdr:blipFill>
        <a:blip xmlns:r="http://schemas.openxmlformats.org/officeDocument/2006/relationships" r:embed="rId5"/>
        <a:srcRect l="4148" t="25745" r="11537" b="13569"/>
        <a:stretch/>
      </xdr:blipFill>
      <xdr:spPr>
        <a:xfrm>
          <a:off x="3206880" y="7200"/>
          <a:ext cx="1799640" cy="931320"/>
        </a:xfrm>
        <a:prstGeom prst="rect">
          <a:avLst/>
        </a:prstGeom>
        <a:ln w="0">
          <a:noFill/>
        </a:ln>
      </xdr:spPr>
    </xdr:pic>
    <xdr:clientData/>
  </xdr:twoCellAnchor>
  <xdr:twoCellAnchor editAs="oneCell">
    <xdr:from>
      <xdr:col>12</xdr:col>
      <xdr:colOff>414360</xdr:colOff>
      <xdr:row>0</xdr:row>
      <xdr:rowOff>26280</xdr:rowOff>
    </xdr:from>
    <xdr:to>
      <xdr:col>15</xdr:col>
      <xdr:colOff>553320</xdr:colOff>
      <xdr:row>4</xdr:row>
      <xdr:rowOff>76320</xdr:rowOff>
    </xdr:to>
    <xdr:pic>
      <xdr:nvPicPr>
        <xdr:cNvPr id="69" name="24 Resim" descr="red-line-cnc-plazma-kesim-makinasi_1517303086_i.jpg"/>
        <xdr:cNvPicPr/>
      </xdr:nvPicPr>
      <xdr:blipFill>
        <a:blip xmlns:r="http://schemas.openxmlformats.org/officeDocument/2006/relationships" r:embed="rId6"/>
        <a:srcRect l="3501" t="18828" r="3751" b="16334"/>
        <a:stretch/>
      </xdr:blipFill>
      <xdr:spPr>
        <a:xfrm>
          <a:off x="4846320" y="26280"/>
          <a:ext cx="1630800" cy="811800"/>
        </a:xfrm>
        <a:prstGeom prst="rect">
          <a:avLst/>
        </a:prstGeom>
        <a:ln w="0">
          <a:noFill/>
        </a:ln>
      </xdr:spPr>
    </xdr:pic>
    <xdr:clientData/>
  </xdr:twoCellAnchor>
  <xdr:twoCellAnchor editAs="oneCell">
    <xdr:from>
      <xdr:col>9</xdr:col>
      <xdr:colOff>219960</xdr:colOff>
      <xdr:row>52</xdr:row>
      <xdr:rowOff>0</xdr:rowOff>
    </xdr:from>
    <xdr:to>
      <xdr:col>12</xdr:col>
      <xdr:colOff>538200</xdr:colOff>
      <xdr:row>56</xdr:row>
      <xdr:rowOff>169560</xdr:rowOff>
    </xdr:to>
    <xdr:pic>
      <xdr:nvPicPr>
        <xdr:cNvPr id="70" name="30 Resim" descr="hvac-line_1517302505_i.jpg"/>
        <xdr:cNvPicPr/>
      </xdr:nvPicPr>
      <xdr:blipFill>
        <a:blip xmlns:r="http://schemas.openxmlformats.org/officeDocument/2006/relationships" r:embed="rId5"/>
        <a:srcRect l="4148" t="25745" r="11537" b="13569"/>
        <a:stretch/>
      </xdr:blipFill>
      <xdr:spPr>
        <a:xfrm>
          <a:off x="3170520" y="9547560"/>
          <a:ext cx="1799640" cy="931680"/>
        </a:xfrm>
        <a:prstGeom prst="rect">
          <a:avLst/>
        </a:prstGeom>
        <a:ln w="0">
          <a:noFill/>
        </a:ln>
      </xdr:spPr>
    </xdr:pic>
    <xdr:clientData/>
  </xdr:twoCellAnchor>
  <xdr:twoCellAnchor editAs="oneCell">
    <xdr:from>
      <xdr:col>12</xdr:col>
      <xdr:colOff>377640</xdr:colOff>
      <xdr:row>52</xdr:row>
      <xdr:rowOff>19080</xdr:rowOff>
    </xdr:from>
    <xdr:to>
      <xdr:col>15</xdr:col>
      <xdr:colOff>516600</xdr:colOff>
      <xdr:row>56</xdr:row>
      <xdr:rowOff>69120</xdr:rowOff>
    </xdr:to>
    <xdr:pic>
      <xdr:nvPicPr>
        <xdr:cNvPr id="71" name="31 Resim" descr="red-line-cnc-plazma-kesim-makinasi_1517303086_i.jpg"/>
        <xdr:cNvPicPr/>
      </xdr:nvPicPr>
      <xdr:blipFill>
        <a:blip xmlns:r="http://schemas.openxmlformats.org/officeDocument/2006/relationships" r:embed="rId6"/>
        <a:srcRect l="3501" t="18828" r="3751" b="16334"/>
        <a:stretch/>
      </xdr:blipFill>
      <xdr:spPr>
        <a:xfrm>
          <a:off x="4809600" y="9566640"/>
          <a:ext cx="1630800" cy="812160"/>
        </a:xfrm>
        <a:prstGeom prst="rect">
          <a:avLst/>
        </a:prstGeom>
        <a:ln w="0">
          <a:noFill/>
        </a:ln>
      </xdr:spPr>
    </xdr:pic>
    <xdr:clientData/>
  </xdr:twoCellAnchor>
  <xdr:twoCellAnchor editAs="oneCell">
    <xdr:from>
      <xdr:col>9</xdr:col>
      <xdr:colOff>300240</xdr:colOff>
      <xdr:row>103</xdr:row>
      <xdr:rowOff>87840</xdr:rowOff>
    </xdr:from>
    <xdr:to>
      <xdr:col>13</xdr:col>
      <xdr:colOff>25200</xdr:colOff>
      <xdr:row>109</xdr:row>
      <xdr:rowOff>8280</xdr:rowOff>
    </xdr:to>
    <xdr:pic>
      <xdr:nvPicPr>
        <xdr:cNvPr id="72" name="32 Resim" descr="hvac-line_1517302505_i.jpg"/>
        <xdr:cNvPicPr/>
      </xdr:nvPicPr>
      <xdr:blipFill>
        <a:blip xmlns:r="http://schemas.openxmlformats.org/officeDocument/2006/relationships" r:embed="rId5"/>
        <a:srcRect l="4148" t="25745" r="11537" b="13569"/>
        <a:stretch/>
      </xdr:blipFill>
      <xdr:spPr>
        <a:xfrm>
          <a:off x="3250800" y="19253880"/>
          <a:ext cx="1831320" cy="937800"/>
        </a:xfrm>
        <a:prstGeom prst="rect">
          <a:avLst/>
        </a:prstGeom>
        <a:ln w="0">
          <a:noFill/>
        </a:ln>
      </xdr:spPr>
    </xdr:pic>
    <xdr:clientData/>
  </xdr:twoCellAnchor>
  <xdr:twoCellAnchor editAs="oneCell">
    <xdr:from>
      <xdr:col>12</xdr:col>
      <xdr:colOff>458280</xdr:colOff>
      <xdr:row>103</xdr:row>
      <xdr:rowOff>106920</xdr:rowOff>
    </xdr:from>
    <xdr:to>
      <xdr:col>15</xdr:col>
      <xdr:colOff>597240</xdr:colOff>
      <xdr:row>108</xdr:row>
      <xdr:rowOff>98280</xdr:rowOff>
    </xdr:to>
    <xdr:pic>
      <xdr:nvPicPr>
        <xdr:cNvPr id="73" name="33 Resim" descr="red-line-cnc-plazma-kesim-makinasi_1517303086_i.jpg"/>
        <xdr:cNvPicPr/>
      </xdr:nvPicPr>
      <xdr:blipFill>
        <a:blip xmlns:r="http://schemas.openxmlformats.org/officeDocument/2006/relationships" r:embed="rId6"/>
        <a:srcRect l="3501" t="18828" r="3751" b="16334"/>
        <a:stretch/>
      </xdr:blipFill>
      <xdr:spPr>
        <a:xfrm>
          <a:off x="4890240" y="19272960"/>
          <a:ext cx="1630800" cy="818280"/>
        </a:xfrm>
        <a:prstGeom prst="rect">
          <a:avLst/>
        </a:prstGeom>
        <a:ln w="0">
          <a:noFill/>
        </a:ln>
      </xdr:spPr>
    </xdr:pic>
    <xdr:clientData/>
  </xdr:twoCellAnchor>
  <xdr:twoCellAnchor editAs="oneCell">
    <xdr:from>
      <xdr:col>9</xdr:col>
      <xdr:colOff>263880</xdr:colOff>
      <xdr:row>153</xdr:row>
      <xdr:rowOff>175680</xdr:rowOff>
    </xdr:from>
    <xdr:to>
      <xdr:col>12</xdr:col>
      <xdr:colOff>582120</xdr:colOff>
      <xdr:row>159</xdr:row>
      <xdr:rowOff>96120</xdr:rowOff>
    </xdr:to>
    <xdr:pic>
      <xdr:nvPicPr>
        <xdr:cNvPr id="74" name="34 Resim" descr="hvac-line_1517302505_i.jpg"/>
        <xdr:cNvPicPr/>
      </xdr:nvPicPr>
      <xdr:blipFill>
        <a:blip xmlns:r="http://schemas.openxmlformats.org/officeDocument/2006/relationships" r:embed="rId5"/>
        <a:srcRect l="4148" t="25745" r="11537" b="13569"/>
        <a:stretch/>
      </xdr:blipFill>
      <xdr:spPr>
        <a:xfrm>
          <a:off x="3214440" y="28769400"/>
          <a:ext cx="1799640" cy="937800"/>
        </a:xfrm>
        <a:prstGeom prst="rect">
          <a:avLst/>
        </a:prstGeom>
        <a:ln w="0">
          <a:noFill/>
        </a:ln>
      </xdr:spPr>
    </xdr:pic>
    <xdr:clientData/>
  </xdr:twoCellAnchor>
  <xdr:twoCellAnchor editAs="oneCell">
    <xdr:from>
      <xdr:col>12</xdr:col>
      <xdr:colOff>421560</xdr:colOff>
      <xdr:row>154</xdr:row>
      <xdr:rowOff>4320</xdr:rowOff>
    </xdr:from>
    <xdr:to>
      <xdr:col>15</xdr:col>
      <xdr:colOff>560520</xdr:colOff>
      <xdr:row>158</xdr:row>
      <xdr:rowOff>54360</xdr:rowOff>
    </xdr:to>
    <xdr:pic>
      <xdr:nvPicPr>
        <xdr:cNvPr id="75" name="35 Resim" descr="red-line-cnc-plazma-kesim-makinasi_1517303086_i.jpg"/>
        <xdr:cNvPicPr/>
      </xdr:nvPicPr>
      <xdr:blipFill>
        <a:blip xmlns:r="http://schemas.openxmlformats.org/officeDocument/2006/relationships" r:embed="rId6"/>
        <a:srcRect l="3501" t="18828" r="3751" b="16334"/>
        <a:stretch/>
      </xdr:blipFill>
      <xdr:spPr>
        <a:xfrm>
          <a:off x="4853520" y="28788840"/>
          <a:ext cx="1630800" cy="8118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246960</xdr:colOff>
      <xdr:row>116</xdr:row>
      <xdr:rowOff>69120</xdr:rowOff>
    </xdr:from>
    <xdr:to>
      <xdr:col>9</xdr:col>
      <xdr:colOff>441000</xdr:colOff>
      <xdr:row>121</xdr:row>
      <xdr:rowOff>101880</xdr:rowOff>
    </xdr:to>
    <xdr:pic>
      <xdr:nvPicPr>
        <xdr:cNvPr id="7" name="Picture 4"/>
        <xdr:cNvPicPr/>
      </xdr:nvPicPr>
      <xdr:blipFill>
        <a:blip xmlns:r="http://schemas.openxmlformats.org/officeDocument/2006/relationships" r:embed="rId1"/>
        <a:stretch/>
      </xdr:blipFill>
      <xdr:spPr>
        <a:xfrm rot="120000">
          <a:off x="4790880" y="22166640"/>
          <a:ext cx="2460960" cy="985320"/>
        </a:xfrm>
        <a:prstGeom prst="rect">
          <a:avLst/>
        </a:prstGeom>
        <a:ln w="0">
          <a:noFill/>
        </a:ln>
      </xdr:spPr>
    </xdr:pic>
    <xdr:clientData/>
  </xdr:twoCellAnchor>
  <xdr:twoCellAnchor editAs="oneCell">
    <xdr:from>
      <xdr:col>6</xdr:col>
      <xdr:colOff>390600</xdr:colOff>
      <xdr:row>113</xdr:row>
      <xdr:rowOff>43200</xdr:rowOff>
    </xdr:from>
    <xdr:to>
      <xdr:col>9</xdr:col>
      <xdr:colOff>349200</xdr:colOff>
      <xdr:row>117</xdr:row>
      <xdr:rowOff>99360</xdr:rowOff>
    </xdr:to>
    <xdr:pic>
      <xdr:nvPicPr>
        <xdr:cNvPr id="8" name="Picture 2"/>
        <xdr:cNvPicPr/>
      </xdr:nvPicPr>
      <xdr:blipFill>
        <a:blip xmlns:r="http://schemas.openxmlformats.org/officeDocument/2006/relationships" r:embed="rId2"/>
        <a:stretch/>
      </xdr:blipFill>
      <xdr:spPr>
        <a:xfrm>
          <a:off x="4934520" y="21569400"/>
          <a:ext cx="2225520" cy="818280"/>
        </a:xfrm>
        <a:prstGeom prst="rect">
          <a:avLst/>
        </a:prstGeom>
        <a:ln w="0">
          <a:noFill/>
        </a:ln>
      </xdr:spPr>
    </xdr:pic>
    <xdr:clientData/>
  </xdr:twoCellAnchor>
  <xdr:twoCellAnchor editAs="oneCell">
    <xdr:from>
      <xdr:col>1</xdr:col>
      <xdr:colOff>103320</xdr:colOff>
      <xdr:row>1</xdr:row>
      <xdr:rowOff>171000</xdr:rowOff>
    </xdr:from>
    <xdr:to>
      <xdr:col>3</xdr:col>
      <xdr:colOff>205560</xdr:colOff>
      <xdr:row>3</xdr:row>
      <xdr:rowOff>139320</xdr:rowOff>
    </xdr:to>
    <xdr:pic>
      <xdr:nvPicPr>
        <xdr:cNvPr id="9" name="Resim 3"/>
        <xdr:cNvPicPr/>
      </xdr:nvPicPr>
      <xdr:blipFill>
        <a:blip xmlns:r="http://schemas.openxmlformats.org/officeDocument/2006/relationships" r:embed="rId3"/>
        <a:stretch/>
      </xdr:blipFill>
      <xdr:spPr>
        <a:xfrm>
          <a:off x="858960" y="361440"/>
          <a:ext cx="1613520" cy="349200"/>
        </a:xfrm>
        <a:prstGeom prst="rect">
          <a:avLst/>
        </a:prstGeom>
        <a:ln w="0">
          <a:noFill/>
        </a:ln>
      </xdr:spPr>
    </xdr:pic>
    <xdr:clientData/>
  </xdr:twoCellAnchor>
  <xdr:twoCellAnchor>
    <xdr:from>
      <xdr:col>11</xdr:col>
      <xdr:colOff>281520</xdr:colOff>
      <xdr:row>2</xdr:row>
      <xdr:rowOff>49680</xdr:rowOff>
    </xdr:from>
    <xdr:to>
      <xdr:col>14</xdr:col>
      <xdr:colOff>565560</xdr:colOff>
      <xdr:row>5</xdr:row>
      <xdr:rowOff>10080</xdr:rowOff>
    </xdr:to>
    <xdr:sp macro="" textlink="">
      <xdr:nvSpPr>
        <xdr:cNvPr id="10" name="32 Dikdörtgen">
          <a:hlinkClick xmlns:r="http://schemas.openxmlformats.org/officeDocument/2006/relationships" r:id="rId4"/>
        </xdr:cNvPr>
        <xdr:cNvSpPr/>
      </xdr:nvSpPr>
      <xdr:spPr>
        <a:xfrm>
          <a:off x="8493120" y="430560"/>
          <a:ext cx="2127960" cy="53172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BİLGİ GİRİŞ SAYFASI</a:t>
          </a:r>
          <a:endParaRPr lang="tr-TR" sz="2000" b="0" strike="noStrike" spc="-1">
            <a:latin typeface="Times New Roman"/>
          </a:endParaRPr>
        </a:p>
      </xdr:txBody>
    </xdr:sp>
    <xdr:clientData/>
  </xdr:twoCellAnchor>
  <xdr:twoCellAnchor>
    <xdr:from>
      <xdr:col>11</xdr:col>
      <xdr:colOff>283320</xdr:colOff>
      <xdr:row>5</xdr:row>
      <xdr:rowOff>129600</xdr:rowOff>
    </xdr:from>
    <xdr:to>
      <xdr:col>14</xdr:col>
      <xdr:colOff>544680</xdr:colOff>
      <xdr:row>11</xdr:row>
      <xdr:rowOff>15480</xdr:rowOff>
    </xdr:to>
    <xdr:sp macro="" textlink="">
      <xdr:nvSpPr>
        <xdr:cNvPr id="11" name="33 Dikdörtgen">
          <a:hlinkClick xmlns:r="http://schemas.openxmlformats.org/officeDocument/2006/relationships" r:id="rId4"/>
        </xdr:cNvPr>
        <xdr:cNvSpPr/>
      </xdr:nvSpPr>
      <xdr:spPr>
        <a:xfrm>
          <a:off x="8494920" y="1081800"/>
          <a:ext cx="2105280" cy="102888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BİLGİ GİRİŞ SAYFASI</a:t>
          </a:r>
          <a:endParaRPr lang="tr-TR" sz="2000" b="0" strike="noStrike" spc="-1">
            <a:latin typeface="Times New Roman"/>
          </a:endParaRPr>
        </a:p>
      </xdr:txBody>
    </xdr:sp>
    <xdr:clientData/>
  </xdr:twoCellAnchor>
  <xdr:twoCellAnchor editAs="oneCell">
    <xdr:from>
      <xdr:col>1</xdr:col>
      <xdr:colOff>103320</xdr:colOff>
      <xdr:row>63</xdr:row>
      <xdr:rowOff>171000</xdr:rowOff>
    </xdr:from>
    <xdr:to>
      <xdr:col>3</xdr:col>
      <xdr:colOff>118800</xdr:colOff>
      <xdr:row>65</xdr:row>
      <xdr:rowOff>139320</xdr:rowOff>
    </xdr:to>
    <xdr:pic>
      <xdr:nvPicPr>
        <xdr:cNvPr id="12" name="Resim 3"/>
        <xdr:cNvPicPr/>
      </xdr:nvPicPr>
      <xdr:blipFill>
        <a:blip xmlns:r="http://schemas.openxmlformats.org/officeDocument/2006/relationships" r:embed="rId3"/>
        <a:stretch/>
      </xdr:blipFill>
      <xdr:spPr>
        <a:xfrm>
          <a:off x="858960" y="12172320"/>
          <a:ext cx="1526760" cy="34920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246960</xdr:colOff>
      <xdr:row>116</xdr:row>
      <xdr:rowOff>69120</xdr:rowOff>
    </xdr:from>
    <xdr:to>
      <xdr:col>9</xdr:col>
      <xdr:colOff>441000</xdr:colOff>
      <xdr:row>121</xdr:row>
      <xdr:rowOff>101880</xdr:rowOff>
    </xdr:to>
    <xdr:pic>
      <xdr:nvPicPr>
        <xdr:cNvPr id="13" name="Picture 4"/>
        <xdr:cNvPicPr/>
      </xdr:nvPicPr>
      <xdr:blipFill>
        <a:blip xmlns:r="http://schemas.openxmlformats.org/officeDocument/2006/relationships" r:embed="rId1"/>
        <a:stretch/>
      </xdr:blipFill>
      <xdr:spPr>
        <a:xfrm rot="120000">
          <a:off x="4801680" y="22166640"/>
          <a:ext cx="2460960" cy="985320"/>
        </a:xfrm>
        <a:prstGeom prst="rect">
          <a:avLst/>
        </a:prstGeom>
        <a:ln w="0">
          <a:noFill/>
        </a:ln>
      </xdr:spPr>
    </xdr:pic>
    <xdr:clientData/>
  </xdr:twoCellAnchor>
  <xdr:twoCellAnchor editAs="oneCell">
    <xdr:from>
      <xdr:col>6</xdr:col>
      <xdr:colOff>390600</xdr:colOff>
      <xdr:row>113</xdr:row>
      <xdr:rowOff>43200</xdr:rowOff>
    </xdr:from>
    <xdr:to>
      <xdr:col>9</xdr:col>
      <xdr:colOff>349200</xdr:colOff>
      <xdr:row>117</xdr:row>
      <xdr:rowOff>99360</xdr:rowOff>
    </xdr:to>
    <xdr:pic>
      <xdr:nvPicPr>
        <xdr:cNvPr id="14" name="Picture 2"/>
        <xdr:cNvPicPr/>
      </xdr:nvPicPr>
      <xdr:blipFill>
        <a:blip xmlns:r="http://schemas.openxmlformats.org/officeDocument/2006/relationships" r:embed="rId2"/>
        <a:stretch/>
      </xdr:blipFill>
      <xdr:spPr>
        <a:xfrm>
          <a:off x="4945320" y="21569400"/>
          <a:ext cx="2225520" cy="818280"/>
        </a:xfrm>
        <a:prstGeom prst="rect">
          <a:avLst/>
        </a:prstGeom>
        <a:ln w="0">
          <a:noFill/>
        </a:ln>
      </xdr:spPr>
    </xdr:pic>
    <xdr:clientData/>
  </xdr:twoCellAnchor>
  <xdr:twoCellAnchor editAs="oneCell">
    <xdr:from>
      <xdr:col>1</xdr:col>
      <xdr:colOff>103320</xdr:colOff>
      <xdr:row>1</xdr:row>
      <xdr:rowOff>171000</xdr:rowOff>
    </xdr:from>
    <xdr:to>
      <xdr:col>3</xdr:col>
      <xdr:colOff>205560</xdr:colOff>
      <xdr:row>3</xdr:row>
      <xdr:rowOff>139320</xdr:rowOff>
    </xdr:to>
    <xdr:pic>
      <xdr:nvPicPr>
        <xdr:cNvPr id="15" name="Resim 3"/>
        <xdr:cNvPicPr/>
      </xdr:nvPicPr>
      <xdr:blipFill>
        <a:blip xmlns:r="http://schemas.openxmlformats.org/officeDocument/2006/relationships" r:embed="rId3"/>
        <a:stretch/>
      </xdr:blipFill>
      <xdr:spPr>
        <a:xfrm>
          <a:off x="858960" y="361440"/>
          <a:ext cx="1613520" cy="349200"/>
        </a:xfrm>
        <a:prstGeom prst="rect">
          <a:avLst/>
        </a:prstGeom>
        <a:ln w="0">
          <a:noFill/>
        </a:ln>
      </xdr:spPr>
    </xdr:pic>
    <xdr:clientData/>
  </xdr:twoCellAnchor>
  <xdr:twoCellAnchor>
    <xdr:from>
      <xdr:col>11</xdr:col>
      <xdr:colOff>281520</xdr:colOff>
      <xdr:row>2</xdr:row>
      <xdr:rowOff>49680</xdr:rowOff>
    </xdr:from>
    <xdr:to>
      <xdr:col>14</xdr:col>
      <xdr:colOff>565560</xdr:colOff>
      <xdr:row>5</xdr:row>
      <xdr:rowOff>10080</xdr:rowOff>
    </xdr:to>
    <xdr:sp macro="" textlink="">
      <xdr:nvSpPr>
        <xdr:cNvPr id="16" name="32 Dikdörtgen">
          <a:hlinkClick xmlns:r="http://schemas.openxmlformats.org/officeDocument/2006/relationships" r:id="rId4"/>
        </xdr:cNvPr>
        <xdr:cNvSpPr/>
      </xdr:nvSpPr>
      <xdr:spPr>
        <a:xfrm>
          <a:off x="8483760" y="430560"/>
          <a:ext cx="2219400" cy="53172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BİLGİ GİRİŞ SAYFASI</a:t>
          </a:r>
          <a:endParaRPr lang="tr-TR" sz="2000" b="0" strike="noStrike" spc="-1">
            <a:latin typeface="Times New Roman"/>
          </a:endParaRPr>
        </a:p>
      </xdr:txBody>
    </xdr:sp>
    <xdr:clientData/>
  </xdr:twoCellAnchor>
  <xdr:twoCellAnchor>
    <xdr:from>
      <xdr:col>11</xdr:col>
      <xdr:colOff>588240</xdr:colOff>
      <xdr:row>64</xdr:row>
      <xdr:rowOff>24840</xdr:rowOff>
    </xdr:from>
    <xdr:to>
      <xdr:col>15</xdr:col>
      <xdr:colOff>259200</xdr:colOff>
      <xdr:row>69</xdr:row>
      <xdr:rowOff>101160</xdr:rowOff>
    </xdr:to>
    <xdr:sp macro="" textlink="">
      <xdr:nvSpPr>
        <xdr:cNvPr id="17" name="33 Dikdörtgen">
          <a:hlinkClick xmlns:r="http://schemas.openxmlformats.org/officeDocument/2006/relationships" r:id="rId4"/>
        </xdr:cNvPr>
        <xdr:cNvSpPr/>
      </xdr:nvSpPr>
      <xdr:spPr>
        <a:xfrm>
          <a:off x="8790480" y="12216600"/>
          <a:ext cx="2251440" cy="102888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BİLGİ GİRİŞ SAYFASI</a:t>
          </a:r>
          <a:endParaRPr lang="tr-TR" sz="2000" b="0" strike="noStrike" spc="-1">
            <a:latin typeface="Times New Roman"/>
          </a:endParaRPr>
        </a:p>
      </xdr:txBody>
    </xdr:sp>
    <xdr:clientData/>
  </xdr:twoCellAnchor>
  <xdr:twoCellAnchor editAs="oneCell">
    <xdr:from>
      <xdr:col>1</xdr:col>
      <xdr:colOff>103320</xdr:colOff>
      <xdr:row>63</xdr:row>
      <xdr:rowOff>171000</xdr:rowOff>
    </xdr:from>
    <xdr:to>
      <xdr:col>3</xdr:col>
      <xdr:colOff>118800</xdr:colOff>
      <xdr:row>65</xdr:row>
      <xdr:rowOff>139320</xdr:rowOff>
    </xdr:to>
    <xdr:pic>
      <xdr:nvPicPr>
        <xdr:cNvPr id="18" name="Resim 3"/>
        <xdr:cNvPicPr/>
      </xdr:nvPicPr>
      <xdr:blipFill>
        <a:blip xmlns:r="http://schemas.openxmlformats.org/officeDocument/2006/relationships" r:embed="rId3"/>
        <a:stretch/>
      </xdr:blipFill>
      <xdr:spPr>
        <a:xfrm>
          <a:off x="858960" y="12172320"/>
          <a:ext cx="1526760" cy="34920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246960</xdr:colOff>
      <xdr:row>116</xdr:row>
      <xdr:rowOff>69120</xdr:rowOff>
    </xdr:from>
    <xdr:to>
      <xdr:col>9</xdr:col>
      <xdr:colOff>441000</xdr:colOff>
      <xdr:row>121</xdr:row>
      <xdr:rowOff>101880</xdr:rowOff>
    </xdr:to>
    <xdr:pic>
      <xdr:nvPicPr>
        <xdr:cNvPr id="19" name="Picture 4"/>
        <xdr:cNvPicPr/>
      </xdr:nvPicPr>
      <xdr:blipFill>
        <a:blip xmlns:r="http://schemas.openxmlformats.org/officeDocument/2006/relationships" r:embed="rId1"/>
        <a:stretch/>
      </xdr:blipFill>
      <xdr:spPr>
        <a:xfrm rot="120000">
          <a:off x="4801680" y="22166640"/>
          <a:ext cx="2460960" cy="985320"/>
        </a:xfrm>
        <a:prstGeom prst="rect">
          <a:avLst/>
        </a:prstGeom>
        <a:ln w="0">
          <a:noFill/>
        </a:ln>
      </xdr:spPr>
    </xdr:pic>
    <xdr:clientData/>
  </xdr:twoCellAnchor>
  <xdr:twoCellAnchor editAs="oneCell">
    <xdr:from>
      <xdr:col>6</xdr:col>
      <xdr:colOff>390600</xdr:colOff>
      <xdr:row>113</xdr:row>
      <xdr:rowOff>43200</xdr:rowOff>
    </xdr:from>
    <xdr:to>
      <xdr:col>9</xdr:col>
      <xdr:colOff>349200</xdr:colOff>
      <xdr:row>117</xdr:row>
      <xdr:rowOff>99360</xdr:rowOff>
    </xdr:to>
    <xdr:pic>
      <xdr:nvPicPr>
        <xdr:cNvPr id="20" name="Picture 2"/>
        <xdr:cNvPicPr/>
      </xdr:nvPicPr>
      <xdr:blipFill>
        <a:blip xmlns:r="http://schemas.openxmlformats.org/officeDocument/2006/relationships" r:embed="rId2"/>
        <a:stretch/>
      </xdr:blipFill>
      <xdr:spPr>
        <a:xfrm>
          <a:off x="4945320" y="21569400"/>
          <a:ext cx="2225520" cy="818280"/>
        </a:xfrm>
        <a:prstGeom prst="rect">
          <a:avLst/>
        </a:prstGeom>
        <a:ln w="0">
          <a:noFill/>
        </a:ln>
      </xdr:spPr>
    </xdr:pic>
    <xdr:clientData/>
  </xdr:twoCellAnchor>
  <xdr:twoCellAnchor editAs="oneCell">
    <xdr:from>
      <xdr:col>1</xdr:col>
      <xdr:colOff>103320</xdr:colOff>
      <xdr:row>1</xdr:row>
      <xdr:rowOff>171000</xdr:rowOff>
    </xdr:from>
    <xdr:to>
      <xdr:col>3</xdr:col>
      <xdr:colOff>205560</xdr:colOff>
      <xdr:row>3</xdr:row>
      <xdr:rowOff>139320</xdr:rowOff>
    </xdr:to>
    <xdr:pic>
      <xdr:nvPicPr>
        <xdr:cNvPr id="21" name="Resim 3"/>
        <xdr:cNvPicPr/>
      </xdr:nvPicPr>
      <xdr:blipFill>
        <a:blip xmlns:r="http://schemas.openxmlformats.org/officeDocument/2006/relationships" r:embed="rId3"/>
        <a:stretch/>
      </xdr:blipFill>
      <xdr:spPr>
        <a:xfrm>
          <a:off x="858960" y="361440"/>
          <a:ext cx="1613520" cy="349200"/>
        </a:xfrm>
        <a:prstGeom prst="rect">
          <a:avLst/>
        </a:prstGeom>
        <a:ln w="0">
          <a:noFill/>
        </a:ln>
      </xdr:spPr>
    </xdr:pic>
    <xdr:clientData/>
  </xdr:twoCellAnchor>
  <xdr:twoCellAnchor>
    <xdr:from>
      <xdr:col>11</xdr:col>
      <xdr:colOff>281520</xdr:colOff>
      <xdr:row>2</xdr:row>
      <xdr:rowOff>49680</xdr:rowOff>
    </xdr:from>
    <xdr:to>
      <xdr:col>14</xdr:col>
      <xdr:colOff>565560</xdr:colOff>
      <xdr:row>5</xdr:row>
      <xdr:rowOff>10080</xdr:rowOff>
    </xdr:to>
    <xdr:sp macro="" textlink="">
      <xdr:nvSpPr>
        <xdr:cNvPr id="22" name="32 Dikdörtgen">
          <a:hlinkClick xmlns:r="http://schemas.openxmlformats.org/officeDocument/2006/relationships" r:id="rId4"/>
        </xdr:cNvPr>
        <xdr:cNvSpPr/>
      </xdr:nvSpPr>
      <xdr:spPr>
        <a:xfrm>
          <a:off x="8483760" y="430560"/>
          <a:ext cx="2219400" cy="53172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BİLGİ GİRİŞ SAYFASI</a:t>
          </a:r>
          <a:endParaRPr lang="tr-TR" sz="2000" b="0" strike="noStrike" spc="-1">
            <a:latin typeface="Times New Roman"/>
          </a:endParaRPr>
        </a:p>
      </xdr:txBody>
    </xdr:sp>
    <xdr:clientData/>
  </xdr:twoCellAnchor>
  <xdr:twoCellAnchor>
    <xdr:from>
      <xdr:col>11</xdr:col>
      <xdr:colOff>588240</xdr:colOff>
      <xdr:row>64</xdr:row>
      <xdr:rowOff>24840</xdr:rowOff>
    </xdr:from>
    <xdr:to>
      <xdr:col>15</xdr:col>
      <xdr:colOff>259200</xdr:colOff>
      <xdr:row>69</xdr:row>
      <xdr:rowOff>101160</xdr:rowOff>
    </xdr:to>
    <xdr:sp macro="" textlink="">
      <xdr:nvSpPr>
        <xdr:cNvPr id="23" name="33 Dikdörtgen">
          <a:hlinkClick xmlns:r="http://schemas.openxmlformats.org/officeDocument/2006/relationships" r:id="rId4"/>
        </xdr:cNvPr>
        <xdr:cNvSpPr/>
      </xdr:nvSpPr>
      <xdr:spPr>
        <a:xfrm>
          <a:off x="8790480" y="12216600"/>
          <a:ext cx="2251440" cy="102888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BİLGİ GİRİŞ SAYFASI</a:t>
          </a:r>
          <a:endParaRPr lang="tr-TR" sz="2000" b="0" strike="noStrike" spc="-1">
            <a:latin typeface="Times New Roman"/>
          </a:endParaRPr>
        </a:p>
      </xdr:txBody>
    </xdr:sp>
    <xdr:clientData/>
  </xdr:twoCellAnchor>
  <xdr:twoCellAnchor editAs="oneCell">
    <xdr:from>
      <xdr:col>1</xdr:col>
      <xdr:colOff>103320</xdr:colOff>
      <xdr:row>63</xdr:row>
      <xdr:rowOff>171000</xdr:rowOff>
    </xdr:from>
    <xdr:to>
      <xdr:col>3</xdr:col>
      <xdr:colOff>118800</xdr:colOff>
      <xdr:row>65</xdr:row>
      <xdr:rowOff>139320</xdr:rowOff>
    </xdr:to>
    <xdr:pic>
      <xdr:nvPicPr>
        <xdr:cNvPr id="24" name="Resim 3"/>
        <xdr:cNvPicPr/>
      </xdr:nvPicPr>
      <xdr:blipFill>
        <a:blip xmlns:r="http://schemas.openxmlformats.org/officeDocument/2006/relationships" r:embed="rId3"/>
        <a:stretch/>
      </xdr:blipFill>
      <xdr:spPr>
        <a:xfrm>
          <a:off x="858960" y="12172320"/>
          <a:ext cx="1526760" cy="34920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246960</xdr:colOff>
      <xdr:row>116</xdr:row>
      <xdr:rowOff>69120</xdr:rowOff>
    </xdr:from>
    <xdr:to>
      <xdr:col>9</xdr:col>
      <xdr:colOff>441000</xdr:colOff>
      <xdr:row>121</xdr:row>
      <xdr:rowOff>101880</xdr:rowOff>
    </xdr:to>
    <xdr:pic>
      <xdr:nvPicPr>
        <xdr:cNvPr id="25" name="Picture 4"/>
        <xdr:cNvPicPr/>
      </xdr:nvPicPr>
      <xdr:blipFill>
        <a:blip xmlns:r="http://schemas.openxmlformats.org/officeDocument/2006/relationships" r:embed="rId1"/>
        <a:stretch/>
      </xdr:blipFill>
      <xdr:spPr>
        <a:xfrm rot="120000">
          <a:off x="4801680" y="22166640"/>
          <a:ext cx="2460960" cy="985320"/>
        </a:xfrm>
        <a:prstGeom prst="rect">
          <a:avLst/>
        </a:prstGeom>
        <a:ln w="0">
          <a:noFill/>
        </a:ln>
      </xdr:spPr>
    </xdr:pic>
    <xdr:clientData/>
  </xdr:twoCellAnchor>
  <xdr:twoCellAnchor editAs="oneCell">
    <xdr:from>
      <xdr:col>6</xdr:col>
      <xdr:colOff>390600</xdr:colOff>
      <xdr:row>113</xdr:row>
      <xdr:rowOff>43200</xdr:rowOff>
    </xdr:from>
    <xdr:to>
      <xdr:col>9</xdr:col>
      <xdr:colOff>349200</xdr:colOff>
      <xdr:row>117</xdr:row>
      <xdr:rowOff>99360</xdr:rowOff>
    </xdr:to>
    <xdr:pic>
      <xdr:nvPicPr>
        <xdr:cNvPr id="26" name="Picture 2"/>
        <xdr:cNvPicPr/>
      </xdr:nvPicPr>
      <xdr:blipFill>
        <a:blip xmlns:r="http://schemas.openxmlformats.org/officeDocument/2006/relationships" r:embed="rId2"/>
        <a:stretch/>
      </xdr:blipFill>
      <xdr:spPr>
        <a:xfrm>
          <a:off x="4945320" y="21569400"/>
          <a:ext cx="2225520" cy="818280"/>
        </a:xfrm>
        <a:prstGeom prst="rect">
          <a:avLst/>
        </a:prstGeom>
        <a:ln w="0">
          <a:noFill/>
        </a:ln>
      </xdr:spPr>
    </xdr:pic>
    <xdr:clientData/>
  </xdr:twoCellAnchor>
  <xdr:twoCellAnchor editAs="oneCell">
    <xdr:from>
      <xdr:col>1</xdr:col>
      <xdr:colOff>103320</xdr:colOff>
      <xdr:row>1</xdr:row>
      <xdr:rowOff>171000</xdr:rowOff>
    </xdr:from>
    <xdr:to>
      <xdr:col>3</xdr:col>
      <xdr:colOff>205560</xdr:colOff>
      <xdr:row>3</xdr:row>
      <xdr:rowOff>139320</xdr:rowOff>
    </xdr:to>
    <xdr:pic>
      <xdr:nvPicPr>
        <xdr:cNvPr id="27" name="Resim 3"/>
        <xdr:cNvPicPr/>
      </xdr:nvPicPr>
      <xdr:blipFill>
        <a:blip xmlns:r="http://schemas.openxmlformats.org/officeDocument/2006/relationships" r:embed="rId3"/>
        <a:stretch/>
      </xdr:blipFill>
      <xdr:spPr>
        <a:xfrm>
          <a:off x="858960" y="361440"/>
          <a:ext cx="1613520" cy="349200"/>
        </a:xfrm>
        <a:prstGeom prst="rect">
          <a:avLst/>
        </a:prstGeom>
        <a:ln w="0">
          <a:noFill/>
        </a:ln>
      </xdr:spPr>
    </xdr:pic>
    <xdr:clientData/>
  </xdr:twoCellAnchor>
  <xdr:twoCellAnchor>
    <xdr:from>
      <xdr:col>11</xdr:col>
      <xdr:colOff>281520</xdr:colOff>
      <xdr:row>2</xdr:row>
      <xdr:rowOff>49680</xdr:rowOff>
    </xdr:from>
    <xdr:to>
      <xdr:col>14</xdr:col>
      <xdr:colOff>565560</xdr:colOff>
      <xdr:row>5</xdr:row>
      <xdr:rowOff>10080</xdr:rowOff>
    </xdr:to>
    <xdr:sp macro="" textlink="">
      <xdr:nvSpPr>
        <xdr:cNvPr id="28" name="32 Dikdörtgen">
          <a:hlinkClick xmlns:r="http://schemas.openxmlformats.org/officeDocument/2006/relationships" r:id="rId4"/>
        </xdr:cNvPr>
        <xdr:cNvSpPr/>
      </xdr:nvSpPr>
      <xdr:spPr>
        <a:xfrm>
          <a:off x="8483760" y="430560"/>
          <a:ext cx="2219400" cy="53172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BİLGİ GİRİŞ SAYFASI</a:t>
          </a:r>
          <a:endParaRPr lang="tr-TR" sz="2000" b="0" strike="noStrike" spc="-1">
            <a:latin typeface="Times New Roman"/>
          </a:endParaRPr>
        </a:p>
      </xdr:txBody>
    </xdr:sp>
    <xdr:clientData/>
  </xdr:twoCellAnchor>
  <xdr:twoCellAnchor>
    <xdr:from>
      <xdr:col>11</xdr:col>
      <xdr:colOff>588240</xdr:colOff>
      <xdr:row>64</xdr:row>
      <xdr:rowOff>24840</xdr:rowOff>
    </xdr:from>
    <xdr:to>
      <xdr:col>15</xdr:col>
      <xdr:colOff>259200</xdr:colOff>
      <xdr:row>69</xdr:row>
      <xdr:rowOff>101160</xdr:rowOff>
    </xdr:to>
    <xdr:sp macro="" textlink="">
      <xdr:nvSpPr>
        <xdr:cNvPr id="29" name="33 Dikdörtgen">
          <a:hlinkClick xmlns:r="http://schemas.openxmlformats.org/officeDocument/2006/relationships" r:id="rId4"/>
        </xdr:cNvPr>
        <xdr:cNvSpPr/>
      </xdr:nvSpPr>
      <xdr:spPr>
        <a:xfrm>
          <a:off x="8790480" y="12216600"/>
          <a:ext cx="2251440" cy="102888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BİLGİ GİRİŞ SAYFASI</a:t>
          </a:r>
          <a:endParaRPr lang="tr-TR" sz="2000" b="0" strike="noStrike" spc="-1">
            <a:latin typeface="Times New Roman"/>
          </a:endParaRPr>
        </a:p>
      </xdr:txBody>
    </xdr:sp>
    <xdr:clientData/>
  </xdr:twoCellAnchor>
  <xdr:twoCellAnchor editAs="oneCell">
    <xdr:from>
      <xdr:col>1</xdr:col>
      <xdr:colOff>103320</xdr:colOff>
      <xdr:row>63</xdr:row>
      <xdr:rowOff>171000</xdr:rowOff>
    </xdr:from>
    <xdr:to>
      <xdr:col>3</xdr:col>
      <xdr:colOff>118800</xdr:colOff>
      <xdr:row>65</xdr:row>
      <xdr:rowOff>139320</xdr:rowOff>
    </xdr:to>
    <xdr:pic>
      <xdr:nvPicPr>
        <xdr:cNvPr id="30" name="Resim 3"/>
        <xdr:cNvPicPr/>
      </xdr:nvPicPr>
      <xdr:blipFill>
        <a:blip xmlns:r="http://schemas.openxmlformats.org/officeDocument/2006/relationships" r:embed="rId3"/>
        <a:stretch/>
      </xdr:blipFill>
      <xdr:spPr>
        <a:xfrm>
          <a:off x="858960" y="12172320"/>
          <a:ext cx="1526760" cy="34920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114480</xdr:rowOff>
    </xdr:from>
    <xdr:to>
      <xdr:col>4</xdr:col>
      <xdr:colOff>888840</xdr:colOff>
      <xdr:row>5</xdr:row>
      <xdr:rowOff>103680</xdr:rowOff>
    </xdr:to>
    <xdr:pic>
      <xdr:nvPicPr>
        <xdr:cNvPr id="31" name="Resim 1"/>
        <xdr:cNvPicPr/>
      </xdr:nvPicPr>
      <xdr:blipFill>
        <a:blip xmlns:r="http://schemas.openxmlformats.org/officeDocument/2006/relationships" r:embed="rId1"/>
        <a:stretch/>
      </xdr:blipFill>
      <xdr:spPr>
        <a:xfrm>
          <a:off x="0" y="304920"/>
          <a:ext cx="3619800" cy="750960"/>
        </a:xfrm>
        <a:prstGeom prst="rect">
          <a:avLst/>
        </a:prstGeom>
        <a:ln w="0">
          <a:noFill/>
        </a:ln>
      </xdr:spPr>
    </xdr:pic>
    <xdr:clientData/>
  </xdr:twoCellAnchor>
  <xdr:twoCellAnchor editAs="oneCell">
    <xdr:from>
      <xdr:col>6</xdr:col>
      <xdr:colOff>648000</xdr:colOff>
      <xdr:row>41</xdr:row>
      <xdr:rowOff>57600</xdr:rowOff>
    </xdr:from>
    <xdr:to>
      <xdr:col>9</xdr:col>
      <xdr:colOff>767520</xdr:colOff>
      <xdr:row>46</xdr:row>
      <xdr:rowOff>90360</xdr:rowOff>
    </xdr:to>
    <xdr:pic>
      <xdr:nvPicPr>
        <xdr:cNvPr id="32" name="Picture 4"/>
        <xdr:cNvPicPr/>
      </xdr:nvPicPr>
      <xdr:blipFill>
        <a:blip xmlns:r="http://schemas.openxmlformats.org/officeDocument/2006/relationships" r:embed="rId2"/>
        <a:stretch/>
      </xdr:blipFill>
      <xdr:spPr>
        <a:xfrm rot="120000">
          <a:off x="4951800" y="9115200"/>
          <a:ext cx="2498400" cy="985320"/>
        </a:xfrm>
        <a:prstGeom prst="rect">
          <a:avLst/>
        </a:prstGeom>
        <a:ln w="0">
          <a:noFill/>
        </a:ln>
      </xdr:spPr>
    </xdr:pic>
    <xdr:clientData/>
  </xdr:twoCellAnchor>
  <xdr:twoCellAnchor editAs="oneCell">
    <xdr:from>
      <xdr:col>7</xdr:col>
      <xdr:colOff>129960</xdr:colOff>
      <xdr:row>38</xdr:row>
      <xdr:rowOff>95400</xdr:rowOff>
    </xdr:from>
    <xdr:to>
      <xdr:col>9</xdr:col>
      <xdr:colOff>676080</xdr:colOff>
      <xdr:row>42</xdr:row>
      <xdr:rowOff>151560</xdr:rowOff>
    </xdr:to>
    <xdr:pic>
      <xdr:nvPicPr>
        <xdr:cNvPr id="33" name="Picture 2"/>
        <xdr:cNvPicPr/>
      </xdr:nvPicPr>
      <xdr:blipFill>
        <a:blip xmlns:r="http://schemas.openxmlformats.org/officeDocument/2006/relationships" r:embed="rId3"/>
        <a:stretch/>
      </xdr:blipFill>
      <xdr:spPr>
        <a:xfrm>
          <a:off x="5139360" y="8582040"/>
          <a:ext cx="2219400" cy="818280"/>
        </a:xfrm>
        <a:prstGeom prst="rect">
          <a:avLst/>
        </a:prstGeom>
        <a:ln w="0">
          <a:noFill/>
        </a:ln>
      </xdr:spPr>
    </xdr:pic>
    <xdr:clientData/>
  </xdr:twoCellAnchor>
  <xdr:twoCellAnchor>
    <xdr:from>
      <xdr:col>12</xdr:col>
      <xdr:colOff>0</xdr:colOff>
      <xdr:row>4</xdr:row>
      <xdr:rowOff>0</xdr:rowOff>
    </xdr:from>
    <xdr:to>
      <xdr:col>15</xdr:col>
      <xdr:colOff>293760</xdr:colOff>
      <xdr:row>7</xdr:row>
      <xdr:rowOff>150840</xdr:rowOff>
    </xdr:to>
    <xdr:sp macro="" textlink="">
      <xdr:nvSpPr>
        <xdr:cNvPr id="34" name="5 Dikdörtgen">
          <a:hlinkClick xmlns:r="http://schemas.openxmlformats.org/officeDocument/2006/relationships" r:id="rId4"/>
        </xdr:cNvPr>
        <xdr:cNvSpPr/>
      </xdr:nvSpPr>
      <xdr:spPr>
        <a:xfrm>
          <a:off x="9122400" y="761760"/>
          <a:ext cx="2229120" cy="72252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BİLGİ GİRİŞ SAYFASI</a:t>
          </a:r>
          <a:endParaRPr lang="tr-TR" sz="20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114480</xdr:rowOff>
    </xdr:from>
    <xdr:to>
      <xdr:col>4</xdr:col>
      <xdr:colOff>888840</xdr:colOff>
      <xdr:row>5</xdr:row>
      <xdr:rowOff>103680</xdr:rowOff>
    </xdr:to>
    <xdr:pic>
      <xdr:nvPicPr>
        <xdr:cNvPr id="35" name="Resim 2"/>
        <xdr:cNvPicPr/>
      </xdr:nvPicPr>
      <xdr:blipFill>
        <a:blip xmlns:r="http://schemas.openxmlformats.org/officeDocument/2006/relationships" r:embed="rId1"/>
        <a:stretch/>
      </xdr:blipFill>
      <xdr:spPr>
        <a:xfrm>
          <a:off x="0" y="304920"/>
          <a:ext cx="3619800" cy="750960"/>
        </a:xfrm>
        <a:prstGeom prst="rect">
          <a:avLst/>
        </a:prstGeom>
        <a:ln w="0">
          <a:noFill/>
        </a:ln>
      </xdr:spPr>
    </xdr:pic>
    <xdr:clientData/>
  </xdr:twoCellAnchor>
  <xdr:twoCellAnchor editAs="oneCell">
    <xdr:from>
      <xdr:col>6</xdr:col>
      <xdr:colOff>648000</xdr:colOff>
      <xdr:row>41</xdr:row>
      <xdr:rowOff>57600</xdr:rowOff>
    </xdr:from>
    <xdr:to>
      <xdr:col>9</xdr:col>
      <xdr:colOff>767520</xdr:colOff>
      <xdr:row>46</xdr:row>
      <xdr:rowOff>90360</xdr:rowOff>
    </xdr:to>
    <xdr:pic>
      <xdr:nvPicPr>
        <xdr:cNvPr id="36" name="Picture 1"/>
        <xdr:cNvPicPr/>
      </xdr:nvPicPr>
      <xdr:blipFill>
        <a:blip xmlns:r="http://schemas.openxmlformats.org/officeDocument/2006/relationships" r:embed="rId2"/>
        <a:stretch/>
      </xdr:blipFill>
      <xdr:spPr>
        <a:xfrm rot="120000">
          <a:off x="4951800" y="9115200"/>
          <a:ext cx="2498400" cy="985320"/>
        </a:xfrm>
        <a:prstGeom prst="rect">
          <a:avLst/>
        </a:prstGeom>
        <a:ln w="0">
          <a:noFill/>
        </a:ln>
      </xdr:spPr>
    </xdr:pic>
    <xdr:clientData/>
  </xdr:twoCellAnchor>
  <xdr:twoCellAnchor editAs="oneCell">
    <xdr:from>
      <xdr:col>7</xdr:col>
      <xdr:colOff>129960</xdr:colOff>
      <xdr:row>38</xdr:row>
      <xdr:rowOff>95400</xdr:rowOff>
    </xdr:from>
    <xdr:to>
      <xdr:col>9</xdr:col>
      <xdr:colOff>676080</xdr:colOff>
      <xdr:row>42</xdr:row>
      <xdr:rowOff>151560</xdr:rowOff>
    </xdr:to>
    <xdr:pic>
      <xdr:nvPicPr>
        <xdr:cNvPr id="37" name="Picture 3"/>
        <xdr:cNvPicPr/>
      </xdr:nvPicPr>
      <xdr:blipFill>
        <a:blip xmlns:r="http://schemas.openxmlformats.org/officeDocument/2006/relationships" r:embed="rId3"/>
        <a:stretch/>
      </xdr:blipFill>
      <xdr:spPr>
        <a:xfrm>
          <a:off x="5139360" y="8582040"/>
          <a:ext cx="2219400" cy="818280"/>
        </a:xfrm>
        <a:prstGeom prst="rect">
          <a:avLst/>
        </a:prstGeom>
        <a:ln w="0">
          <a:noFill/>
        </a:ln>
      </xdr:spPr>
    </xdr:pic>
    <xdr:clientData/>
  </xdr:twoCellAnchor>
  <xdr:twoCellAnchor>
    <xdr:from>
      <xdr:col>12</xdr:col>
      <xdr:colOff>0</xdr:colOff>
      <xdr:row>4</xdr:row>
      <xdr:rowOff>0</xdr:rowOff>
    </xdr:from>
    <xdr:to>
      <xdr:col>15</xdr:col>
      <xdr:colOff>293760</xdr:colOff>
      <xdr:row>7</xdr:row>
      <xdr:rowOff>150840</xdr:rowOff>
    </xdr:to>
    <xdr:sp macro="" textlink="">
      <xdr:nvSpPr>
        <xdr:cNvPr id="38" name="5 Dikdörtgen 1">
          <a:hlinkClick xmlns:r="http://schemas.openxmlformats.org/officeDocument/2006/relationships" r:id="rId4"/>
        </xdr:cNvPr>
        <xdr:cNvSpPr/>
      </xdr:nvSpPr>
      <xdr:spPr>
        <a:xfrm>
          <a:off x="9122400" y="761760"/>
          <a:ext cx="2229120" cy="72252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BİLGİ GİRİŞ SAYFASI</a:t>
          </a:r>
          <a:endParaRPr lang="tr-TR" sz="20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114480</xdr:rowOff>
    </xdr:from>
    <xdr:to>
      <xdr:col>4</xdr:col>
      <xdr:colOff>888840</xdr:colOff>
      <xdr:row>5</xdr:row>
      <xdr:rowOff>103680</xdr:rowOff>
    </xdr:to>
    <xdr:pic>
      <xdr:nvPicPr>
        <xdr:cNvPr id="39" name="Resim 1"/>
        <xdr:cNvPicPr/>
      </xdr:nvPicPr>
      <xdr:blipFill>
        <a:blip xmlns:r="http://schemas.openxmlformats.org/officeDocument/2006/relationships" r:embed="rId1"/>
        <a:stretch/>
      </xdr:blipFill>
      <xdr:spPr>
        <a:xfrm>
          <a:off x="0" y="304920"/>
          <a:ext cx="3619800" cy="750960"/>
        </a:xfrm>
        <a:prstGeom prst="rect">
          <a:avLst/>
        </a:prstGeom>
        <a:ln w="0">
          <a:noFill/>
        </a:ln>
      </xdr:spPr>
    </xdr:pic>
    <xdr:clientData/>
  </xdr:twoCellAnchor>
  <xdr:twoCellAnchor editAs="oneCell">
    <xdr:from>
      <xdr:col>6</xdr:col>
      <xdr:colOff>648360</xdr:colOff>
      <xdr:row>41</xdr:row>
      <xdr:rowOff>57600</xdr:rowOff>
    </xdr:from>
    <xdr:to>
      <xdr:col>9</xdr:col>
      <xdr:colOff>701280</xdr:colOff>
      <xdr:row>46</xdr:row>
      <xdr:rowOff>90360</xdr:rowOff>
    </xdr:to>
    <xdr:pic>
      <xdr:nvPicPr>
        <xdr:cNvPr id="40" name="Picture 4"/>
        <xdr:cNvPicPr/>
      </xdr:nvPicPr>
      <xdr:blipFill>
        <a:blip xmlns:r="http://schemas.openxmlformats.org/officeDocument/2006/relationships" r:embed="rId2"/>
        <a:stretch/>
      </xdr:blipFill>
      <xdr:spPr>
        <a:xfrm rot="120000">
          <a:off x="4952160" y="9115200"/>
          <a:ext cx="2502000" cy="985320"/>
        </a:xfrm>
        <a:prstGeom prst="rect">
          <a:avLst/>
        </a:prstGeom>
        <a:ln w="0">
          <a:noFill/>
        </a:ln>
      </xdr:spPr>
    </xdr:pic>
    <xdr:clientData/>
  </xdr:twoCellAnchor>
  <xdr:twoCellAnchor editAs="oneCell">
    <xdr:from>
      <xdr:col>7</xdr:col>
      <xdr:colOff>129960</xdr:colOff>
      <xdr:row>38</xdr:row>
      <xdr:rowOff>95400</xdr:rowOff>
    </xdr:from>
    <xdr:to>
      <xdr:col>9</xdr:col>
      <xdr:colOff>609480</xdr:colOff>
      <xdr:row>42</xdr:row>
      <xdr:rowOff>151560</xdr:rowOff>
    </xdr:to>
    <xdr:pic>
      <xdr:nvPicPr>
        <xdr:cNvPr id="41" name="Picture 2"/>
        <xdr:cNvPicPr/>
      </xdr:nvPicPr>
      <xdr:blipFill>
        <a:blip xmlns:r="http://schemas.openxmlformats.org/officeDocument/2006/relationships" r:embed="rId3"/>
        <a:stretch/>
      </xdr:blipFill>
      <xdr:spPr>
        <a:xfrm>
          <a:off x="5139360" y="8582040"/>
          <a:ext cx="2223000" cy="818280"/>
        </a:xfrm>
        <a:prstGeom prst="rect">
          <a:avLst/>
        </a:prstGeom>
        <a:ln w="0">
          <a:noFill/>
        </a:ln>
      </xdr:spPr>
    </xdr:pic>
    <xdr:clientData/>
  </xdr:twoCellAnchor>
  <xdr:twoCellAnchor>
    <xdr:from>
      <xdr:col>12</xdr:col>
      <xdr:colOff>0</xdr:colOff>
      <xdr:row>4</xdr:row>
      <xdr:rowOff>0</xdr:rowOff>
    </xdr:from>
    <xdr:to>
      <xdr:col>15</xdr:col>
      <xdr:colOff>293760</xdr:colOff>
      <xdr:row>7</xdr:row>
      <xdr:rowOff>150840</xdr:rowOff>
    </xdr:to>
    <xdr:sp macro="" textlink="">
      <xdr:nvSpPr>
        <xdr:cNvPr id="42" name="4 Dikdörtgen">
          <a:hlinkClick xmlns:r="http://schemas.openxmlformats.org/officeDocument/2006/relationships" r:id="rId4"/>
        </xdr:cNvPr>
        <xdr:cNvSpPr/>
      </xdr:nvSpPr>
      <xdr:spPr>
        <a:xfrm>
          <a:off x="9253080" y="761760"/>
          <a:ext cx="2229120" cy="72252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BİLGİ GİRİŞ SAYFASI</a:t>
          </a:r>
          <a:endParaRPr lang="tr-TR" sz="20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114480</xdr:rowOff>
    </xdr:from>
    <xdr:to>
      <xdr:col>4</xdr:col>
      <xdr:colOff>888840</xdr:colOff>
      <xdr:row>5</xdr:row>
      <xdr:rowOff>103680</xdr:rowOff>
    </xdr:to>
    <xdr:pic>
      <xdr:nvPicPr>
        <xdr:cNvPr id="43" name="Resim 1"/>
        <xdr:cNvPicPr/>
      </xdr:nvPicPr>
      <xdr:blipFill>
        <a:blip xmlns:r="http://schemas.openxmlformats.org/officeDocument/2006/relationships" r:embed="rId1"/>
        <a:stretch/>
      </xdr:blipFill>
      <xdr:spPr>
        <a:xfrm>
          <a:off x="0" y="304920"/>
          <a:ext cx="3619800" cy="750960"/>
        </a:xfrm>
        <a:prstGeom prst="rect">
          <a:avLst/>
        </a:prstGeom>
        <a:ln w="0">
          <a:noFill/>
        </a:ln>
      </xdr:spPr>
    </xdr:pic>
    <xdr:clientData/>
  </xdr:twoCellAnchor>
  <xdr:twoCellAnchor editAs="oneCell">
    <xdr:from>
      <xdr:col>6</xdr:col>
      <xdr:colOff>648360</xdr:colOff>
      <xdr:row>41</xdr:row>
      <xdr:rowOff>57600</xdr:rowOff>
    </xdr:from>
    <xdr:to>
      <xdr:col>9</xdr:col>
      <xdr:colOff>701280</xdr:colOff>
      <xdr:row>46</xdr:row>
      <xdr:rowOff>90360</xdr:rowOff>
    </xdr:to>
    <xdr:pic>
      <xdr:nvPicPr>
        <xdr:cNvPr id="44" name="Picture 4"/>
        <xdr:cNvPicPr/>
      </xdr:nvPicPr>
      <xdr:blipFill>
        <a:blip xmlns:r="http://schemas.openxmlformats.org/officeDocument/2006/relationships" r:embed="rId2"/>
        <a:stretch/>
      </xdr:blipFill>
      <xdr:spPr>
        <a:xfrm rot="120000">
          <a:off x="4952160" y="9115200"/>
          <a:ext cx="2502000" cy="985320"/>
        </a:xfrm>
        <a:prstGeom prst="rect">
          <a:avLst/>
        </a:prstGeom>
        <a:ln w="0">
          <a:noFill/>
        </a:ln>
      </xdr:spPr>
    </xdr:pic>
    <xdr:clientData/>
  </xdr:twoCellAnchor>
  <xdr:twoCellAnchor editAs="oneCell">
    <xdr:from>
      <xdr:col>7</xdr:col>
      <xdr:colOff>129960</xdr:colOff>
      <xdr:row>38</xdr:row>
      <xdr:rowOff>95400</xdr:rowOff>
    </xdr:from>
    <xdr:to>
      <xdr:col>9</xdr:col>
      <xdr:colOff>609480</xdr:colOff>
      <xdr:row>42</xdr:row>
      <xdr:rowOff>151560</xdr:rowOff>
    </xdr:to>
    <xdr:pic>
      <xdr:nvPicPr>
        <xdr:cNvPr id="45" name="Picture 2"/>
        <xdr:cNvPicPr/>
      </xdr:nvPicPr>
      <xdr:blipFill>
        <a:blip xmlns:r="http://schemas.openxmlformats.org/officeDocument/2006/relationships" r:embed="rId3"/>
        <a:stretch/>
      </xdr:blipFill>
      <xdr:spPr>
        <a:xfrm>
          <a:off x="5139360" y="8582040"/>
          <a:ext cx="2223000" cy="818280"/>
        </a:xfrm>
        <a:prstGeom prst="rect">
          <a:avLst/>
        </a:prstGeom>
        <a:ln w="0">
          <a:noFill/>
        </a:ln>
      </xdr:spPr>
    </xdr:pic>
    <xdr:clientData/>
  </xdr:twoCellAnchor>
  <xdr:twoCellAnchor>
    <xdr:from>
      <xdr:col>12</xdr:col>
      <xdr:colOff>0</xdr:colOff>
      <xdr:row>4</xdr:row>
      <xdr:rowOff>0</xdr:rowOff>
    </xdr:from>
    <xdr:to>
      <xdr:col>15</xdr:col>
      <xdr:colOff>293760</xdr:colOff>
      <xdr:row>7</xdr:row>
      <xdr:rowOff>150840</xdr:rowOff>
    </xdr:to>
    <xdr:sp macro="" textlink="">
      <xdr:nvSpPr>
        <xdr:cNvPr id="46" name="4 Dikdörtgen">
          <a:hlinkClick xmlns:r="http://schemas.openxmlformats.org/officeDocument/2006/relationships" r:id="rId4"/>
        </xdr:cNvPr>
        <xdr:cNvSpPr/>
      </xdr:nvSpPr>
      <xdr:spPr>
        <a:xfrm>
          <a:off x="9253080" y="761760"/>
          <a:ext cx="2229120" cy="722520"/>
        </a:xfrm>
        <a:prstGeom prst="rect">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vertOverflow="clip" lIns="90000" tIns="45000" rIns="90000" bIns="45000" anchor="ctr">
          <a:noAutofit/>
        </a:bodyPr>
        <a:lstStyle/>
        <a:p>
          <a:pPr algn="ctr">
            <a:lnSpc>
              <a:spcPct val="100000"/>
            </a:lnSpc>
          </a:pPr>
          <a:r>
            <a:rPr lang="tr-TR" sz="2000" b="0" strike="noStrike" spc="-1">
              <a:solidFill>
                <a:srgbClr val="000000"/>
              </a:solidFill>
              <a:latin typeface="Calibri"/>
            </a:rPr>
            <a:t>BİLGİ GİRİŞ SAYFASI</a:t>
          </a:r>
          <a:endParaRPr lang="tr-TR" sz="2000" b="0" strike="noStrike" spc="-1">
            <a:latin typeface="Times New Roman"/>
          </a:endParaRP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3.bin"/><Relationship Id="rId1" Type="http://schemas.openxmlformats.org/officeDocument/2006/relationships/hyperlink" Target="mailto:info@gaztekmakina.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www.bacatek.com/" TargetMode="External"/><Relationship Id="rId18" Type="http://schemas.openxmlformats.org/officeDocument/2006/relationships/hyperlink" Target="http://www.sirkecimakina.com/" TargetMode="External"/><Relationship Id="rId26" Type="http://schemas.openxmlformats.org/officeDocument/2006/relationships/hyperlink" Target="http://www.cenaskonteyner.com.tr/" TargetMode="External"/><Relationship Id="rId39" Type="http://schemas.openxmlformats.org/officeDocument/2006/relationships/hyperlink" Target="http://www.mekatronikinsaat.com.tr/" TargetMode="External"/><Relationship Id="rId21" Type="http://schemas.openxmlformats.org/officeDocument/2006/relationships/hyperlink" Target="http://www.megatronikinsaat.com.tr/" TargetMode="External"/><Relationship Id="rId34" Type="http://schemas.openxmlformats.org/officeDocument/2006/relationships/hyperlink" Target="http://www.cenaskonteyner.com.tr/" TargetMode="External"/><Relationship Id="rId42" Type="http://schemas.openxmlformats.org/officeDocument/2006/relationships/hyperlink" Target="http://www.tek-sar.com/" TargetMode="External"/><Relationship Id="rId47" Type="http://schemas.openxmlformats.org/officeDocument/2006/relationships/hyperlink" Target="mailto:info@egeliuzaycati.com" TargetMode="External"/><Relationship Id="rId50" Type="http://schemas.openxmlformats.org/officeDocument/2006/relationships/hyperlink" Target="mailto:hayatioraner@hotmail.com" TargetMode="External"/><Relationship Id="rId55" Type="http://schemas.openxmlformats.org/officeDocument/2006/relationships/hyperlink" Target="mailto:info@emtashavalandirma.com" TargetMode="External"/><Relationship Id="rId7" Type="http://schemas.openxmlformats.org/officeDocument/2006/relationships/hyperlink" Target="http://www.bacatek.com/" TargetMode="External"/><Relationship Id="rId2" Type="http://schemas.openxmlformats.org/officeDocument/2006/relationships/hyperlink" Target="http://www.bacatek.com/" TargetMode="External"/><Relationship Id="rId16" Type="http://schemas.openxmlformats.org/officeDocument/2006/relationships/hyperlink" Target="http://akmenasansor.com.tr/" TargetMode="External"/><Relationship Id="rId29" Type="http://schemas.openxmlformats.org/officeDocument/2006/relationships/hyperlink" Target="http://www.cenaskonteyner.com.tr/" TargetMode="External"/><Relationship Id="rId11" Type="http://schemas.openxmlformats.org/officeDocument/2006/relationships/hyperlink" Target="http://www.bacatek.com/" TargetMode="External"/><Relationship Id="rId24" Type="http://schemas.openxmlformats.org/officeDocument/2006/relationships/hyperlink" Target="http://www.cenaskonteyner.com.tr/" TargetMode="External"/><Relationship Id="rId32" Type="http://schemas.openxmlformats.org/officeDocument/2006/relationships/hyperlink" Target="http://www.cenaskonteyner.com.tr/" TargetMode="External"/><Relationship Id="rId37" Type="http://schemas.openxmlformats.org/officeDocument/2006/relationships/hyperlink" Target="http://www.cenaskonteyner.com.tr/" TargetMode="External"/><Relationship Id="rId40" Type="http://schemas.openxmlformats.org/officeDocument/2006/relationships/hyperlink" Target="http://www.mekatronikinsaat.com.tr/" TargetMode="External"/><Relationship Id="rId45" Type="http://schemas.openxmlformats.org/officeDocument/2006/relationships/hyperlink" Target="mailto:info@cankardeslerradyator.com.tr" TargetMode="External"/><Relationship Id="rId53" Type="http://schemas.openxmlformats.org/officeDocument/2006/relationships/hyperlink" Target="mailto:info@emtashavalandirma.com" TargetMode="External"/><Relationship Id="rId58" Type="http://schemas.openxmlformats.org/officeDocument/2006/relationships/hyperlink" Target="mailto:info@emtashavalandirma.com" TargetMode="External"/><Relationship Id="rId5" Type="http://schemas.openxmlformats.org/officeDocument/2006/relationships/hyperlink" Target="http://www.bacatek.com/" TargetMode="External"/><Relationship Id="rId19" Type="http://schemas.openxmlformats.org/officeDocument/2006/relationships/hyperlink" Target="http://www.megatronikinsaat.com.tr/" TargetMode="External"/><Relationship Id="rId4" Type="http://schemas.openxmlformats.org/officeDocument/2006/relationships/hyperlink" Target="http://www.bacatek.com/" TargetMode="External"/><Relationship Id="rId9" Type="http://schemas.openxmlformats.org/officeDocument/2006/relationships/hyperlink" Target="http://www.bacatek.com/" TargetMode="External"/><Relationship Id="rId14" Type="http://schemas.openxmlformats.org/officeDocument/2006/relationships/hyperlink" Target="http://www.bacatek.com/" TargetMode="External"/><Relationship Id="rId22" Type="http://schemas.openxmlformats.org/officeDocument/2006/relationships/hyperlink" Target="http://www.megatronikinsaat.com.tr/" TargetMode="External"/><Relationship Id="rId27" Type="http://schemas.openxmlformats.org/officeDocument/2006/relationships/hyperlink" Target="http://www.cenaskonteyner.com.tr/" TargetMode="External"/><Relationship Id="rId30" Type="http://schemas.openxmlformats.org/officeDocument/2006/relationships/hyperlink" Target="http://www.cenaskonteyner.com.tr/" TargetMode="External"/><Relationship Id="rId35" Type="http://schemas.openxmlformats.org/officeDocument/2006/relationships/hyperlink" Target="http://www.cenaskonteyner.com.tr/" TargetMode="External"/><Relationship Id="rId43" Type="http://schemas.openxmlformats.org/officeDocument/2006/relationships/hyperlink" Target="mailto:info@cankardeslerradyator.com.tr" TargetMode="External"/><Relationship Id="rId48" Type="http://schemas.openxmlformats.org/officeDocument/2006/relationships/hyperlink" Target="mailto:hayatioraner@hotmail.com" TargetMode="External"/><Relationship Id="rId56" Type="http://schemas.openxmlformats.org/officeDocument/2006/relationships/hyperlink" Target="mailto:info@emtashavalandirma.com" TargetMode="External"/><Relationship Id="rId8" Type="http://schemas.openxmlformats.org/officeDocument/2006/relationships/hyperlink" Target="http://www.bacatek.com/" TargetMode="External"/><Relationship Id="rId51" Type="http://schemas.openxmlformats.org/officeDocument/2006/relationships/hyperlink" Target="mailto:hayatioraner@hotmail.com" TargetMode="External"/><Relationship Id="rId3" Type="http://schemas.openxmlformats.org/officeDocument/2006/relationships/hyperlink" Target="http://www.bacatek.com/" TargetMode="External"/><Relationship Id="rId12" Type="http://schemas.openxmlformats.org/officeDocument/2006/relationships/hyperlink" Target="http://www.bacatek.com/" TargetMode="External"/><Relationship Id="rId17" Type="http://schemas.openxmlformats.org/officeDocument/2006/relationships/hyperlink" Target="http://www.sirkecimakina.com/" TargetMode="External"/><Relationship Id="rId25" Type="http://schemas.openxmlformats.org/officeDocument/2006/relationships/hyperlink" Target="http://www.cenaskonteyner.com.tr/" TargetMode="External"/><Relationship Id="rId33" Type="http://schemas.openxmlformats.org/officeDocument/2006/relationships/hyperlink" Target="http://www.cenaskonteyner.com.tr/" TargetMode="External"/><Relationship Id="rId38" Type="http://schemas.openxmlformats.org/officeDocument/2006/relationships/hyperlink" Target="http://www.mekatronikinsaat.com.tr/" TargetMode="External"/><Relationship Id="rId46" Type="http://schemas.openxmlformats.org/officeDocument/2006/relationships/hyperlink" Target="mailto:info@udbhavalandirma.com.tr" TargetMode="External"/><Relationship Id="rId59" Type="http://schemas.openxmlformats.org/officeDocument/2006/relationships/hyperlink" Target="mailto:info@emtashavalandirma.com" TargetMode="External"/><Relationship Id="rId20" Type="http://schemas.openxmlformats.org/officeDocument/2006/relationships/hyperlink" Target="http://www.megatronikinsaat.com.tr/" TargetMode="External"/><Relationship Id="rId41" Type="http://schemas.openxmlformats.org/officeDocument/2006/relationships/hyperlink" Target="http://www.tek-sar.com/" TargetMode="External"/><Relationship Id="rId54" Type="http://schemas.openxmlformats.org/officeDocument/2006/relationships/hyperlink" Target="mailto:info@emtashavalandirma.com" TargetMode="External"/><Relationship Id="rId1" Type="http://schemas.openxmlformats.org/officeDocument/2006/relationships/hyperlink" Target="http://www.bacatek.com/" TargetMode="External"/><Relationship Id="rId6" Type="http://schemas.openxmlformats.org/officeDocument/2006/relationships/hyperlink" Target="http://www.bacatek.com/" TargetMode="External"/><Relationship Id="rId15" Type="http://schemas.openxmlformats.org/officeDocument/2006/relationships/hyperlink" Target="http://akmenasansor.com.tr/" TargetMode="External"/><Relationship Id="rId23" Type="http://schemas.openxmlformats.org/officeDocument/2006/relationships/hyperlink" Target="http://www.megatronikinsaat.com.tr/" TargetMode="External"/><Relationship Id="rId28" Type="http://schemas.openxmlformats.org/officeDocument/2006/relationships/hyperlink" Target="http://www.cenaskonteyner.com.tr/" TargetMode="External"/><Relationship Id="rId36" Type="http://schemas.openxmlformats.org/officeDocument/2006/relationships/hyperlink" Target="http://www.cenaskonteyner.com.tr/" TargetMode="External"/><Relationship Id="rId49" Type="http://schemas.openxmlformats.org/officeDocument/2006/relationships/hyperlink" Target="mailto:hayatioraner@hotmail.com" TargetMode="External"/><Relationship Id="rId57" Type="http://schemas.openxmlformats.org/officeDocument/2006/relationships/hyperlink" Target="mailto:info@emtashavalandirma.com" TargetMode="External"/><Relationship Id="rId10" Type="http://schemas.openxmlformats.org/officeDocument/2006/relationships/hyperlink" Target="http://www.bacatek.com/" TargetMode="External"/><Relationship Id="rId31" Type="http://schemas.openxmlformats.org/officeDocument/2006/relationships/hyperlink" Target="http://www.cenaskonteyner.com.tr/" TargetMode="External"/><Relationship Id="rId44" Type="http://schemas.openxmlformats.org/officeDocument/2006/relationships/hyperlink" Target="mailto:info@cankardeslerradyator.com.tr" TargetMode="External"/><Relationship Id="rId52" Type="http://schemas.openxmlformats.org/officeDocument/2006/relationships/hyperlink" Target="mailto:bacatek@hotmail.com" TargetMode="External"/><Relationship Id="rId60"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gaztekmakina.com" TargetMode="External"/><Relationship Id="rId2" Type="http://schemas.openxmlformats.org/officeDocument/2006/relationships/hyperlink" Target="http://www.egeliuzaycati.com/" TargetMode="External"/><Relationship Id="rId1" Type="http://schemas.openxmlformats.org/officeDocument/2006/relationships/hyperlink" Target="mailto:info@emtashavalandirma.com"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1"/>
  <sheetViews>
    <sheetView tabSelected="1" view="pageBreakPreview" zoomScale="85" zoomScaleNormal="100" zoomScaleSheetLayoutView="85" zoomScalePageLayoutView="95" workbookViewId="0">
      <selection activeCell="H33" sqref="H33"/>
    </sheetView>
  </sheetViews>
  <sheetFormatPr defaultColWidth="9.140625" defaultRowHeight="15"/>
  <cols>
    <col min="1" max="1" width="2.42578125" style="1" customWidth="1"/>
    <col min="2" max="2" width="14.42578125" style="1" customWidth="1"/>
    <col min="3" max="3" width="27.28515625" style="1" customWidth="1"/>
    <col min="4" max="4" width="10.85546875" style="1" customWidth="1"/>
    <col min="5" max="5" width="16" style="1" customWidth="1"/>
    <col min="6" max="7" width="22.7109375" style="1" customWidth="1"/>
    <col min="8" max="8" width="30.140625" style="1" customWidth="1"/>
    <col min="9" max="9" width="17.42578125" style="1" customWidth="1"/>
    <col min="10" max="10" width="11.140625" style="1" customWidth="1"/>
    <col min="11" max="11" width="17.7109375" style="1" customWidth="1"/>
    <col min="12" max="12" width="15.28515625" style="1" customWidth="1"/>
    <col min="13" max="13" width="31.85546875" style="1" customWidth="1"/>
    <col min="14" max="14" width="6" style="1" customWidth="1"/>
    <col min="15" max="15" width="17.7109375" style="1" customWidth="1"/>
    <col min="16" max="16" width="14" style="1" customWidth="1"/>
    <col min="17" max="17" width="16.5703125" style="1" customWidth="1"/>
    <col min="18" max="18" width="10.5703125" style="1" customWidth="1"/>
    <col min="19" max="19" width="9.140625" style="1"/>
    <col min="20" max="20" width="12.7109375" style="1" customWidth="1"/>
    <col min="21" max="1024" width="9.140625" style="1"/>
  </cols>
  <sheetData>
    <row r="1" spans="2:20" ht="9.75" customHeight="1"/>
    <row r="2" spans="2:20" s="2" customFormat="1">
      <c r="B2" s="394" t="s">
        <v>0</v>
      </c>
      <c r="C2" s="394" t="s">
        <v>1</v>
      </c>
      <c r="E2" s="394" t="s">
        <v>2</v>
      </c>
      <c r="F2" s="394" t="s">
        <v>3</v>
      </c>
      <c r="H2" s="394" t="s">
        <v>4</v>
      </c>
      <c r="I2" s="394" t="s">
        <v>5</v>
      </c>
      <c r="K2" s="394" t="s">
        <v>6</v>
      </c>
      <c r="M2" s="394" t="s">
        <v>7</v>
      </c>
      <c r="O2" s="394" t="s">
        <v>8</v>
      </c>
      <c r="P2" s="394" t="s">
        <v>9</v>
      </c>
      <c r="Q2" s="394" t="s">
        <v>10</v>
      </c>
      <c r="R2" s="394" t="s">
        <v>11</v>
      </c>
      <c r="T2" s="394" t="s">
        <v>12</v>
      </c>
    </row>
    <row r="3" spans="2:20">
      <c r="B3" s="395" t="s">
        <v>13</v>
      </c>
      <c r="C3" s="395" t="s">
        <v>14</v>
      </c>
      <c r="E3" s="395" t="s">
        <v>15</v>
      </c>
      <c r="F3" s="395" t="s">
        <v>16</v>
      </c>
      <c r="H3" s="395" t="s">
        <v>17</v>
      </c>
      <c r="I3" s="395" t="s">
        <v>18</v>
      </c>
      <c r="K3" s="395" t="s">
        <v>19</v>
      </c>
      <c r="M3" s="395" t="s">
        <v>20</v>
      </c>
      <c r="N3" s="1" t="s">
        <v>21</v>
      </c>
      <c r="O3" s="395" t="s">
        <v>22</v>
      </c>
      <c r="P3" s="395" t="s">
        <v>23</v>
      </c>
      <c r="Q3" s="395" t="s">
        <v>24</v>
      </c>
      <c r="R3" s="395" t="s">
        <v>25</v>
      </c>
      <c r="T3" s="395" t="s">
        <v>26</v>
      </c>
    </row>
    <row r="4" spans="2:20">
      <c r="B4" s="395" t="s">
        <v>27</v>
      </c>
      <c r="C4" s="395" t="s">
        <v>28</v>
      </c>
      <c r="D4" s="1" t="s">
        <v>29</v>
      </c>
      <c r="E4" s="395" t="s">
        <v>30</v>
      </c>
      <c r="F4" s="395" t="s">
        <v>31</v>
      </c>
      <c r="G4" s="1" t="s">
        <v>29</v>
      </c>
      <c r="H4" s="395" t="s">
        <v>32</v>
      </c>
      <c r="I4" s="395" t="s">
        <v>33</v>
      </c>
      <c r="J4" s="1" t="s">
        <v>29</v>
      </c>
      <c r="K4" s="395" t="s">
        <v>34</v>
      </c>
      <c r="L4" s="1" t="s">
        <v>29</v>
      </c>
      <c r="M4" s="395" t="s">
        <v>35</v>
      </c>
      <c r="N4" s="1" t="s">
        <v>36</v>
      </c>
      <c r="O4" s="395" t="s">
        <v>37</v>
      </c>
      <c r="P4" s="395" t="s">
        <v>38</v>
      </c>
      <c r="R4" s="395" t="s">
        <v>39</v>
      </c>
      <c r="S4" s="1" t="s">
        <v>29</v>
      </c>
      <c r="T4" s="395" t="s">
        <v>40</v>
      </c>
    </row>
    <row r="5" spans="2:20">
      <c r="B5" s="395" t="s">
        <v>41</v>
      </c>
      <c r="C5" s="395" t="s">
        <v>42</v>
      </c>
      <c r="D5" s="1" t="s">
        <v>43</v>
      </c>
      <c r="E5" s="395" t="s">
        <v>44</v>
      </c>
      <c r="F5" s="395" t="s">
        <v>45</v>
      </c>
      <c r="G5" s="1" t="s">
        <v>29</v>
      </c>
      <c r="H5" s="395" t="s">
        <v>46</v>
      </c>
      <c r="I5" s="395" t="s">
        <v>47</v>
      </c>
      <c r="J5" s="1" t="s">
        <v>43</v>
      </c>
      <c r="K5" s="395" t="s">
        <v>48</v>
      </c>
      <c r="L5" s="1" t="s">
        <v>43</v>
      </c>
      <c r="M5" s="395" t="s">
        <v>49</v>
      </c>
      <c r="N5" s="1" t="s">
        <v>43</v>
      </c>
      <c r="O5" s="395" t="s">
        <v>50</v>
      </c>
      <c r="R5" s="395" t="s">
        <v>51</v>
      </c>
      <c r="S5" s="1" t="s">
        <v>36</v>
      </c>
      <c r="T5" s="395" t="s">
        <v>52</v>
      </c>
    </row>
    <row r="6" spans="2:20">
      <c r="B6" s="395" t="s">
        <v>53</v>
      </c>
      <c r="C6" s="395" t="s">
        <v>54</v>
      </c>
      <c r="D6" s="1" t="s">
        <v>55</v>
      </c>
      <c r="E6" s="395" t="s">
        <v>56</v>
      </c>
      <c r="F6" s="395" t="s">
        <v>57</v>
      </c>
      <c r="G6" s="1" t="s">
        <v>43</v>
      </c>
      <c r="H6" s="395" t="s">
        <v>58</v>
      </c>
      <c r="I6" s="395" t="s">
        <v>59</v>
      </c>
      <c r="J6" s="1" t="s">
        <v>60</v>
      </c>
      <c r="M6" s="395" t="s">
        <v>61</v>
      </c>
    </row>
    <row r="7" spans="2:20">
      <c r="B7" s="395"/>
      <c r="C7" s="395" t="s">
        <v>62</v>
      </c>
      <c r="D7" s="1" t="s">
        <v>63</v>
      </c>
      <c r="E7" s="395" t="s">
        <v>64</v>
      </c>
      <c r="F7" s="395" t="s">
        <v>65</v>
      </c>
      <c r="G7" s="1" t="s">
        <v>63</v>
      </c>
      <c r="H7" s="395" t="s">
        <v>66</v>
      </c>
      <c r="I7" s="395" t="s">
        <v>67</v>
      </c>
      <c r="J7" s="1" t="s">
        <v>43</v>
      </c>
      <c r="M7" s="395" t="s">
        <v>68</v>
      </c>
      <c r="N7" s="1" t="s">
        <v>69</v>
      </c>
    </row>
    <row r="8" spans="2:20">
      <c r="B8" s="395"/>
      <c r="C8" s="395" t="s">
        <v>70</v>
      </c>
      <c r="D8" s="1" t="s">
        <v>71</v>
      </c>
      <c r="E8" s="395" t="s">
        <v>72</v>
      </c>
      <c r="F8" s="395" t="s">
        <v>73</v>
      </c>
      <c r="G8" s="1" t="s">
        <v>74</v>
      </c>
      <c r="H8" s="395" t="s">
        <v>75</v>
      </c>
    </row>
    <row r="9" spans="2:20">
      <c r="C9" s="395" t="s">
        <v>76</v>
      </c>
      <c r="E9" s="395" t="s">
        <v>15</v>
      </c>
    </row>
    <row r="10" spans="2:20">
      <c r="C10" s="395" t="s">
        <v>77</v>
      </c>
      <c r="E10" s="395" t="s">
        <v>30</v>
      </c>
    </row>
    <row r="11" spans="2:20">
      <c r="C11" s="395" t="s">
        <v>78</v>
      </c>
      <c r="E11" s="395" t="s">
        <v>44</v>
      </c>
    </row>
    <row r="13" spans="2:20" s="2" customFormat="1">
      <c r="B13" s="2" t="s">
        <v>79</v>
      </c>
      <c r="C13" s="2" t="s">
        <v>80</v>
      </c>
      <c r="E13" s="2" t="s">
        <v>81</v>
      </c>
      <c r="F13" s="394" t="s">
        <v>82</v>
      </c>
      <c r="H13" s="394" t="s">
        <v>83</v>
      </c>
      <c r="J13" s="394" t="s">
        <v>84</v>
      </c>
      <c r="L13" s="394" t="s">
        <v>85</v>
      </c>
      <c r="M13" s="394" t="s">
        <v>86</v>
      </c>
      <c r="O13" s="394" t="s">
        <v>87</v>
      </c>
    </row>
    <row r="14" spans="2:20">
      <c r="B14" s="3">
        <v>0.18</v>
      </c>
      <c r="C14" s="4">
        <f>B14*'Bilgi Giriş Sayfası'!F3</f>
        <v>39060</v>
      </c>
      <c r="D14" s="1" t="s">
        <v>88</v>
      </c>
      <c r="E14" s="1">
        <v>1</v>
      </c>
      <c r="F14" s="395" t="s">
        <v>89</v>
      </c>
      <c r="H14" s="395" t="s">
        <v>90</v>
      </c>
      <c r="I14" s="1" t="s">
        <v>29</v>
      </c>
      <c r="J14" s="395" t="s">
        <v>91</v>
      </c>
      <c r="K14" s="1" t="s">
        <v>69</v>
      </c>
      <c r="L14" s="395" t="s">
        <v>92</v>
      </c>
      <c r="M14" s="395" t="s">
        <v>93</v>
      </c>
      <c r="O14" s="395" t="s">
        <v>93</v>
      </c>
    </row>
    <row r="15" spans="2:20">
      <c r="B15" s="3">
        <v>0</v>
      </c>
      <c r="C15" s="4">
        <f>B16*'Bilgi Giriş Sayfası'!F3</f>
        <v>2170</v>
      </c>
      <c r="D15" s="1" t="s">
        <v>94</v>
      </c>
      <c r="E15" s="1">
        <v>2</v>
      </c>
      <c r="F15" s="395" t="s">
        <v>95</v>
      </c>
      <c r="H15" s="395" t="s">
        <v>96</v>
      </c>
      <c r="I15" s="1" t="s">
        <v>29</v>
      </c>
      <c r="J15" s="395" t="s">
        <v>25</v>
      </c>
      <c r="L15" s="395" t="s">
        <v>97</v>
      </c>
      <c r="M15" s="395" t="s">
        <v>25</v>
      </c>
      <c r="O15" s="395" t="s">
        <v>25</v>
      </c>
    </row>
    <row r="16" spans="2:20">
      <c r="B16" s="3">
        <v>0.01</v>
      </c>
      <c r="C16" s="4">
        <f>B17*'Bilgi Giriş Sayfası'!F3</f>
        <v>0</v>
      </c>
      <c r="D16" s="1" t="s">
        <v>98</v>
      </c>
      <c r="E16" s="1">
        <v>3</v>
      </c>
      <c r="G16" s="1" t="s">
        <v>99</v>
      </c>
      <c r="H16" s="395" t="s">
        <v>100</v>
      </c>
      <c r="I16" s="1" t="s">
        <v>43</v>
      </c>
      <c r="L16" s="395"/>
      <c r="O16" s="395"/>
    </row>
    <row r="17" spans="2:14">
      <c r="B17" s="3">
        <v>0</v>
      </c>
      <c r="D17" s="1" t="s">
        <v>101</v>
      </c>
      <c r="E17" s="1">
        <v>4</v>
      </c>
      <c r="H17" s="395" t="s">
        <v>25</v>
      </c>
    </row>
    <row r="18" spans="2:14">
      <c r="E18" s="1">
        <v>5</v>
      </c>
    </row>
    <row r="19" spans="2:14">
      <c r="E19" s="1">
        <v>6</v>
      </c>
    </row>
    <row r="20" spans="2:14">
      <c r="E20" s="1">
        <v>7</v>
      </c>
    </row>
    <row r="21" spans="2:14">
      <c r="E21" s="1">
        <v>8</v>
      </c>
    </row>
    <row r="22" spans="2:14">
      <c r="E22" s="1">
        <v>9</v>
      </c>
    </row>
    <row r="23" spans="2:14">
      <c r="E23" s="1">
        <v>10</v>
      </c>
    </row>
    <row r="24" spans="2:14">
      <c r="E24" s="1">
        <v>11</v>
      </c>
    </row>
    <row r="25" spans="2:14">
      <c r="E25" s="1">
        <v>12</v>
      </c>
    </row>
    <row r="28" spans="2:14">
      <c r="G28" s="5">
        <f>'Bilgi Giriş Sayfası'!J9</f>
        <v>0</v>
      </c>
    </row>
    <row r="29" spans="2:14" ht="15" customHeight="1">
      <c r="B29" s="283" t="s">
        <v>102</v>
      </c>
      <c r="C29" s="283"/>
      <c r="D29" s="283"/>
      <c r="E29" s="283"/>
      <c r="F29" s="283"/>
      <c r="G29" s="283"/>
      <c r="H29" s="283"/>
      <c r="I29" s="283"/>
      <c r="J29" s="283"/>
      <c r="K29" s="283"/>
      <c r="L29" s="283"/>
      <c r="M29" s="283"/>
      <c r="N29" s="6"/>
    </row>
    <row r="30" spans="2:14">
      <c r="B30" s="283"/>
      <c r="C30" s="283"/>
      <c r="D30" s="283"/>
      <c r="E30" s="283"/>
      <c r="F30" s="283"/>
      <c r="G30" s="283"/>
      <c r="H30" s="283"/>
      <c r="I30" s="283"/>
      <c r="J30" s="283"/>
      <c r="K30" s="283"/>
      <c r="L30" s="283"/>
      <c r="M30" s="283"/>
      <c r="N30" s="6"/>
    </row>
    <row r="31" spans="2:14" ht="15" customHeight="1">
      <c r="B31" s="283" t="s">
        <v>103</v>
      </c>
      <c r="C31" s="283"/>
      <c r="D31" s="283"/>
      <c r="E31" s="283"/>
      <c r="F31" s="283"/>
      <c r="G31" s="283"/>
      <c r="H31" s="283"/>
      <c r="I31" s="283"/>
      <c r="J31" s="283"/>
      <c r="K31" s="283"/>
      <c r="L31" s="283"/>
      <c r="M31" s="283"/>
      <c r="N31" s="6"/>
    </row>
    <row r="32" spans="2:14">
      <c r="B32" s="283"/>
      <c r="C32" s="283"/>
      <c r="D32" s="283"/>
      <c r="E32" s="283"/>
      <c r="F32" s="283"/>
      <c r="G32" s="283"/>
      <c r="H32" s="283"/>
      <c r="I32" s="283"/>
      <c r="J32" s="283"/>
      <c r="K32" s="283"/>
      <c r="L32" s="283"/>
      <c r="M32" s="283"/>
      <c r="N32" s="6"/>
    </row>
    <row r="33" spans="2:7">
      <c r="B33" s="7" t="str">
        <f>"KDV Teşvik belgesi ile Kdv indirimi alabilir, Bu faturadan "&amp;'Bilgi Giriş Sayfası'!F9&amp;" TL Kazanç Elde Edebilirsiniz"</f>
        <v>KDV Teşvik belgesi ile Kdv indirimi alabilir, Bu faturadan 0 TL Kazanç Elde Edebilirsiniz</v>
      </c>
      <c r="C33" s="8"/>
      <c r="D33" s="8"/>
      <c r="E33" s="8"/>
      <c r="F33" s="8"/>
      <c r="G33" s="9"/>
    </row>
    <row r="34" spans="2:7">
      <c r="B34" s="10" t="str">
        <f>"Makine Fiyatımız İhraç Kayıtlı Olduğu için Kdv İlave Edilmemiştir."</f>
        <v>Makine Fiyatımız İhraç Kayıtlı Olduğu için Kdv İlave Edilmemiştir.</v>
      </c>
      <c r="C34" s="11"/>
      <c r="D34" s="11"/>
      <c r="E34" s="11"/>
      <c r="F34" s="11"/>
      <c r="G34" s="12"/>
    </row>
    <row r="35" spans="2:7">
      <c r="B35" s="13" t="str">
        <f>"Faturamız Leasing Ödeme Sistemine Göre Kesileceği için "&amp;'Bilgi Giriş Sayfası'!F9&amp;" TL %1 KDV ilave edilmiştir. "</f>
        <v xml:space="preserve">Faturamız Leasing Ödeme Sistemine Göre Kesileceği için 0 TL %1 KDV ilave edilmiştir. </v>
      </c>
      <c r="C35" s="14"/>
      <c r="D35" s="14"/>
      <c r="E35" s="14"/>
      <c r="F35" s="14"/>
      <c r="G35" s="12"/>
    </row>
    <row r="36" spans="2:7">
      <c r="B36" s="15" t="s">
        <v>104</v>
      </c>
      <c r="C36" s="14"/>
      <c r="D36" s="14"/>
      <c r="E36" s="14"/>
      <c r="F36" s="14"/>
      <c r="G36" s="12"/>
    </row>
    <row r="37" spans="2:7">
      <c r="B37" s="15"/>
      <c r="C37" s="16"/>
      <c r="D37" s="16"/>
      <c r="E37" s="16"/>
      <c r="F37" s="16"/>
      <c r="G37" s="12"/>
    </row>
    <row r="38" spans="2:7">
      <c r="B38" s="15"/>
      <c r="C38" s="16"/>
      <c r="D38" s="16"/>
      <c r="E38" s="16"/>
      <c r="F38" s="16"/>
      <c r="G38" s="12"/>
    </row>
    <row r="39" spans="2:7">
      <c r="B39" s="15"/>
      <c r="C39" s="16"/>
      <c r="D39" s="16"/>
      <c r="E39" s="16"/>
      <c r="F39" s="16"/>
      <c r="G39" s="12"/>
    </row>
    <row r="40" spans="2:7">
      <c r="B40" s="15"/>
      <c r="C40" s="16"/>
      <c r="D40" s="16"/>
      <c r="E40" s="16"/>
      <c r="F40" s="16"/>
      <c r="G40" s="12"/>
    </row>
    <row r="41" spans="2:7">
      <c r="B41" s="17" t="str">
        <f>"KDV Teşvik belgesi ile Kdv indirimi alabilir, Bu faturadan "&amp;G28&amp;" USD Kazanç Elde Edebilirsiniz"</f>
        <v>KDV Teşvik belgesi ile Kdv indirimi alabilir, Bu faturadan 0 USD Kazanç Elde Edebilirsiniz</v>
      </c>
      <c r="C41" s="18"/>
      <c r="D41" s="18"/>
      <c r="E41" s="18"/>
      <c r="F41" s="18"/>
      <c r="G41" s="19"/>
    </row>
  </sheetData>
  <mergeCells count="2">
    <mergeCell ref="B29:M30"/>
    <mergeCell ref="B31:M32"/>
  </mergeCells>
  <conditionalFormatting sqref="B41">
    <cfRule type="cellIs" dxfId="1" priority="2" operator="equal">
      <formula>0</formula>
    </cfRule>
    <cfRule type="cellIs" dxfId="0" priority="3" operator="equal">
      <formula>0</formula>
    </cfRule>
  </conditionalFormatting>
  <pageMargins left="0.7" right="0.7" top="0.75" bottom="0.75" header="0.511811023622047" footer="0.511811023622047"/>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8"/>
  <sheetViews>
    <sheetView showGridLines="0" view="pageBreakPreview" zoomScale="95" zoomScaleNormal="100" zoomScalePageLayoutView="95" workbookViewId="0">
      <selection activeCell="L38" activeCellId="1" sqref="A100:K102 L38"/>
    </sheetView>
  </sheetViews>
  <sheetFormatPr defaultColWidth="9.140625" defaultRowHeight="15"/>
  <cols>
    <col min="1" max="1" width="0.140625" style="134" customWidth="1"/>
    <col min="2" max="2" width="9.140625" style="134"/>
    <col min="3" max="3" width="25.7109375" style="134" customWidth="1"/>
    <col min="4" max="4" width="3.7109375" style="134" customWidth="1"/>
    <col min="5" max="5" width="14.140625" style="134" customWidth="1"/>
    <col min="6" max="6" width="8.140625" style="134" customWidth="1"/>
    <col min="7" max="7" width="10" style="135" customWidth="1"/>
    <col min="8" max="8" width="7.7109375" style="135" customWidth="1"/>
    <col min="9" max="9" width="17" style="135" customWidth="1"/>
    <col min="10" max="10" width="17.140625" style="134" customWidth="1"/>
    <col min="11" max="1024" width="9.140625" style="134"/>
  </cols>
  <sheetData>
    <row r="1" spans="1:17">
      <c r="B1" s="336"/>
      <c r="C1" s="336"/>
      <c r="D1" s="336"/>
      <c r="E1" s="336"/>
      <c r="F1" s="336"/>
      <c r="G1" s="336"/>
      <c r="H1" s="336"/>
      <c r="I1" s="336"/>
      <c r="J1" s="336"/>
    </row>
    <row r="2" spans="1:17" ht="15" customHeight="1">
      <c r="F2" s="337" t="s">
        <v>223</v>
      </c>
      <c r="G2" s="337"/>
      <c r="H2" s="337"/>
      <c r="I2" s="337"/>
      <c r="J2" s="337"/>
    </row>
    <row r="3" spans="1:17">
      <c r="F3" s="318" t="s">
        <v>224</v>
      </c>
      <c r="G3" s="318"/>
      <c r="H3" s="318"/>
      <c r="I3" s="318"/>
      <c r="J3" s="318"/>
    </row>
    <row r="4" spans="1:17">
      <c r="F4" s="318" t="s">
        <v>225</v>
      </c>
      <c r="G4" s="318"/>
      <c r="H4" s="318"/>
      <c r="I4" s="318"/>
      <c r="J4" s="318"/>
    </row>
    <row r="5" spans="1:17">
      <c r="F5" s="318" t="s">
        <v>226</v>
      </c>
      <c r="G5" s="318"/>
      <c r="H5" s="318"/>
      <c r="I5" s="318"/>
      <c r="J5" s="318"/>
    </row>
    <row r="6" spans="1:17">
      <c r="F6" s="318" t="s">
        <v>227</v>
      </c>
      <c r="G6" s="318"/>
      <c r="H6" s="318"/>
      <c r="I6" s="318"/>
      <c r="J6" s="318"/>
    </row>
    <row r="7" spans="1:17">
      <c r="B7" s="331"/>
      <c r="C7" s="331"/>
      <c r="D7" s="331"/>
      <c r="E7" s="331"/>
      <c r="F7" s="331"/>
      <c r="G7" s="331"/>
      <c r="H7" s="331"/>
      <c r="I7" s="331"/>
      <c r="J7" s="331"/>
    </row>
    <row r="8" spans="1:17" ht="26.25" customHeight="1">
      <c r="B8" s="332" t="s">
        <v>228</v>
      </c>
      <c r="C8" s="333" t="str">
        <f>'Bilgi Giriş Sayfası'!C2</f>
        <v>Aygen Mekatronik San.Ve Tic.Ltd.Şti</v>
      </c>
      <c r="D8" s="333"/>
      <c r="E8" s="333"/>
      <c r="F8" s="333"/>
      <c r="I8" s="334" t="s">
        <v>229</v>
      </c>
      <c r="J8" s="334"/>
    </row>
    <row r="9" spans="1:17" s="134" customFormat="1" ht="18.75" customHeight="1">
      <c r="B9" s="332"/>
      <c r="C9" s="333"/>
      <c r="D9" s="333"/>
      <c r="E9" s="333"/>
      <c r="F9" s="333"/>
      <c r="H9" s="138"/>
      <c r="I9" s="335">
        <f ca="1">'Bilgi Giriş Sayfası'!F16</f>
        <v>44587</v>
      </c>
      <c r="J9" s="335"/>
    </row>
    <row r="10" spans="1:17" ht="16.5" customHeight="1">
      <c r="B10" s="326" t="s">
        <v>230</v>
      </c>
      <c r="C10" s="327" t="str">
        <f>""&amp;'Bilgi Giriş Sayfası'!C4</f>
        <v>Hatay</v>
      </c>
      <c r="D10" s="327"/>
      <c r="E10" s="327"/>
      <c r="F10" s="327"/>
      <c r="G10" s="139"/>
      <c r="H10" s="139"/>
      <c r="I10" s="139"/>
    </row>
    <row r="11" spans="1:17" ht="15" customHeight="1">
      <c r="B11" s="326"/>
      <c r="C11" s="327"/>
      <c r="D11" s="327"/>
      <c r="E11" s="327"/>
      <c r="F11" s="327"/>
      <c r="G11" s="139"/>
      <c r="H11" s="139"/>
      <c r="I11" s="328" t="s">
        <v>231</v>
      </c>
      <c r="J11" s="328"/>
    </row>
    <row r="12" spans="1:17" ht="15.75" customHeight="1">
      <c r="A12" s="140"/>
      <c r="B12" s="141" t="s">
        <v>232</v>
      </c>
      <c r="C12" s="142" t="str">
        <f>'Bilgi Giriş Sayfası'!C5&amp;"V.D."</f>
        <v>-V.D.</v>
      </c>
      <c r="D12" s="329" t="str">
        <f>'Bilgi Giriş Sayfası'!C6</f>
        <v>-</v>
      </c>
      <c r="E12" s="329"/>
      <c r="F12" s="329"/>
      <c r="G12" s="143"/>
      <c r="H12" s="143"/>
      <c r="I12" s="330">
        <f ca="1">I9+10</f>
        <v>44597</v>
      </c>
      <c r="J12" s="330"/>
      <c r="M12" s="138"/>
      <c r="P12" s="144"/>
      <c r="Q12" s="144"/>
    </row>
    <row r="13" spans="1:17" ht="15.75" customHeight="1">
      <c r="A13" s="140"/>
      <c r="B13" s="145"/>
      <c r="C13" s="146"/>
      <c r="D13" s="147"/>
      <c r="E13" s="147"/>
      <c r="F13" s="147"/>
      <c r="G13" s="143"/>
      <c r="H13" s="143"/>
      <c r="I13" s="143"/>
      <c r="J13" s="148"/>
      <c r="M13" s="138"/>
      <c r="P13" s="144"/>
      <c r="Q13" s="144"/>
    </row>
    <row r="14" spans="1:17" ht="30.75" customHeight="1">
      <c r="B14" s="322" t="s">
        <v>233</v>
      </c>
      <c r="C14" s="322"/>
      <c r="D14" s="322"/>
      <c r="E14" s="322"/>
      <c r="F14" s="322"/>
      <c r="G14" s="322"/>
      <c r="H14" s="322"/>
      <c r="I14" s="322"/>
      <c r="J14" s="322"/>
    </row>
    <row r="15" spans="1:17" ht="15" customHeight="1">
      <c r="B15" s="149"/>
      <c r="C15" s="150"/>
      <c r="D15" s="151"/>
      <c r="E15" s="151"/>
      <c r="F15" s="151"/>
      <c r="G15" s="151"/>
      <c r="H15" s="151"/>
      <c r="I15" s="151"/>
      <c r="J15" s="152"/>
    </row>
    <row r="16" spans="1:17" ht="15.75">
      <c r="B16" s="153" t="s">
        <v>234</v>
      </c>
      <c r="C16" s="323" t="s">
        <v>235</v>
      </c>
      <c r="D16" s="323"/>
      <c r="E16" s="323"/>
      <c r="F16" s="323"/>
      <c r="G16" s="154" t="s">
        <v>180</v>
      </c>
      <c r="H16" s="154" t="s">
        <v>181</v>
      </c>
      <c r="I16" s="155" t="s">
        <v>236</v>
      </c>
      <c r="J16" s="156" t="s">
        <v>237</v>
      </c>
    </row>
    <row r="17" spans="2:13" ht="18" customHeight="1">
      <c r="B17" s="324">
        <v>1</v>
      </c>
      <c r="C17" s="325"/>
      <c r="D17" s="325"/>
      <c r="E17" s="325"/>
      <c r="F17" s="325"/>
      <c r="G17" s="157"/>
      <c r="H17" s="158"/>
      <c r="I17" s="159"/>
      <c r="J17" s="160"/>
      <c r="L17" s="134" t="s">
        <v>268</v>
      </c>
      <c r="M17" s="193">
        <v>6.5</v>
      </c>
    </row>
    <row r="18" spans="2:13" ht="18" customHeight="1">
      <c r="B18" s="324"/>
      <c r="C18" s="320" t="str">
        <f>'Bilgi Giriş Sayfası'!C20&amp;" Cnc Plazma Kesim Makinası"</f>
        <v>RED LİNE Cnc Plazma Kesim Makinası</v>
      </c>
      <c r="D18" s="320"/>
      <c r="E18" s="320"/>
      <c r="F18" s="320"/>
      <c r="G18" s="161">
        <f>'Bilgi Giriş Sayfası'!G3</f>
        <v>1</v>
      </c>
      <c r="H18" s="162" t="s">
        <v>238</v>
      </c>
      <c r="I18" s="204">
        <f>'Bilgi Giriş Sayfası'!F3/M17</f>
        <v>33384.615384615383</v>
      </c>
      <c r="J18" s="205">
        <f>G18*I18</f>
        <v>33384.615384615383</v>
      </c>
    </row>
    <row r="19" spans="2:13" ht="18" customHeight="1">
      <c r="B19" s="324"/>
      <c r="C19" s="320" t="str">
        <f>'Bilgi Giriş Sayfası'!F20&amp;" Kesim Alanı"</f>
        <v>1500 x 3000 mm Kesim Alanı</v>
      </c>
      <c r="D19" s="320"/>
      <c r="E19" s="320"/>
      <c r="F19" s="320"/>
      <c r="G19" s="165"/>
      <c r="H19" s="162"/>
      <c r="I19" s="206"/>
      <c r="J19" s="205"/>
    </row>
    <row r="20" spans="2:13" ht="18" customHeight="1">
      <c r="B20" s="324"/>
      <c r="C20" s="320" t="str">
        <f>'Bilgi Giriş Sayfası'!F21&amp;" Tezgah Ölçüleri"</f>
        <v>2300 x 4000 mm Tezgah Ölçüleri</v>
      </c>
      <c r="D20" s="320"/>
      <c r="E20" s="320"/>
      <c r="F20" s="320"/>
      <c r="G20" s="165"/>
      <c r="H20" s="162"/>
      <c r="I20" s="206"/>
      <c r="J20" s="205"/>
    </row>
    <row r="21" spans="2:13" ht="18" customHeight="1">
      <c r="B21" s="324"/>
      <c r="C21" s="320" t="str">
        <f>'Bilgi Giriş Sayfası'!C21&amp;" Plazma Kesim Ünitesi"</f>
        <v>Hypertherm Powermax 105 Plazma Kesim Ünitesi</v>
      </c>
      <c r="D21" s="320"/>
      <c r="E21" s="320"/>
      <c r="F21" s="320"/>
      <c r="G21" s="165"/>
      <c r="H21" s="162"/>
      <c r="I21" s="206"/>
      <c r="J21" s="205"/>
    </row>
    <row r="22" spans="2:13" ht="18" customHeight="1">
      <c r="B22" s="324"/>
      <c r="C22" s="320" t="str">
        <f>'Bilgi Giriş Sayfası'!C22&amp;" Kesim Kalınlığı"</f>
        <v>1 mm - 22 mm Kesim Kalınlığı</v>
      </c>
      <c r="D22" s="320"/>
      <c r="E22" s="320"/>
      <c r="F22" s="320"/>
      <c r="G22" s="165"/>
      <c r="H22" s="162"/>
      <c r="I22" s="206"/>
      <c r="J22" s="205"/>
    </row>
    <row r="23" spans="2:13" ht="18" customHeight="1">
      <c r="B23" s="324"/>
      <c r="C23" s="320" t="str">
        <f>'Bilgi Giriş Sayfası'!C23&amp;" Hassas Lineer Kızak"</f>
        <v>Hassas Lineer Ray Hassas Lineer Kızak</v>
      </c>
      <c r="D23" s="320"/>
      <c r="E23" s="320"/>
      <c r="F23" s="320"/>
      <c r="G23" s="165"/>
      <c r="H23" s="162"/>
      <c r="I23" s="206"/>
      <c r="J23" s="205"/>
    </row>
    <row r="24" spans="2:13" ht="18" customHeight="1">
      <c r="B24" s="324"/>
      <c r="C24" s="320" t="str">
        <f>'Bilgi Giriş Sayfası'!C24&amp;" Ve Pinyon"</f>
        <v>Hassas Helis Kremayer Ve Pinyon</v>
      </c>
      <c r="D24" s="320"/>
      <c r="E24" s="320"/>
      <c r="F24" s="320"/>
      <c r="G24" s="165"/>
      <c r="H24" s="162"/>
      <c r="I24" s="206"/>
      <c r="J24" s="205"/>
    </row>
    <row r="25" spans="2:13" ht="18" customHeight="1">
      <c r="B25" s="324"/>
      <c r="C25" s="320" t="str">
        <f>"Motor Tipi "&amp;'Bilgi Giriş Sayfası'!C25</f>
        <v>Motor Tipi 8,5 Nm Leadshine Digital Stepper</v>
      </c>
      <c r="D25" s="320"/>
      <c r="E25" s="320"/>
      <c r="F25" s="320"/>
      <c r="G25" s="165"/>
      <c r="H25" s="162"/>
      <c r="I25" s="206"/>
      <c r="J25" s="205"/>
    </row>
    <row r="26" spans="2:13" ht="18" customHeight="1">
      <c r="B26" s="324"/>
      <c r="C26" s="320" t="str">
        <f>'Bilgi Giriş Sayfası'!F22&amp;" Tabanlı Cnc Kontrol Ünitesi"</f>
        <v>Windows Tabanlı Cnc Kontrol Ünitesi</v>
      </c>
      <c r="D26" s="320"/>
      <c r="E26" s="320"/>
      <c r="F26" s="320"/>
      <c r="G26" s="165"/>
      <c r="H26" s="162"/>
      <c r="I26" s="206"/>
      <c r="J26" s="205"/>
    </row>
    <row r="27" spans="2:13" ht="18" customHeight="1">
      <c r="B27" s="324"/>
      <c r="C27" s="320" t="str">
        <f>'Bilgi Giriş Sayfası'!F23&amp;" Yükseklik Kontrol Ünitesi"</f>
        <v>Kapasitif Yükseklik Kontrol Ünitesi</v>
      </c>
      <c r="D27" s="320"/>
      <c r="E27" s="320"/>
      <c r="F27" s="320"/>
      <c r="G27" s="165"/>
      <c r="H27" s="162"/>
      <c r="I27" s="206"/>
      <c r="J27" s="205"/>
      <c r="M27" s="135"/>
    </row>
    <row r="28" spans="2:13" ht="18" customHeight="1">
      <c r="B28" s="324"/>
      <c r="C28" s="320" t="str">
        <f>IF('Bilgi Giriş Sayfası'!C26='Parametre Sayfası'!H14,"Oksijen Torcu Yerli (200 mm'ye Kadar)",IF('Bilgi Giriş Sayfası'!C26='Parametre Sayfası'!H15,"Tanaka Oksijen Torcu (200 mm'ye Kadar Kesim)",IF('Bilgi Giriş Sayfası'!C26='Parametre Sayfası'!H16,"Oksijen Torcu İthal (200 mm'ye Kadar)",IF('Bilgi Giriş Sayfası'!C26='Parametre Sayfası'!H17," "))))</f>
        <v>Tanaka Oksijen Torcu (200 mm'ye Kadar Kesim)</v>
      </c>
      <c r="D28" s="320"/>
      <c r="E28" s="320"/>
      <c r="F28" s="320"/>
      <c r="G28" s="165"/>
      <c r="H28" s="162"/>
      <c r="I28" s="206"/>
      <c r="J28" s="205"/>
    </row>
    <row r="29" spans="2:13" ht="18" customHeight="1">
      <c r="B29" s="324"/>
      <c r="C29" s="320" t="str">
        <f>IF('Bilgi Giriş Sayfası'!F26='Parametre Sayfası'!J14,"2 KVA Güç Kaynağı",IF('Bilgi Giriş Sayfası'!F26='Parametre Sayfası'!J15," "))</f>
        <v>2 KVA Güç Kaynağı</v>
      </c>
      <c r="D29" s="320"/>
      <c r="E29" s="320"/>
      <c r="F29" s="320"/>
      <c r="G29" s="161" t="str">
        <f>IF('Bilgi Giriş Sayfası'!G6=1,"1",IF('Bilgi Giriş Sayfası'!G6=0," "))</f>
        <v xml:space="preserve"> </v>
      </c>
      <c r="H29" s="161" t="str">
        <f>IF('Bilgi Giriş Sayfası'!G6=1,"Adet",IF('Bilgi Giriş Sayfası'!G6=0," "))</f>
        <v xml:space="preserve"> </v>
      </c>
      <c r="I29" s="206" t="str">
        <f>IF('Bilgi Giriş Sayfası'!G6=1,'Bilgi Giriş Sayfası'!F6/M17,IF('Bilgi Giriş Sayfası'!G6=0," "))</f>
        <v xml:space="preserve"> </v>
      </c>
      <c r="J29" s="205" t="str">
        <f>IF('Bilgi Giriş Sayfası'!G6=1,'Bilgi Giriş Sayfası'!F6*'Bilgi Giriş Sayfası'!G6/M17,IF('Bilgi Giriş Sayfası'!G6=0,""))</f>
        <v/>
      </c>
    </row>
    <row r="30" spans="2:13" ht="18" customHeight="1">
      <c r="B30" s="324"/>
      <c r="C30" s="320" t="str">
        <f>IF('Bilgi Giriş Sayfası'!F25='Parametre Sayfası'!R4,"6000 M³ Fan",IF('Bilgi Giriş Sayfası'!F25='Parametre Sayfası'!R5,"20.000 M³ Fan",IF('Bilgi Giriş Sayfası'!F25='Parametre Sayfası'!R3," ")))</f>
        <v>20.000 M³ Fan</v>
      </c>
      <c r="D30" s="320"/>
      <c r="E30" s="320"/>
      <c r="F30" s="320"/>
      <c r="G30" s="161" t="str">
        <f>IF('Bilgi Giriş Sayfası'!G5=1,"1",IF('Bilgi Giriş Sayfası'!G5=0," "))</f>
        <v xml:space="preserve"> </v>
      </c>
      <c r="H30" s="162" t="str">
        <f>IF('Bilgi Giriş Sayfası'!G5=1,"Adet",IF('Bilgi Giriş Sayfası'!G5=0," "))</f>
        <v xml:space="preserve"> </v>
      </c>
      <c r="I30" s="206" t="str">
        <f>IF('Bilgi Giriş Sayfası'!G5=1,'Bilgi Giriş Sayfası'!F5/M17,IF('Bilgi Giriş Sayfası'!G5=0," "))</f>
        <v xml:space="preserve"> </v>
      </c>
      <c r="J30" s="205" t="str">
        <f>IF('Bilgi Giriş Sayfası'!G5=1,'Bilgi Giriş Sayfası'!F5*'Bilgi Giriş Sayfası'!G5/M17,IF('Bilgi Giriş Sayfası'!G5=0,""))</f>
        <v/>
      </c>
    </row>
    <row r="31" spans="2:13" ht="18" customHeight="1">
      <c r="B31" s="324"/>
      <c r="C31" s="320" t="str">
        <f>IF('Bilgi Giriş Sayfası'!C27='Parametre Sayfası'!M14,"Kompresör Dahildir",IF('Bilgi Giriş Sayfası'!C27='Parametre Sayfası'!M15,"  "))</f>
        <v xml:space="preserve">  </v>
      </c>
      <c r="D31" s="320"/>
      <c r="E31" s="320"/>
      <c r="F31" s="320"/>
      <c r="G31" s="161" t="str">
        <f>IF('Bilgi Giriş Sayfası'!G4=1,"1",IF('Bilgi Giriş Sayfası'!G4=0," "))</f>
        <v>1</v>
      </c>
      <c r="H31" s="162" t="str">
        <f>IF('Bilgi Giriş Sayfası'!G4=1,"Adet",IF('Bilgi Giriş Sayfası'!G4=0," "))</f>
        <v>Adet</v>
      </c>
      <c r="I31" s="206">
        <f>IF('Bilgi Giriş Sayfası'!G4=1,'Bilgi Giriş Sayfası'!F4/M17,IF('Bilgi Giriş Sayfası'!G4=0," "))</f>
        <v>0</v>
      </c>
      <c r="J31" s="205">
        <f>IF('Bilgi Giriş Sayfası'!G4=1,'Bilgi Giriş Sayfası'!F4*'Bilgi Giriş Sayfası'!G4/M17,IF('Bilgi Giriş Sayfası'!G4=0,""))</f>
        <v>0</v>
      </c>
    </row>
    <row r="32" spans="2:13" ht="18" customHeight="1">
      <c r="B32" s="324"/>
      <c r="C32" s="320" t="str">
        <f>IF('Bilgi Giriş Sayfası'!F27='Parametre Sayfası'!O14,"Kurutucu Dahildir",IF('Bilgi Giriş Sayfası'!F27='Parametre Sayfası'!O15,"  "))</f>
        <v>Kurutucu Dahildir</v>
      </c>
      <c r="D32" s="320"/>
      <c r="E32" s="320"/>
      <c r="F32" s="320"/>
      <c r="G32" s="161" t="str">
        <f>IF('Bilgi Giriş Sayfası'!G7=1,"1",IF('Bilgi Giriş Sayfası'!G7=0," "))</f>
        <v>1</v>
      </c>
      <c r="H32" s="162" t="str">
        <f>IF('Bilgi Giriş Sayfası'!G7=1,"Adet",IF('Bilgi Giriş Sayfası'!G7=0," "))</f>
        <v>Adet</v>
      </c>
      <c r="I32" s="206">
        <f>IF('Bilgi Giriş Sayfası'!G7=1,'Bilgi Giriş Sayfası'!F7/M17,IF('Bilgi Giriş Sayfası'!G7=0," "))</f>
        <v>0</v>
      </c>
      <c r="J32" s="205">
        <f>IF('Bilgi Giriş Sayfası'!G7=1,'Bilgi Giriş Sayfası'!F7*'Bilgi Giriş Sayfası'!G7/M17,IF('Bilgi Giriş Sayfası'!G7=0,""))</f>
        <v>0</v>
      </c>
    </row>
    <row r="33" spans="2:10" ht="18" customHeight="1">
      <c r="B33" s="324"/>
      <c r="C33" s="320" t="s">
        <v>239</v>
      </c>
      <c r="D33" s="320"/>
      <c r="E33" s="320"/>
      <c r="F33" s="320"/>
      <c r="G33" s="165"/>
      <c r="H33" s="162"/>
      <c r="I33" s="206"/>
      <c r="J33" s="205"/>
    </row>
    <row r="34" spans="2:10" ht="18" customHeight="1">
      <c r="B34" s="324"/>
      <c r="C34" s="321" t="s">
        <v>240</v>
      </c>
      <c r="D34" s="321"/>
      <c r="E34" s="321"/>
      <c r="F34" s="321"/>
      <c r="G34" s="169"/>
      <c r="H34" s="170"/>
      <c r="I34" s="207"/>
      <c r="J34" s="208"/>
    </row>
    <row r="35" spans="2:10" ht="18" customHeight="1">
      <c r="B35" s="173"/>
      <c r="C35" s="174"/>
      <c r="D35" s="174"/>
      <c r="E35" s="174"/>
      <c r="F35" s="174"/>
      <c r="G35" s="175"/>
      <c r="H35" s="176"/>
      <c r="I35" s="177" t="s">
        <v>241</v>
      </c>
      <c r="J35" s="209">
        <f>SUM(J18:J34)</f>
        <v>33384.615384615383</v>
      </c>
    </row>
    <row r="36" spans="2:10" ht="18" customHeight="1">
      <c r="B36" s="173"/>
      <c r="C36" s="174"/>
      <c r="D36" s="174"/>
      <c r="E36" s="179" t="str">
        <f>IF('Bilgi Giriş Sayfası'!F8='Parametre Sayfası'!B14,"1,01",IF('Bilgi Giriş Sayfası'!F8='Parametre Sayfası'!B16,"1,18",IF('Bilgi Giriş Sayfası'!F8='Parametre Sayfası'!B17,"1")))</f>
        <v>1</v>
      </c>
      <c r="F36" s="179"/>
      <c r="G36" s="180"/>
      <c r="H36" s="181"/>
      <c r="I36" s="182" t="s">
        <v>255</v>
      </c>
      <c r="J36" s="209">
        <f>J35*18%</f>
        <v>6009.2307692307686</v>
      </c>
    </row>
    <row r="37" spans="2:10" ht="18" customHeight="1">
      <c r="B37" s="173"/>
      <c r="C37" s="174"/>
      <c r="D37" s="174"/>
      <c r="E37" s="179">
        <f>J35*E36</f>
        <v>33384.615384615383</v>
      </c>
      <c r="F37" s="179"/>
      <c r="G37" s="136"/>
      <c r="H37" s="183"/>
      <c r="I37" s="177" t="s">
        <v>242</v>
      </c>
      <c r="J37" s="209">
        <f>J35+J36</f>
        <v>39393.846153846149</v>
      </c>
    </row>
    <row r="38" spans="2:10" ht="15.75">
      <c r="B38" s="137"/>
      <c r="C38" s="184"/>
      <c r="D38" s="184"/>
      <c r="E38" s="184"/>
      <c r="F38" s="184"/>
      <c r="G38" s="318"/>
      <c r="H38" s="318"/>
      <c r="I38" s="318"/>
      <c r="J38" s="318"/>
    </row>
    <row r="39" spans="2:10" ht="15" customHeight="1">
      <c r="B39" s="185" t="s">
        <v>243</v>
      </c>
      <c r="C39" s="186" t="s">
        <v>244</v>
      </c>
      <c r="H39" s="136"/>
      <c r="I39" s="136"/>
      <c r="J39" s="122"/>
    </row>
    <row r="40" spans="2:10" s="134" customFormat="1" ht="15" customHeight="1">
      <c r="B40" s="185" t="s">
        <v>245</v>
      </c>
      <c r="C40" s="186" t="s">
        <v>246</v>
      </c>
      <c r="G40" s="135"/>
    </row>
    <row r="41" spans="2:10" s="134" customFormat="1" ht="15" customHeight="1">
      <c r="B41" s="185" t="s">
        <v>247</v>
      </c>
      <c r="C41" s="186">
        <v>30059</v>
      </c>
      <c r="G41" s="135"/>
    </row>
    <row r="42" spans="2:10" s="134" customFormat="1" ht="15" customHeight="1">
      <c r="B42" s="185" t="s">
        <v>248</v>
      </c>
      <c r="C42" s="186" t="s">
        <v>249</v>
      </c>
      <c r="G42" s="135"/>
    </row>
    <row r="43" spans="2:10" s="134" customFormat="1" ht="15" customHeight="1">
      <c r="G43" s="135"/>
    </row>
    <row r="44" spans="2:10" s="134" customFormat="1" ht="15" customHeight="1">
      <c r="B44" s="185" t="s">
        <v>243</v>
      </c>
      <c r="C44" s="186" t="s">
        <v>250</v>
      </c>
      <c r="D44" s="187"/>
      <c r="E44" s="187"/>
      <c r="F44" s="187"/>
      <c r="G44" s="187"/>
    </row>
    <row r="45" spans="2:10" s="134" customFormat="1" ht="15" customHeight="1">
      <c r="B45" s="185" t="s">
        <v>245</v>
      </c>
      <c r="C45" s="186" t="s">
        <v>251</v>
      </c>
      <c r="D45" s="188"/>
      <c r="E45" s="188"/>
      <c r="F45" s="188"/>
      <c r="G45" s="188"/>
    </row>
    <row r="46" spans="2:10" s="134" customFormat="1">
      <c r="B46" s="185" t="s">
        <v>247</v>
      </c>
      <c r="C46" s="189" t="s">
        <v>252</v>
      </c>
      <c r="D46" s="188"/>
      <c r="E46" s="188"/>
      <c r="F46" s="188"/>
      <c r="G46" s="188"/>
    </row>
    <row r="47" spans="2:10" s="134" customFormat="1">
      <c r="B47" s="185" t="s">
        <v>248</v>
      </c>
      <c r="C47" s="186" t="s">
        <v>253</v>
      </c>
      <c r="D47" s="188"/>
      <c r="E47" s="188"/>
      <c r="F47" s="188"/>
      <c r="G47" s="188"/>
    </row>
    <row r="48" spans="2:10" s="134" customFormat="1" ht="15" customHeight="1">
      <c r="B48" s="188"/>
      <c r="C48" s="188"/>
      <c r="D48" s="188"/>
      <c r="E48" s="188"/>
      <c r="F48" s="188"/>
      <c r="G48" s="188"/>
    </row>
    <row r="49" spans="2:10" s="134" customFormat="1" ht="15" customHeight="1">
      <c r="B49" s="188"/>
      <c r="C49" s="188"/>
      <c r="D49" s="188"/>
      <c r="E49" s="188"/>
      <c r="F49" s="188"/>
      <c r="G49" s="188"/>
    </row>
    <row r="50" spans="2:10" ht="15" customHeight="1">
      <c r="B50" s="319" t="s">
        <v>254</v>
      </c>
      <c r="C50" s="319"/>
      <c r="D50" s="319"/>
      <c r="E50" s="319"/>
      <c r="F50" s="319"/>
      <c r="G50" s="319"/>
      <c r="H50" s="319"/>
      <c r="I50" s="319"/>
      <c r="J50" s="319"/>
    </row>
    <row r="51" spans="2:10" ht="15" customHeight="1">
      <c r="B51" s="319"/>
      <c r="C51" s="319"/>
      <c r="D51" s="319"/>
      <c r="E51" s="319"/>
      <c r="F51" s="319"/>
      <c r="G51" s="319"/>
      <c r="H51" s="319"/>
      <c r="I51" s="319"/>
      <c r="J51" s="319"/>
    </row>
    <row r="52" spans="2:10" ht="15" customHeight="1">
      <c r="B52" s="319"/>
      <c r="C52" s="319"/>
      <c r="D52" s="319"/>
      <c r="E52" s="319"/>
      <c r="F52" s="319"/>
      <c r="G52" s="319"/>
      <c r="H52" s="319"/>
      <c r="I52" s="319"/>
      <c r="J52" s="319"/>
    </row>
    <row r="53" spans="2:10" s="134" customFormat="1" ht="21" customHeight="1">
      <c r="C53" s="190"/>
      <c r="D53" s="122"/>
      <c r="E53" s="122"/>
      <c r="F53" s="122"/>
    </row>
    <row r="54" spans="2:10" s="134" customFormat="1" ht="14.25">
      <c r="C54" s="122"/>
      <c r="D54" s="122"/>
      <c r="E54" s="122"/>
      <c r="F54" s="122"/>
    </row>
    <row r="55" spans="2:10" s="134" customFormat="1" ht="14.25"/>
    <row r="56" spans="2:10" s="134" customFormat="1" ht="14.25"/>
    <row r="57" spans="2:10" s="134" customFormat="1" ht="14.25"/>
    <row r="58" spans="2:10" s="134" customFormat="1" ht="14.25"/>
  </sheetData>
  <mergeCells count="39">
    <mergeCell ref="B1:J1"/>
    <mergeCell ref="F2:J2"/>
    <mergeCell ref="F3:J3"/>
    <mergeCell ref="F4:J4"/>
    <mergeCell ref="F5:J5"/>
    <mergeCell ref="F6:J6"/>
    <mergeCell ref="B7:J7"/>
    <mergeCell ref="B8:B9"/>
    <mergeCell ref="C8:F9"/>
    <mergeCell ref="I8:J8"/>
    <mergeCell ref="I9:J9"/>
    <mergeCell ref="B10:B11"/>
    <mergeCell ref="C10:F11"/>
    <mergeCell ref="I11:J11"/>
    <mergeCell ref="D12:F12"/>
    <mergeCell ref="I12:J12"/>
    <mergeCell ref="B14:J14"/>
    <mergeCell ref="C16:F16"/>
    <mergeCell ref="B17:B34"/>
    <mergeCell ref="C17:F17"/>
    <mergeCell ref="C18:F18"/>
    <mergeCell ref="C19:F19"/>
    <mergeCell ref="C20:F20"/>
    <mergeCell ref="C21:F21"/>
    <mergeCell ref="C22:F22"/>
    <mergeCell ref="C23:F23"/>
    <mergeCell ref="C24:F24"/>
    <mergeCell ref="C25:F25"/>
    <mergeCell ref="C26:F26"/>
    <mergeCell ref="C27:F27"/>
    <mergeCell ref="C28:F28"/>
    <mergeCell ref="C29:F29"/>
    <mergeCell ref="G38:J38"/>
    <mergeCell ref="B50:J52"/>
    <mergeCell ref="C30:F30"/>
    <mergeCell ref="C31:F31"/>
    <mergeCell ref="C32:F32"/>
    <mergeCell ref="C33:F33"/>
    <mergeCell ref="C34:F34"/>
  </mergeCells>
  <printOptions horizontalCentered="1"/>
  <pageMargins left="0" right="0" top="0.196527777777778" bottom="0.196527777777778" header="0.511811023622047" footer="0.511811023622047"/>
  <pageSetup paperSize="9" scale="90"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8"/>
  <sheetViews>
    <sheetView showGridLines="0" view="pageBreakPreview" zoomScale="95" zoomScaleNormal="100" zoomScalePageLayoutView="95" workbookViewId="0">
      <selection activeCellId="1" sqref="A100:K102 A1"/>
    </sheetView>
  </sheetViews>
  <sheetFormatPr defaultColWidth="9.140625" defaultRowHeight="15"/>
  <cols>
    <col min="1" max="1" width="0.140625" style="134" customWidth="1"/>
    <col min="2" max="2" width="10.7109375" style="134" customWidth="1"/>
    <col min="3" max="6" width="14.7109375" style="134" customWidth="1"/>
    <col min="7" max="8" width="7.7109375" style="135" customWidth="1"/>
    <col min="9" max="9" width="14.7109375" style="135" customWidth="1"/>
    <col min="10" max="10" width="15.42578125" style="134" customWidth="1"/>
    <col min="11" max="13" width="9.140625" style="134"/>
    <col min="14" max="14" width="9.85546875" style="134" customWidth="1"/>
    <col min="15" max="1024" width="9.140625" style="134"/>
  </cols>
  <sheetData>
    <row r="1" spans="1:17">
      <c r="B1" s="336"/>
      <c r="C1" s="336"/>
      <c r="D1" s="336"/>
      <c r="E1" s="336"/>
      <c r="F1" s="336"/>
      <c r="G1" s="336"/>
      <c r="H1" s="336"/>
      <c r="I1" s="336"/>
      <c r="J1" s="336"/>
    </row>
    <row r="2" spans="1:17" ht="15" customHeight="1">
      <c r="F2" s="337" t="s">
        <v>223</v>
      </c>
      <c r="G2" s="337"/>
      <c r="H2" s="337"/>
      <c r="I2" s="337"/>
      <c r="J2" s="337"/>
    </row>
    <row r="3" spans="1:17">
      <c r="F3" s="318" t="s">
        <v>224</v>
      </c>
      <c r="G3" s="318"/>
      <c r="H3" s="318"/>
      <c r="I3" s="318"/>
      <c r="J3" s="318"/>
    </row>
    <row r="4" spans="1:17">
      <c r="F4" s="318" t="s">
        <v>225</v>
      </c>
      <c r="G4" s="318"/>
      <c r="H4" s="318"/>
      <c r="I4" s="318"/>
      <c r="J4" s="318"/>
    </row>
    <row r="5" spans="1:17">
      <c r="F5" s="318" t="s">
        <v>226</v>
      </c>
      <c r="G5" s="318"/>
      <c r="H5" s="318"/>
      <c r="I5" s="318"/>
      <c r="J5" s="318"/>
    </row>
    <row r="6" spans="1:17">
      <c r="F6" s="318" t="s">
        <v>227</v>
      </c>
      <c r="G6" s="318"/>
      <c r="H6" s="318"/>
      <c r="I6" s="318"/>
      <c r="J6" s="318"/>
    </row>
    <row r="7" spans="1:17">
      <c r="B7" s="331"/>
      <c r="C7" s="331"/>
      <c r="D7" s="331"/>
      <c r="E7" s="331"/>
      <c r="F7" s="331"/>
      <c r="G7" s="331"/>
      <c r="H7" s="331"/>
      <c r="I7" s="331"/>
      <c r="J7" s="331"/>
    </row>
    <row r="8" spans="1:17" ht="26.25" customHeight="1">
      <c r="B8" s="345" t="s">
        <v>287</v>
      </c>
      <c r="C8" s="333" t="str">
        <f>'Bilgi Giriş Sayfası'!C2</f>
        <v>Aygen Mekatronik San.Ve Tic.Ltd.Şti</v>
      </c>
      <c r="D8" s="333"/>
      <c r="E8" s="333"/>
      <c r="F8" s="333"/>
      <c r="I8" s="334" t="s">
        <v>288</v>
      </c>
      <c r="J8" s="334"/>
    </row>
    <row r="9" spans="1:17" s="134" customFormat="1" ht="18.75" customHeight="1">
      <c r="B9" s="345"/>
      <c r="C9" s="333"/>
      <c r="D9" s="333"/>
      <c r="E9" s="333"/>
      <c r="F9" s="333"/>
      <c r="H9" s="138"/>
      <c r="I9" s="335">
        <f ca="1">'Bilgi Giriş Sayfası'!F16</f>
        <v>44587</v>
      </c>
      <c r="J9" s="335"/>
    </row>
    <row r="10" spans="1:17" ht="16.5" customHeight="1">
      <c r="B10" s="344" t="s">
        <v>289</v>
      </c>
      <c r="C10" s="327" t="str">
        <f>""&amp;'Bilgi Giriş Sayfası'!C4</f>
        <v>Hatay</v>
      </c>
      <c r="D10" s="327"/>
      <c r="E10" s="327"/>
      <c r="F10" s="327"/>
      <c r="G10" s="139"/>
      <c r="H10" s="139"/>
      <c r="I10" s="139"/>
    </row>
    <row r="11" spans="1:17" ht="15" customHeight="1">
      <c r="B11" s="344"/>
      <c r="C11" s="327"/>
      <c r="D11" s="327"/>
      <c r="E11" s="327"/>
      <c r="F11" s="327"/>
      <c r="G11" s="139"/>
      <c r="H11" s="139"/>
      <c r="I11" s="328" t="s">
        <v>261</v>
      </c>
      <c r="J11" s="328"/>
    </row>
    <row r="12" spans="1:17" ht="15.75" customHeight="1">
      <c r="A12" s="140"/>
      <c r="B12" s="210" t="s">
        <v>290</v>
      </c>
      <c r="C12" s="142" t="str">
        <f>'Bilgi Giriş Sayfası'!C5</f>
        <v>-</v>
      </c>
      <c r="D12" s="329" t="str">
        <f>'Bilgi Giriş Sayfası'!C6</f>
        <v>-</v>
      </c>
      <c r="E12" s="329"/>
      <c r="F12" s="329"/>
      <c r="G12" s="143"/>
      <c r="H12" s="143"/>
      <c r="I12" s="330">
        <f ca="1">I9+10</f>
        <v>44597</v>
      </c>
      <c r="J12" s="330"/>
      <c r="M12" s="138"/>
      <c r="P12" s="144"/>
      <c r="Q12" s="144"/>
    </row>
    <row r="13" spans="1:17" ht="15.75" customHeight="1">
      <c r="A13" s="140"/>
      <c r="B13" s="145"/>
      <c r="C13" s="146"/>
      <c r="D13" s="147"/>
      <c r="E13" s="147"/>
      <c r="F13" s="147"/>
      <c r="G13" s="143"/>
      <c r="H13" s="143"/>
      <c r="I13" s="143"/>
      <c r="J13" s="148"/>
      <c r="M13" s="138"/>
      <c r="P13" s="144"/>
      <c r="Q13" s="144"/>
    </row>
    <row r="14" spans="1:17" ht="30.75" customHeight="1">
      <c r="B14" s="322" t="s">
        <v>291</v>
      </c>
      <c r="C14" s="322"/>
      <c r="D14" s="322"/>
      <c r="E14" s="322"/>
      <c r="F14" s="322"/>
      <c r="G14" s="322"/>
      <c r="H14" s="322"/>
      <c r="I14" s="322"/>
      <c r="J14" s="322"/>
    </row>
    <row r="15" spans="1:17" ht="15" customHeight="1">
      <c r="B15" s="149"/>
      <c r="C15" s="150"/>
      <c r="D15" s="151"/>
      <c r="E15" s="151"/>
      <c r="F15" s="151"/>
      <c r="G15" s="151"/>
      <c r="H15" s="151"/>
      <c r="I15" s="151"/>
      <c r="J15" s="152"/>
    </row>
    <row r="16" spans="1:17" ht="15.75">
      <c r="B16" s="153" t="s">
        <v>261</v>
      </c>
      <c r="C16" s="323" t="s">
        <v>292</v>
      </c>
      <c r="D16" s="323"/>
      <c r="E16" s="323"/>
      <c r="F16" s="323"/>
      <c r="G16" s="211" t="s">
        <v>293</v>
      </c>
      <c r="H16" s="154" t="s">
        <v>294</v>
      </c>
      <c r="I16" s="155" t="s">
        <v>295</v>
      </c>
      <c r="J16" s="156" t="s">
        <v>296</v>
      </c>
    </row>
    <row r="17" spans="2:14" ht="18" customHeight="1">
      <c r="B17" s="212"/>
      <c r="C17" s="325"/>
      <c r="D17" s="325"/>
      <c r="E17" s="325"/>
      <c r="F17" s="325"/>
      <c r="G17" s="157"/>
      <c r="H17" s="158"/>
      <c r="I17" s="159"/>
      <c r="J17" s="160"/>
      <c r="M17" s="213" t="s">
        <v>297</v>
      </c>
      <c r="N17" s="214">
        <v>1</v>
      </c>
    </row>
    <row r="18" spans="2:14" ht="18" customHeight="1">
      <c r="B18" s="215">
        <v>1</v>
      </c>
      <c r="C18" s="320" t="str">
        <f>'Bilgi Giriş Sayfası'!C20&amp;  " CNC PLASMA CUTTİNG MACHİNES"</f>
        <v>RED LİNE CNC PLASMA CUTTİNG MACHİNES</v>
      </c>
      <c r="D18" s="320"/>
      <c r="E18" s="320"/>
      <c r="F18" s="320"/>
      <c r="G18" s="161">
        <f>'Bilgi Giriş Sayfası'!G3</f>
        <v>1</v>
      </c>
      <c r="H18" s="162" t="s">
        <v>298</v>
      </c>
      <c r="I18" s="216">
        <f>'Bilgi Giriş Sayfası'!F3/'Proforma (ingilizce-euro)'!N17</f>
        <v>217000</v>
      </c>
      <c r="J18" s="217">
        <f>G18*I18</f>
        <v>217000</v>
      </c>
    </row>
    <row r="19" spans="2:14" ht="18" customHeight="1">
      <c r="B19" s="215"/>
      <c r="C19" s="320" t="str">
        <f>'Bilgi Giriş Sayfası'!F20&amp;" CUTTİNG AREA"</f>
        <v>1500 x 3000 mm CUTTİNG AREA</v>
      </c>
      <c r="D19" s="320"/>
      <c r="E19" s="320"/>
      <c r="F19" s="320"/>
      <c r="G19" s="165"/>
      <c r="H19" s="162"/>
      <c r="I19" s="216"/>
      <c r="J19" s="217"/>
    </row>
    <row r="20" spans="2:14" ht="18" customHeight="1">
      <c r="B20" s="215"/>
      <c r="C20" s="320" t="str">
        <f>'Bilgi Giriş Sayfası'!F21&amp;" MACHINE DIMENSIONS"</f>
        <v>2300 x 4000 mm MACHINE DIMENSIONS</v>
      </c>
      <c r="D20" s="320"/>
      <c r="E20" s="320"/>
      <c r="F20" s="320"/>
      <c r="G20" s="165"/>
      <c r="H20" s="162"/>
      <c r="I20" s="216"/>
      <c r="J20" s="217"/>
    </row>
    <row r="21" spans="2:14" ht="18" customHeight="1">
      <c r="B21" s="215"/>
      <c r="C21" s="320" t="str">
        <f>'Bilgi Giriş Sayfası'!C21&amp;" PLASMA CUTTING UNIT"</f>
        <v>Hypertherm Powermax 105 PLASMA CUTTING UNIT</v>
      </c>
      <c r="D21" s="320"/>
      <c r="E21" s="320"/>
      <c r="F21" s="320"/>
      <c r="G21" s="165"/>
      <c r="H21" s="162"/>
      <c r="I21" s="216"/>
      <c r="J21" s="217"/>
    </row>
    <row r="22" spans="2:14" ht="18" customHeight="1">
      <c r="B22" s="215"/>
      <c r="C22" s="320" t="str">
        <f>'Bilgi Giriş Sayfası'!C22&amp;" CUTTING THICKNESS"</f>
        <v>1 mm - 22 mm CUTTING THICKNESS</v>
      </c>
      <c r="D22" s="320"/>
      <c r="E22" s="320"/>
      <c r="F22" s="320"/>
      <c r="G22" s="165"/>
      <c r="H22" s="162"/>
      <c r="I22" s="216"/>
      <c r="J22" s="217"/>
    </row>
    <row r="23" spans="2:14" ht="18" customHeight="1">
      <c r="B23" s="215"/>
      <c r="C23" s="320" t="str">
        <f>IF('Bilgi Giriş Sayfası'!C23='Parametre Sayfası'!Q3,"SENSITIVE LINEAR SLIDE",IF('Bilgi Giriş Sayfası'!C23='Parametre Sayfası'!Q4," "))</f>
        <v>SENSITIVE LINEAR SLIDE</v>
      </c>
      <c r="D23" s="320"/>
      <c r="E23" s="320"/>
      <c r="F23" s="320"/>
      <c r="G23" s="165"/>
      <c r="H23" s="162"/>
      <c r="I23" s="216"/>
      <c r="J23" s="217"/>
    </row>
    <row r="24" spans="2:14" ht="18" customHeight="1">
      <c r="B24" s="215"/>
      <c r="C24" s="320" t="str">
        <f>IF('Bilgi Giriş Sayfası'!C24='Parametre Sayfası'!P3,"PRECISION HELIS CREAMER AND PINION",IF('Bilgi Giriş Sayfası'!C24='Parametre Sayfası'!P4,"FLAT CREAM AND PINION",IF('Bilgi Giriş Sayfası'!C24='Parametre Sayfası'!P5," ")))</f>
        <v>PRECISION HELIS CREAMER AND PINION</v>
      </c>
      <c r="D24" s="320"/>
      <c r="E24" s="320"/>
      <c r="F24" s="320"/>
      <c r="G24" s="165"/>
      <c r="H24" s="162"/>
      <c r="I24" s="216"/>
      <c r="J24" s="217"/>
    </row>
    <row r="25" spans="2:14" ht="18" customHeight="1">
      <c r="B25" s="215"/>
      <c r="C25" s="320" t="str">
        <f>"ENGINE TYPE "&amp;'Bilgi Giriş Sayfası'!C25</f>
        <v>ENGINE TYPE 8,5 Nm Leadshine Digital Stepper</v>
      </c>
      <c r="D25" s="320"/>
      <c r="E25" s="320"/>
      <c r="F25" s="320"/>
      <c r="G25" s="165"/>
      <c r="H25" s="162"/>
      <c r="I25" s="216"/>
      <c r="J25" s="217"/>
    </row>
    <row r="26" spans="2:14" ht="18" customHeight="1">
      <c r="B26" s="215"/>
      <c r="C26" s="320" t="str">
        <f>'Bilgi Giriş Sayfası'!F22&amp;" BASED CNC CONTROL UNIT"</f>
        <v>Windows BASED CNC CONTROL UNIT</v>
      </c>
      <c r="D26" s="320"/>
      <c r="E26" s="320"/>
      <c r="F26" s="320"/>
      <c r="G26" s="165"/>
      <c r="H26" s="162"/>
      <c r="I26" s="216"/>
      <c r="J26" s="217"/>
    </row>
    <row r="27" spans="2:14" ht="18" customHeight="1">
      <c r="B27" s="215"/>
      <c r="C27" s="320" t="str">
        <f>IF('Bilgi Giriş Sayfası'!F23='Parametre Sayfası'!K3,"PNEUMATIC HEIGHT CONTROL UNIT",IF('Bilgi Giriş Sayfası'!F23='Parametre Sayfası'!K4,"ARC VOLTAGE CONTROLLED",IF('Bilgi Giriş Sayfası'!F23='Parametre Sayfası'!K5,"CAPACITIVE HEIGHT CONTROLLED",IF('Bilgi Giriş Sayfası'!F23='Parametre Sayfası'!K6," "))))</f>
        <v>CAPACITIVE HEIGHT CONTROLLED</v>
      </c>
      <c r="D27" s="320"/>
      <c r="E27" s="320"/>
      <c r="F27" s="320"/>
      <c r="G27" s="165"/>
      <c r="H27" s="162"/>
      <c r="I27" s="216"/>
      <c r="J27" s="217"/>
      <c r="M27" s="135"/>
    </row>
    <row r="28" spans="2:14" ht="18" customHeight="1">
      <c r="B28" s="215"/>
      <c r="C28" s="320" t="str">
        <f>IF('Bilgi Giriş Sayfası'!C26='Parametre Sayfası'!H14,"LOCAL PRODUCTION OXYGEN TORCH (200 MM)",IF('Bilgi Giriş Sayfası'!C26='Parametre Sayfası'!H15,"TANAKA OXYGEN TORCH (200 MM)",IF('Bilgi Giriş Sayfası'!C26='Parametre Sayfası'!H17,"NOT INCLUDED OXYGEN")))</f>
        <v>TANAKA OXYGEN TORCH (200 MM)</v>
      </c>
      <c r="D28" s="320"/>
      <c r="E28" s="320"/>
      <c r="F28" s="320"/>
      <c r="G28" s="165"/>
      <c r="H28" s="162"/>
      <c r="I28" s="216"/>
      <c r="J28" s="217"/>
    </row>
    <row r="29" spans="2:14" ht="18" customHeight="1">
      <c r="B29" s="215">
        <v>2</v>
      </c>
      <c r="C29" s="320" t="str">
        <f>IF('Bilgi Giriş Sayfası'!F26='Parametre Sayfası'!J14,"2 KVA UPS",IF('Bilgi Giriş Sayfası'!F26='Parametre Sayfası'!J15," "))</f>
        <v>2 KVA UPS</v>
      </c>
      <c r="D29" s="320"/>
      <c r="E29" s="320"/>
      <c r="F29" s="320"/>
      <c r="G29" s="161" t="str">
        <f>IF('Bilgi Giriş Sayfası'!G6=1,"1",IF('Bilgi Giriş Sayfası'!G6=0," "))</f>
        <v xml:space="preserve"> </v>
      </c>
      <c r="H29" s="162" t="str">
        <f>IF('Bilgi Giriş Sayfası'!G6=1,"qtyt",IF('Bilgi Giriş Sayfası'!G6=0," "))</f>
        <v xml:space="preserve"> </v>
      </c>
      <c r="I29" s="216" t="str">
        <f>IF('Bilgi Giriş Sayfası'!G6=1,'Bilgi Giriş Sayfası'!F6/N17,IF('Bilgi Giriş Sayfası'!G6=0," "))</f>
        <v xml:space="preserve"> </v>
      </c>
      <c r="J29" s="217" t="str">
        <f>IF('Bilgi Giriş Sayfası'!G6=1,'Bilgi Giriş Sayfası'!F6*'Bilgi Giriş Sayfası'!G6,IF('Bilgi Giriş Sayfası'!G6=0,""))</f>
        <v/>
      </c>
    </row>
    <row r="30" spans="2:14" ht="18" customHeight="1">
      <c r="B30" s="215">
        <v>3</v>
      </c>
      <c r="C30" s="343" t="str">
        <f>IF('Bilgi Giriş Sayfası'!F25='Parametre Sayfası'!R4,"6.000 M³ FAN",IF('Bilgi Giriş Sayfası'!F25='Parametre Sayfası'!R5,"20.000 M³ FAN",IF('Bilgi Giriş Sayfası'!F25='Parametre Sayfası'!R3," ")))</f>
        <v>20.000 M³ FAN</v>
      </c>
      <c r="D30" s="343"/>
      <c r="E30" s="343"/>
      <c r="F30" s="343"/>
      <c r="G30" s="161" t="str">
        <f>IF('Bilgi Giriş Sayfası'!G5=1,"1",IF('Bilgi Giriş Sayfası'!G5=0," "))</f>
        <v xml:space="preserve"> </v>
      </c>
      <c r="H30" s="162" t="str">
        <f>IF('Bilgi Giriş Sayfası'!G5=1,"qty",IF('Bilgi Giriş Sayfası'!G5=0," "))</f>
        <v xml:space="preserve"> </v>
      </c>
      <c r="I30" s="216" t="str">
        <f>IF('Bilgi Giriş Sayfası'!G5=1,'Bilgi Giriş Sayfası'!F5/N17,IF('Bilgi Giriş Sayfası'!G5=0," "))</f>
        <v xml:space="preserve"> </v>
      </c>
      <c r="J30" s="217" t="str">
        <f>IF('Bilgi Giriş Sayfası'!G5=1,'Bilgi Giriş Sayfası'!F5*'Bilgi Giriş Sayfası'!G5,IF('Bilgi Giriş Sayfası'!G5=0,""))</f>
        <v/>
      </c>
    </row>
    <row r="31" spans="2:14" ht="18" customHeight="1">
      <c r="B31" s="215">
        <v>4</v>
      </c>
      <c r="C31" s="320" t="str">
        <f>IF('Bilgi Giriş Sayfası'!C27='Parametre Sayfası'!M14,"COMPRESSOR INCLUDED",IF('Bilgi Giriş Sayfası'!C27='Parametre Sayfası'!M15," "))</f>
        <v xml:space="preserve"> </v>
      </c>
      <c r="D31" s="320"/>
      <c r="E31" s="320"/>
      <c r="F31" s="320"/>
      <c r="G31" s="161" t="str">
        <f>IF('Bilgi Giriş Sayfası'!G4=1,"1",IF('Bilgi Giriş Sayfası'!G4=0," "))</f>
        <v>1</v>
      </c>
      <c r="H31" s="162" t="str">
        <f>IF('Bilgi Giriş Sayfası'!G4=1,"qty",IF('Bilgi Giriş Sayfası'!G4=0," "))</f>
        <v>qty</v>
      </c>
      <c r="I31" s="216">
        <f>IF('Bilgi Giriş Sayfası'!G4=1,'Bilgi Giriş Sayfası'!F4/N17,IF('Bilgi Giriş Sayfası'!G4=0," "))</f>
        <v>0</v>
      </c>
      <c r="J31" s="217">
        <f>IF('Bilgi Giriş Sayfası'!G4=1,'Bilgi Giriş Sayfası'!F4*'Bilgi Giriş Sayfası'!G4,IF('Bilgi Giriş Sayfası'!G4=0,""))</f>
        <v>0</v>
      </c>
    </row>
    <row r="32" spans="2:14" ht="18" customHeight="1">
      <c r="B32" s="215">
        <v>5</v>
      </c>
      <c r="C32" s="320" t="str">
        <f>IF('Bilgi Giriş Sayfası'!F27='Parametre Sayfası'!O14,"DRYER INCLUDED",IF('Bilgi Giriş Sayfası'!F27='Parametre Sayfası'!O15," "))</f>
        <v>DRYER INCLUDED</v>
      </c>
      <c r="D32" s="320"/>
      <c r="E32" s="320"/>
      <c r="F32" s="320"/>
      <c r="G32" s="161" t="str">
        <f>IF('Bilgi Giriş Sayfası'!G7=1,"1",IF('Bilgi Giriş Sayfası'!G7=0," "))</f>
        <v>1</v>
      </c>
      <c r="H32" s="162" t="str">
        <f>IF('Bilgi Giriş Sayfası'!G7=1,"qty",IF('Bilgi Giriş Sayfası'!G7=0," "))</f>
        <v>qty</v>
      </c>
      <c r="I32" s="216">
        <f>IF('Bilgi Giriş Sayfası'!G7=1,'Bilgi Giriş Sayfası'!F7/N17,IF('Bilgi Giriş Sayfası'!G7=0," "))</f>
        <v>0</v>
      </c>
      <c r="J32" s="217">
        <f>IF('Bilgi Giriş Sayfası'!G7=1,'Bilgi Giriş Sayfası'!F7*'Bilgi Giriş Sayfası'!G7,IF('Bilgi Giriş Sayfası'!G7=0,""))</f>
        <v>0</v>
      </c>
    </row>
    <row r="33" spans="2:10" ht="18" customHeight="1">
      <c r="B33" s="215"/>
      <c r="C33" s="320" t="s">
        <v>299</v>
      </c>
      <c r="D33" s="320"/>
      <c r="E33" s="320"/>
      <c r="F33" s="320"/>
      <c r="G33" s="165"/>
      <c r="H33" s="162"/>
      <c r="I33" s="216"/>
      <c r="J33" s="217"/>
    </row>
    <row r="34" spans="2:10" ht="18" customHeight="1">
      <c r="B34" s="218"/>
      <c r="C34" s="321" t="s">
        <v>300</v>
      </c>
      <c r="D34" s="321"/>
      <c r="E34" s="321"/>
      <c r="F34" s="321"/>
      <c r="G34" s="169"/>
      <c r="H34" s="170"/>
      <c r="I34" s="219"/>
      <c r="J34" s="220"/>
    </row>
    <row r="35" spans="2:10" ht="18" customHeight="1">
      <c r="B35" s="173"/>
      <c r="C35" s="174"/>
      <c r="D35" s="174"/>
      <c r="E35" s="174"/>
      <c r="F35" s="174"/>
      <c r="G35" s="341" t="s">
        <v>301</v>
      </c>
      <c r="H35" s="341"/>
      <c r="I35" s="221"/>
      <c r="J35" s="222">
        <f>SUM(J18:J34)</f>
        <v>217000</v>
      </c>
    </row>
    <row r="36" spans="2:10" ht="18" customHeight="1">
      <c r="B36" s="173"/>
      <c r="C36" s="174"/>
      <c r="D36" s="174"/>
      <c r="E36" s="179" t="str">
        <f>IF('Bilgi Giriş Sayfası'!F8='Parametre Sayfası'!B14,"1,01",IF('Bilgi Giriş Sayfası'!F8='Parametre Sayfası'!B16,"1,18",IF('Bilgi Giriş Sayfası'!F8='Parametre Sayfası'!B17,"1")))</f>
        <v>1</v>
      </c>
      <c r="F36" s="179"/>
      <c r="G36" s="223"/>
      <c r="H36" s="224"/>
      <c r="I36" s="224"/>
      <c r="J36" s="225"/>
    </row>
    <row r="37" spans="2:10" ht="18" customHeight="1">
      <c r="B37" s="173"/>
      <c r="C37" s="174"/>
      <c r="D37" s="174"/>
      <c r="E37" s="179">
        <f>J35*E36</f>
        <v>217000</v>
      </c>
      <c r="F37" s="179"/>
      <c r="G37" s="342"/>
      <c r="H37" s="342"/>
      <c r="I37" s="180"/>
      <c r="J37" s="226"/>
    </row>
    <row r="38" spans="2:10" ht="15" customHeight="1">
      <c r="B38" s="339" t="s">
        <v>302</v>
      </c>
      <c r="C38" s="339"/>
      <c r="D38" s="186" t="s">
        <v>244</v>
      </c>
      <c r="H38" s="136"/>
      <c r="I38" s="136"/>
      <c r="J38" s="122"/>
    </row>
    <row r="39" spans="2:10" s="134" customFormat="1" ht="15" customHeight="1">
      <c r="B39" s="339" t="s">
        <v>303</v>
      </c>
      <c r="C39" s="339"/>
      <c r="D39" s="186" t="s">
        <v>304</v>
      </c>
      <c r="G39" s="135"/>
    </row>
    <row r="40" spans="2:10" s="134" customFormat="1" ht="15" customHeight="1">
      <c r="B40" s="339" t="s">
        <v>305</v>
      </c>
      <c r="C40" s="339"/>
      <c r="D40" s="186">
        <v>30059</v>
      </c>
      <c r="G40" s="135"/>
    </row>
    <row r="41" spans="2:10" s="134" customFormat="1" ht="15" customHeight="1">
      <c r="B41" s="339" t="s">
        <v>306</v>
      </c>
      <c r="C41" s="339"/>
      <c r="D41" s="186" t="s">
        <v>249</v>
      </c>
      <c r="G41" s="135"/>
    </row>
    <row r="42" spans="2:10" s="134" customFormat="1" ht="15" customHeight="1">
      <c r="B42" s="339" t="s">
        <v>307</v>
      </c>
      <c r="C42" s="339"/>
      <c r="D42" s="186" t="s">
        <v>285</v>
      </c>
      <c r="G42" s="135"/>
    </row>
    <row r="43" spans="2:10" s="134" customFormat="1" ht="15" customHeight="1">
      <c r="B43" s="185"/>
      <c r="C43" s="185"/>
      <c r="D43" s="227"/>
      <c r="G43" s="135"/>
    </row>
    <row r="44" spans="2:10" s="134" customFormat="1" ht="15" customHeight="1">
      <c r="B44" s="339" t="s">
        <v>302</v>
      </c>
      <c r="C44" s="339"/>
      <c r="D44" s="186" t="s">
        <v>250</v>
      </c>
      <c r="E44" s="187"/>
      <c r="F44" s="187"/>
      <c r="G44" s="187"/>
      <c r="H44" s="187"/>
    </row>
    <row r="45" spans="2:10" s="134" customFormat="1" ht="15" customHeight="1">
      <c r="B45" s="339" t="s">
        <v>303</v>
      </c>
      <c r="C45" s="339"/>
      <c r="D45" s="186" t="s">
        <v>308</v>
      </c>
      <c r="E45" s="188"/>
      <c r="F45" s="188"/>
      <c r="G45" s="188"/>
      <c r="H45" s="188"/>
    </row>
    <row r="46" spans="2:10" s="134" customFormat="1">
      <c r="B46" s="339" t="s">
        <v>305</v>
      </c>
      <c r="C46" s="339"/>
      <c r="D46" s="189" t="s">
        <v>252</v>
      </c>
      <c r="E46" s="188"/>
      <c r="F46" s="188"/>
      <c r="G46" s="188"/>
      <c r="H46" s="188"/>
    </row>
    <row r="47" spans="2:10" s="134" customFormat="1">
      <c r="B47" s="339" t="s">
        <v>306</v>
      </c>
      <c r="C47" s="339"/>
      <c r="D47" s="186" t="s">
        <v>253</v>
      </c>
      <c r="E47" s="188"/>
      <c r="F47" s="188"/>
      <c r="G47" s="188"/>
      <c r="H47" s="188"/>
    </row>
    <row r="48" spans="2:10" s="134" customFormat="1" ht="15" customHeight="1">
      <c r="B48" s="339" t="s">
        <v>307</v>
      </c>
      <c r="C48" s="339"/>
      <c r="D48" s="186" t="s">
        <v>309</v>
      </c>
      <c r="E48" s="188"/>
      <c r="F48" s="188"/>
      <c r="G48" s="188"/>
      <c r="H48" s="188"/>
    </row>
    <row r="49" spans="2:10" s="134" customFormat="1" ht="15" customHeight="1">
      <c r="B49" s="188"/>
      <c r="C49" s="188"/>
      <c r="D49" s="188"/>
      <c r="E49" s="188"/>
      <c r="F49" s="188"/>
      <c r="G49" s="188"/>
    </row>
    <row r="50" spans="2:10" ht="15" customHeight="1">
      <c r="B50" s="340" t="s">
        <v>310</v>
      </c>
      <c r="C50" s="340"/>
      <c r="D50" s="340"/>
      <c r="E50" s="340"/>
      <c r="F50" s="340"/>
      <c r="G50" s="340"/>
      <c r="H50" s="340"/>
      <c r="I50" s="340"/>
      <c r="J50" s="340"/>
    </row>
    <row r="51" spans="2:10" ht="15" customHeight="1">
      <c r="B51" s="340"/>
      <c r="C51" s="340"/>
      <c r="D51" s="340"/>
      <c r="E51" s="340"/>
      <c r="F51" s="340"/>
      <c r="G51" s="340"/>
      <c r="H51" s="340"/>
      <c r="I51" s="340"/>
      <c r="J51" s="340"/>
    </row>
    <row r="52" spans="2:10" ht="15" customHeight="1">
      <c r="B52" s="340"/>
      <c r="C52" s="340"/>
      <c r="D52" s="340"/>
      <c r="E52" s="340"/>
      <c r="F52" s="340"/>
      <c r="G52" s="340"/>
      <c r="H52" s="340"/>
      <c r="I52" s="340"/>
      <c r="J52" s="340"/>
    </row>
    <row r="53" spans="2:10" s="134" customFormat="1" ht="21" customHeight="1">
      <c r="C53" s="190"/>
      <c r="D53" s="122"/>
      <c r="E53" s="122"/>
      <c r="F53" s="122"/>
    </row>
    <row r="54" spans="2:10" s="134" customFormat="1" ht="14.25">
      <c r="C54" s="122"/>
      <c r="D54" s="122"/>
      <c r="E54" s="122"/>
      <c r="F54" s="122"/>
    </row>
    <row r="55" spans="2:10" s="134" customFormat="1" ht="14.25"/>
    <row r="56" spans="2:10" s="134" customFormat="1" ht="14.25"/>
    <row r="57" spans="2:10" s="134" customFormat="1" ht="14.25"/>
    <row r="58" spans="2:10" s="134" customFormat="1" ht="14.25"/>
  </sheetData>
  <mergeCells count="49">
    <mergeCell ref="B1:J1"/>
    <mergeCell ref="F2:J2"/>
    <mergeCell ref="F3:J3"/>
    <mergeCell ref="F4:J4"/>
    <mergeCell ref="F5:J5"/>
    <mergeCell ref="F6:J6"/>
    <mergeCell ref="B7:J7"/>
    <mergeCell ref="B8:B9"/>
    <mergeCell ref="C8:F9"/>
    <mergeCell ref="I8:J8"/>
    <mergeCell ref="I9:J9"/>
    <mergeCell ref="B10:B11"/>
    <mergeCell ref="C10:F11"/>
    <mergeCell ref="I11:J11"/>
    <mergeCell ref="D12:F12"/>
    <mergeCell ref="I12:J12"/>
    <mergeCell ref="B14:J14"/>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G35:H35"/>
    <mergeCell ref="G37:H37"/>
    <mergeCell ref="B38:C38"/>
    <mergeCell ref="B39:C39"/>
    <mergeCell ref="B40:C40"/>
    <mergeCell ref="B47:C47"/>
    <mergeCell ref="B48:C48"/>
    <mergeCell ref="B50:J52"/>
    <mergeCell ref="B41:C41"/>
    <mergeCell ref="B42:C42"/>
    <mergeCell ref="B44:C44"/>
    <mergeCell ref="B45:C45"/>
    <mergeCell ref="B46:C46"/>
  </mergeCells>
  <printOptions horizontalCentered="1"/>
  <pageMargins left="0" right="0" top="0.196527777777778" bottom="0.196527777777778" header="0.511811023622047" footer="0.511811023622047"/>
  <pageSetup paperSize="9" scale="88"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8"/>
  <sheetViews>
    <sheetView showGridLines="0" view="pageBreakPreview" topLeftCell="A4" zoomScale="95" zoomScaleNormal="100" zoomScalePageLayoutView="95" workbookViewId="0">
      <selection activeCell="I26" activeCellId="1" sqref="A100:K102 I26"/>
    </sheetView>
  </sheetViews>
  <sheetFormatPr defaultColWidth="9.140625" defaultRowHeight="15"/>
  <cols>
    <col min="1" max="1" width="0.140625" style="134" customWidth="1"/>
    <col min="2" max="2" width="10.7109375" style="134" customWidth="1"/>
    <col min="3" max="6" width="14.7109375" style="134" customWidth="1"/>
    <col min="7" max="8" width="7.7109375" style="135" customWidth="1"/>
    <col min="9" max="9" width="14.7109375" style="135" customWidth="1"/>
    <col min="10" max="10" width="15.42578125" style="134" customWidth="1"/>
    <col min="11" max="13" width="9.140625" style="134"/>
    <col min="14" max="14" width="9.85546875" style="134" customWidth="1"/>
    <col min="15" max="1024" width="9.140625" style="134"/>
  </cols>
  <sheetData>
    <row r="1" spans="1:17">
      <c r="B1" s="336"/>
      <c r="C1" s="336"/>
      <c r="D1" s="336"/>
      <c r="E1" s="336"/>
      <c r="F1" s="336"/>
      <c r="G1" s="336"/>
      <c r="H1" s="336"/>
      <c r="I1" s="336"/>
      <c r="J1" s="336"/>
    </row>
    <row r="2" spans="1:17" ht="15" customHeight="1">
      <c r="F2" s="337" t="s">
        <v>223</v>
      </c>
      <c r="G2" s="337"/>
      <c r="H2" s="337"/>
      <c r="I2" s="337"/>
      <c r="J2" s="337"/>
    </row>
    <row r="3" spans="1:17">
      <c r="F3" s="318" t="s">
        <v>224</v>
      </c>
      <c r="G3" s="318"/>
      <c r="H3" s="318"/>
      <c r="I3" s="318"/>
      <c r="J3" s="318"/>
    </row>
    <row r="4" spans="1:17">
      <c r="F4" s="318" t="s">
        <v>225</v>
      </c>
      <c r="G4" s="318"/>
      <c r="H4" s="318"/>
      <c r="I4" s="318"/>
      <c r="J4" s="318"/>
    </row>
    <row r="5" spans="1:17">
      <c r="F5" s="318" t="s">
        <v>226</v>
      </c>
      <c r="G5" s="318"/>
      <c r="H5" s="318"/>
      <c r="I5" s="318"/>
      <c r="J5" s="318"/>
    </row>
    <row r="6" spans="1:17">
      <c r="F6" s="318" t="s">
        <v>227</v>
      </c>
      <c r="G6" s="318"/>
      <c r="H6" s="318"/>
      <c r="I6" s="318"/>
      <c r="J6" s="318"/>
    </row>
    <row r="7" spans="1:17">
      <c r="B7" s="331"/>
      <c r="C7" s="331"/>
      <c r="D7" s="331"/>
      <c r="E7" s="331"/>
      <c r="F7" s="331"/>
      <c r="G7" s="331"/>
      <c r="H7" s="331"/>
      <c r="I7" s="331"/>
      <c r="J7" s="331"/>
    </row>
    <row r="8" spans="1:17" ht="26.25" customHeight="1">
      <c r="B8" s="345" t="s">
        <v>287</v>
      </c>
      <c r="C8" s="333" t="str">
        <f>'Bilgi Giriş Sayfası'!C2</f>
        <v>Aygen Mekatronik San.Ve Tic.Ltd.Şti</v>
      </c>
      <c r="D8" s="333"/>
      <c r="E8" s="333"/>
      <c r="F8" s="333"/>
      <c r="I8" s="334" t="s">
        <v>288</v>
      </c>
      <c r="J8" s="334"/>
    </row>
    <row r="9" spans="1:17" s="134" customFormat="1" ht="18.75" customHeight="1">
      <c r="B9" s="345"/>
      <c r="C9" s="333"/>
      <c r="D9" s="333"/>
      <c r="E9" s="333"/>
      <c r="F9" s="333"/>
      <c r="H9" s="138"/>
      <c r="I9" s="335">
        <f ca="1">'Bilgi Giriş Sayfası'!F16</f>
        <v>44587</v>
      </c>
      <c r="J9" s="335"/>
    </row>
    <row r="10" spans="1:17" ht="16.5" customHeight="1">
      <c r="B10" s="344" t="s">
        <v>289</v>
      </c>
      <c r="C10" s="327" t="str">
        <f>""&amp;'Bilgi Giriş Sayfası'!C4</f>
        <v>Hatay</v>
      </c>
      <c r="D10" s="327"/>
      <c r="E10" s="327"/>
      <c r="F10" s="327"/>
      <c r="G10" s="139"/>
      <c r="H10" s="139"/>
      <c r="I10" s="139"/>
    </row>
    <row r="11" spans="1:17" ht="15" customHeight="1">
      <c r="B11" s="344"/>
      <c r="C11" s="327"/>
      <c r="D11" s="327"/>
      <c r="E11" s="327"/>
      <c r="F11" s="327"/>
      <c r="G11" s="139"/>
      <c r="H11" s="139"/>
      <c r="I11" s="328" t="s">
        <v>261</v>
      </c>
      <c r="J11" s="328"/>
    </row>
    <row r="12" spans="1:17" ht="15.75" customHeight="1">
      <c r="A12" s="140"/>
      <c r="B12" s="210" t="s">
        <v>290</v>
      </c>
      <c r="C12" s="142" t="str">
        <f>'Bilgi Giriş Sayfası'!C5</f>
        <v>-</v>
      </c>
      <c r="D12" s="329" t="str">
        <f>'Bilgi Giriş Sayfası'!C6</f>
        <v>-</v>
      </c>
      <c r="E12" s="329"/>
      <c r="F12" s="329"/>
      <c r="G12" s="143"/>
      <c r="H12" s="143"/>
      <c r="I12" s="330">
        <f ca="1">I9+10</f>
        <v>44597</v>
      </c>
      <c r="J12" s="330"/>
      <c r="M12" s="138"/>
      <c r="P12" s="144"/>
      <c r="Q12" s="144"/>
    </row>
    <row r="13" spans="1:17" ht="15.75" customHeight="1">
      <c r="A13" s="140"/>
      <c r="B13" s="145"/>
      <c r="C13" s="146"/>
      <c r="D13" s="147"/>
      <c r="E13" s="147"/>
      <c r="F13" s="147"/>
      <c r="G13" s="143"/>
      <c r="H13" s="143"/>
      <c r="I13" s="143"/>
      <c r="J13" s="148"/>
      <c r="M13" s="138"/>
      <c r="P13" s="144"/>
      <c r="Q13" s="144"/>
    </row>
    <row r="14" spans="1:17" ht="30.75" customHeight="1">
      <c r="B14" s="322" t="s">
        <v>291</v>
      </c>
      <c r="C14" s="322"/>
      <c r="D14" s="322"/>
      <c r="E14" s="322"/>
      <c r="F14" s="322"/>
      <c r="G14" s="322"/>
      <c r="H14" s="322"/>
      <c r="I14" s="322"/>
      <c r="J14" s="322"/>
    </row>
    <row r="15" spans="1:17" ht="15" customHeight="1">
      <c r="B15" s="149"/>
      <c r="C15" s="150"/>
      <c r="D15" s="151"/>
      <c r="E15" s="151"/>
      <c r="F15" s="151"/>
      <c r="G15" s="151"/>
      <c r="H15" s="151"/>
      <c r="I15" s="151"/>
      <c r="J15" s="152"/>
    </row>
    <row r="16" spans="1:17" ht="15.75">
      <c r="B16" s="153" t="s">
        <v>261</v>
      </c>
      <c r="C16" s="323" t="s">
        <v>292</v>
      </c>
      <c r="D16" s="323"/>
      <c r="E16" s="323"/>
      <c r="F16" s="323"/>
      <c r="G16" s="211" t="s">
        <v>293</v>
      </c>
      <c r="H16" s="154" t="s">
        <v>294</v>
      </c>
      <c r="I16" s="155" t="s">
        <v>295</v>
      </c>
      <c r="J16" s="156" t="s">
        <v>296</v>
      </c>
    </row>
    <row r="17" spans="2:14" ht="18" customHeight="1">
      <c r="B17" s="212"/>
      <c r="C17" s="325"/>
      <c r="D17" s="325"/>
      <c r="E17" s="325"/>
      <c r="F17" s="325"/>
      <c r="G17" s="157"/>
      <c r="H17" s="158"/>
      <c r="I17" s="159"/>
      <c r="J17" s="160"/>
      <c r="M17" s="213" t="s">
        <v>297</v>
      </c>
      <c r="N17" s="214">
        <v>1</v>
      </c>
    </row>
    <row r="18" spans="2:14" ht="18" customHeight="1">
      <c r="B18" s="215">
        <v>1</v>
      </c>
      <c r="C18" s="320" t="str">
        <f>'Bilgi Giriş Sayfası'!C20&amp;  " CNC PLASMA CUTTİNG MACHİNES"</f>
        <v>RED LİNE CNC PLASMA CUTTİNG MACHİNES</v>
      </c>
      <c r="D18" s="320"/>
      <c r="E18" s="320"/>
      <c r="F18" s="320"/>
      <c r="G18" s="161">
        <f>'Bilgi Giriş Sayfası'!G3</f>
        <v>1</v>
      </c>
      <c r="H18" s="162" t="s">
        <v>298</v>
      </c>
      <c r="I18" s="228">
        <f>'Bilgi Giriş Sayfası'!F3/'Proforma (ingilizce-usd)'!N17</f>
        <v>217000</v>
      </c>
      <c r="J18" s="229">
        <f>G18*I18</f>
        <v>217000</v>
      </c>
    </row>
    <row r="19" spans="2:14" ht="18" customHeight="1">
      <c r="B19" s="215"/>
      <c r="C19" s="320" t="str">
        <f>'Bilgi Giriş Sayfası'!F20&amp;" CUTTİNG AREA"</f>
        <v>1500 x 3000 mm CUTTİNG AREA</v>
      </c>
      <c r="D19" s="320"/>
      <c r="E19" s="320"/>
      <c r="F19" s="320"/>
      <c r="G19" s="165"/>
      <c r="H19" s="162"/>
      <c r="I19" s="228"/>
      <c r="J19" s="229"/>
    </row>
    <row r="20" spans="2:14" ht="18" customHeight="1">
      <c r="B20" s="215"/>
      <c r="C20" s="320" t="str">
        <f>'Bilgi Giriş Sayfası'!F21&amp;" MACHINE DIMENSIONS"</f>
        <v>2300 x 4000 mm MACHINE DIMENSIONS</v>
      </c>
      <c r="D20" s="320"/>
      <c r="E20" s="320"/>
      <c r="F20" s="320"/>
      <c r="G20" s="165"/>
      <c r="H20" s="162"/>
      <c r="I20" s="228"/>
      <c r="J20" s="229"/>
    </row>
    <row r="21" spans="2:14" ht="18" customHeight="1">
      <c r="B21" s="215"/>
      <c r="C21" s="320" t="str">
        <f>'Bilgi Giriş Sayfası'!C21&amp;" PLASMA CUTTING UNIT"</f>
        <v>Hypertherm Powermax 105 PLASMA CUTTING UNIT</v>
      </c>
      <c r="D21" s="320"/>
      <c r="E21" s="320"/>
      <c r="F21" s="320"/>
      <c r="G21" s="165"/>
      <c r="H21" s="162"/>
      <c r="I21" s="228"/>
      <c r="J21" s="229"/>
    </row>
    <row r="22" spans="2:14" ht="18" customHeight="1">
      <c r="B22" s="215"/>
      <c r="C22" s="320" t="str">
        <f>'Bilgi Giriş Sayfası'!C22&amp;" CUTTING THICKNESS"</f>
        <v>1 mm - 22 mm CUTTING THICKNESS</v>
      </c>
      <c r="D22" s="320"/>
      <c r="E22" s="320"/>
      <c r="F22" s="320"/>
      <c r="G22" s="165"/>
      <c r="H22" s="162"/>
      <c r="I22" s="228"/>
      <c r="J22" s="229"/>
    </row>
    <row r="23" spans="2:14" ht="18" customHeight="1">
      <c r="B23" s="215"/>
      <c r="C23" s="320" t="str">
        <f>IF('Bilgi Giriş Sayfası'!C23='Parametre Sayfası'!Q3,"SENSITIVE LINEAR SLIDE",IF('Bilgi Giriş Sayfası'!C23='Parametre Sayfası'!Q4," "))</f>
        <v>SENSITIVE LINEAR SLIDE</v>
      </c>
      <c r="D23" s="320"/>
      <c r="E23" s="320"/>
      <c r="F23" s="320"/>
      <c r="G23" s="165"/>
      <c r="H23" s="162"/>
      <c r="I23" s="228"/>
      <c r="J23" s="229"/>
    </row>
    <row r="24" spans="2:14" ht="18" customHeight="1">
      <c r="B24" s="215"/>
      <c r="C24" s="320" t="str">
        <f>IF('Bilgi Giriş Sayfası'!C24='Parametre Sayfası'!P3,"PRECISION HELIS CREAMER AND PINION",IF('Bilgi Giriş Sayfası'!C24='Parametre Sayfası'!P4,"FLAT CREAM AND PINION",IF('Bilgi Giriş Sayfası'!C24='Parametre Sayfası'!P5," ")))</f>
        <v>PRECISION HELIS CREAMER AND PINION</v>
      </c>
      <c r="D24" s="320"/>
      <c r="E24" s="320"/>
      <c r="F24" s="320"/>
      <c r="G24" s="165"/>
      <c r="H24" s="162"/>
      <c r="I24" s="228"/>
      <c r="J24" s="229"/>
    </row>
    <row r="25" spans="2:14" ht="18" customHeight="1">
      <c r="B25" s="215"/>
      <c r="C25" s="320" t="str">
        <f>"ENGINE TYPE "&amp;'Bilgi Giriş Sayfası'!C25</f>
        <v>ENGINE TYPE 8,5 Nm Leadshine Digital Stepper</v>
      </c>
      <c r="D25" s="320"/>
      <c r="E25" s="320"/>
      <c r="F25" s="320"/>
      <c r="G25" s="165"/>
      <c r="H25" s="162"/>
      <c r="I25" s="228"/>
      <c r="J25" s="229"/>
    </row>
    <row r="26" spans="2:14" ht="18" customHeight="1">
      <c r="B26" s="215"/>
      <c r="C26" s="320" t="str">
        <f>'Bilgi Giriş Sayfası'!F22&amp;" BASED CNC CONTROL UNIT"</f>
        <v>Windows BASED CNC CONTROL UNIT</v>
      </c>
      <c r="D26" s="320"/>
      <c r="E26" s="320"/>
      <c r="F26" s="320"/>
      <c r="G26" s="165"/>
      <c r="H26" s="162"/>
      <c r="I26" s="228"/>
      <c r="J26" s="229"/>
    </row>
    <row r="27" spans="2:14" ht="18" customHeight="1">
      <c r="B27" s="215"/>
      <c r="C27" s="320" t="str">
        <f>IF('Bilgi Giriş Sayfası'!F23='Parametre Sayfası'!K3,"PNEUMATIC HEIGHT CONTROL UNIT",IF('Bilgi Giriş Sayfası'!F23='Parametre Sayfası'!K4,"ARC VOLTAGE CONTROLLED",IF('Bilgi Giriş Sayfası'!F23='Parametre Sayfası'!K5,"CAPACITIVE HEIGHT CONTROLLED",IF('Bilgi Giriş Sayfası'!F23='Parametre Sayfası'!K6," "))))</f>
        <v>CAPACITIVE HEIGHT CONTROLLED</v>
      </c>
      <c r="D27" s="320"/>
      <c r="E27" s="320"/>
      <c r="F27" s="320"/>
      <c r="G27" s="165"/>
      <c r="H27" s="162"/>
      <c r="I27" s="228"/>
      <c r="J27" s="229"/>
      <c r="M27" s="135"/>
    </row>
    <row r="28" spans="2:14" ht="18" customHeight="1">
      <c r="B28" s="215"/>
      <c r="C28" s="320" t="str">
        <f>IF('Bilgi Giriş Sayfası'!C26='Parametre Sayfası'!H14,"LOCAL PRODUCTION OXYGEN TORCH (200 MM)",IF('Bilgi Giriş Sayfası'!C26='Parametre Sayfası'!H15,"TANAKA OXYGEN TORCH (200 MM)",IF('Bilgi Giriş Sayfası'!C26='Parametre Sayfası'!H17,"NOT INCLUDED OXYGEN")))</f>
        <v>TANAKA OXYGEN TORCH (200 MM)</v>
      </c>
      <c r="D28" s="320"/>
      <c r="E28" s="320"/>
      <c r="F28" s="320"/>
      <c r="G28" s="165"/>
      <c r="H28" s="162"/>
      <c r="I28" s="228"/>
      <c r="J28" s="229"/>
    </row>
    <row r="29" spans="2:14" ht="18" customHeight="1">
      <c r="B29" s="215">
        <v>2</v>
      </c>
      <c r="C29" s="320" t="str">
        <f>IF('Bilgi Giriş Sayfası'!F26='Parametre Sayfası'!J14,"2 KVA UPS",IF('Bilgi Giriş Sayfası'!F26='Parametre Sayfası'!J15," "))</f>
        <v>2 KVA UPS</v>
      </c>
      <c r="D29" s="320"/>
      <c r="E29" s="320"/>
      <c r="F29" s="320"/>
      <c r="G29" s="161" t="str">
        <f>IF('Bilgi Giriş Sayfası'!G6=1,"1",IF('Bilgi Giriş Sayfası'!G6=0," "))</f>
        <v xml:space="preserve"> </v>
      </c>
      <c r="H29" s="162" t="str">
        <f>IF('Bilgi Giriş Sayfası'!G6=1,"qtyt",IF('Bilgi Giriş Sayfası'!G6=0," "))</f>
        <v xml:space="preserve"> </v>
      </c>
      <c r="I29" s="228" t="str">
        <f>IF('Bilgi Giriş Sayfası'!G6=1,'Bilgi Giriş Sayfası'!F6/N17,IF('Bilgi Giriş Sayfası'!G6=0," "))</f>
        <v xml:space="preserve"> </v>
      </c>
      <c r="J29" s="229" t="str">
        <f>IF('Bilgi Giriş Sayfası'!G6=1,'Bilgi Giriş Sayfası'!F6*'Bilgi Giriş Sayfası'!G6,IF('Bilgi Giriş Sayfası'!G6=0,""))</f>
        <v/>
      </c>
    </row>
    <row r="30" spans="2:14" ht="18" customHeight="1">
      <c r="B30" s="215">
        <v>3</v>
      </c>
      <c r="C30" s="343" t="str">
        <f>IF('Bilgi Giriş Sayfası'!F25='Parametre Sayfası'!R4,"6.000 M³ FAN",IF('Bilgi Giriş Sayfası'!F25='Parametre Sayfası'!R5,"20.000 M³ FAN",IF('Bilgi Giriş Sayfası'!F25='Parametre Sayfası'!R3," ")))</f>
        <v>20.000 M³ FAN</v>
      </c>
      <c r="D30" s="343"/>
      <c r="E30" s="343"/>
      <c r="F30" s="343"/>
      <c r="G30" s="161" t="str">
        <f>IF('Bilgi Giriş Sayfası'!G5=1,"1",IF('Bilgi Giriş Sayfası'!G5=0," "))</f>
        <v xml:space="preserve"> </v>
      </c>
      <c r="H30" s="162" t="str">
        <f>IF('Bilgi Giriş Sayfası'!G5=1,"qty",IF('Bilgi Giriş Sayfası'!G5=0," "))</f>
        <v xml:space="preserve"> </v>
      </c>
      <c r="I30" s="228" t="str">
        <f>IF('Bilgi Giriş Sayfası'!G5=1,'Bilgi Giriş Sayfası'!F5/N17,IF('Bilgi Giriş Sayfası'!G5=0," "))</f>
        <v xml:space="preserve"> </v>
      </c>
      <c r="J30" s="229" t="str">
        <f>IF('Bilgi Giriş Sayfası'!G5=1,'Bilgi Giriş Sayfası'!F5*'Bilgi Giriş Sayfası'!G5,IF('Bilgi Giriş Sayfası'!G5=0,""))</f>
        <v/>
      </c>
    </row>
    <row r="31" spans="2:14" ht="18" customHeight="1">
      <c r="B31" s="215">
        <v>4</v>
      </c>
      <c r="C31" s="320" t="str">
        <f>IF('Bilgi Giriş Sayfası'!C27='Parametre Sayfası'!M14,"COMPRESSOR INCLUDED",IF('Bilgi Giriş Sayfası'!C27='Parametre Sayfası'!M15," "))</f>
        <v xml:space="preserve"> </v>
      </c>
      <c r="D31" s="320"/>
      <c r="E31" s="320"/>
      <c r="F31" s="320"/>
      <c r="G31" s="161" t="str">
        <f>IF('Bilgi Giriş Sayfası'!G4=1,"1",IF('Bilgi Giriş Sayfası'!G4=0," "))</f>
        <v>1</v>
      </c>
      <c r="H31" s="162" t="str">
        <f>IF('Bilgi Giriş Sayfası'!G4=1,"qty",IF('Bilgi Giriş Sayfası'!G4=0," "))</f>
        <v>qty</v>
      </c>
      <c r="I31" s="228">
        <f>IF('Bilgi Giriş Sayfası'!G4=1,'Bilgi Giriş Sayfası'!F4/N17,IF('Bilgi Giriş Sayfası'!G4=0," "))</f>
        <v>0</v>
      </c>
      <c r="J31" s="229">
        <f>IF('Bilgi Giriş Sayfası'!G4=1,'Bilgi Giriş Sayfası'!F4*'Bilgi Giriş Sayfası'!G4,IF('Bilgi Giriş Sayfası'!G4=0,""))</f>
        <v>0</v>
      </c>
    </row>
    <row r="32" spans="2:14" ht="18" customHeight="1">
      <c r="B32" s="215">
        <v>5</v>
      </c>
      <c r="C32" s="320" t="str">
        <f>IF('Bilgi Giriş Sayfası'!F27='Parametre Sayfası'!O14,"DRYER INCLUDED",IF('Bilgi Giriş Sayfası'!F27='Parametre Sayfası'!O15," "))</f>
        <v>DRYER INCLUDED</v>
      </c>
      <c r="D32" s="320"/>
      <c r="E32" s="320"/>
      <c r="F32" s="320"/>
      <c r="G32" s="161" t="str">
        <f>IF('Bilgi Giriş Sayfası'!G7=1,"1",IF('Bilgi Giriş Sayfası'!G7=0," "))</f>
        <v>1</v>
      </c>
      <c r="H32" s="162" t="str">
        <f>IF('Bilgi Giriş Sayfası'!G7=1,"qty",IF('Bilgi Giriş Sayfası'!G7=0," "))</f>
        <v>qty</v>
      </c>
      <c r="I32" s="228">
        <f>IF('Bilgi Giriş Sayfası'!G7=1,'Bilgi Giriş Sayfası'!F7/N17,IF('Bilgi Giriş Sayfası'!G7=0," "))</f>
        <v>0</v>
      </c>
      <c r="J32" s="229">
        <f>IF('Bilgi Giriş Sayfası'!G7=1,'Bilgi Giriş Sayfası'!F7*'Bilgi Giriş Sayfası'!G7,IF('Bilgi Giriş Sayfası'!G7=0,""))</f>
        <v>0</v>
      </c>
    </row>
    <row r="33" spans="2:10" ht="18" customHeight="1">
      <c r="B33" s="215"/>
      <c r="C33" s="320" t="s">
        <v>299</v>
      </c>
      <c r="D33" s="320"/>
      <c r="E33" s="320"/>
      <c r="F33" s="320"/>
      <c r="G33" s="165"/>
      <c r="H33" s="162"/>
      <c r="I33" s="228"/>
      <c r="J33" s="229"/>
    </row>
    <row r="34" spans="2:10" ht="18" customHeight="1">
      <c r="B34" s="218"/>
      <c r="C34" s="321" t="s">
        <v>300</v>
      </c>
      <c r="D34" s="321"/>
      <c r="E34" s="321"/>
      <c r="F34" s="321"/>
      <c r="G34" s="169"/>
      <c r="H34" s="170"/>
      <c r="I34" s="230"/>
      <c r="J34" s="231"/>
    </row>
    <row r="35" spans="2:10" ht="18" customHeight="1">
      <c r="B35" s="173"/>
      <c r="C35" s="174"/>
      <c r="D35" s="174"/>
      <c r="E35" s="174"/>
      <c r="F35" s="174"/>
      <c r="G35" s="341" t="s">
        <v>301</v>
      </c>
      <c r="H35" s="341"/>
      <c r="I35" s="232"/>
      <c r="J35" s="233">
        <f>SUM(J18:J34)</f>
        <v>217000</v>
      </c>
    </row>
    <row r="36" spans="2:10" ht="18" customHeight="1">
      <c r="B36" s="173"/>
      <c r="C36" s="174"/>
      <c r="D36" s="174"/>
      <c r="E36" s="179" t="str">
        <f>IF('Bilgi Giriş Sayfası'!F8='Parametre Sayfası'!B14,"1,01",IF('Bilgi Giriş Sayfası'!F8='Parametre Sayfası'!B16,"1,18",IF('Bilgi Giriş Sayfası'!F8='Parametre Sayfası'!B17,"1")))</f>
        <v>1</v>
      </c>
      <c r="F36" s="179"/>
      <c r="G36" s="223"/>
      <c r="H36" s="224"/>
      <c r="I36" s="224"/>
      <c r="J36" s="225"/>
    </row>
    <row r="37" spans="2:10" ht="18" customHeight="1">
      <c r="B37" s="173"/>
      <c r="C37" s="174"/>
      <c r="D37" s="174"/>
      <c r="E37" s="179">
        <f>J35*E36</f>
        <v>217000</v>
      </c>
      <c r="F37" s="179"/>
      <c r="G37" s="342"/>
      <c r="H37" s="342"/>
      <c r="I37" s="180"/>
      <c r="J37" s="226"/>
    </row>
    <row r="38" spans="2:10" ht="15" customHeight="1">
      <c r="B38" s="339" t="s">
        <v>302</v>
      </c>
      <c r="C38" s="339"/>
      <c r="D38" s="186" t="s">
        <v>244</v>
      </c>
      <c r="H38" s="136"/>
      <c r="I38" s="136"/>
      <c r="J38" s="122"/>
    </row>
    <row r="39" spans="2:10" s="134" customFormat="1" ht="15" customHeight="1">
      <c r="B39" s="339" t="s">
        <v>303</v>
      </c>
      <c r="C39" s="339"/>
      <c r="D39" s="186" t="s">
        <v>304</v>
      </c>
      <c r="G39" s="135"/>
    </row>
    <row r="40" spans="2:10" s="134" customFormat="1" ht="15" customHeight="1">
      <c r="B40" s="339" t="s">
        <v>305</v>
      </c>
      <c r="C40" s="339"/>
      <c r="D40" s="186">
        <v>30059</v>
      </c>
      <c r="G40" s="135"/>
    </row>
    <row r="41" spans="2:10" s="134" customFormat="1" ht="15" customHeight="1">
      <c r="B41" s="339" t="s">
        <v>306</v>
      </c>
      <c r="C41" s="339"/>
      <c r="D41" s="186" t="s">
        <v>249</v>
      </c>
      <c r="G41" s="135"/>
    </row>
    <row r="42" spans="2:10" s="134" customFormat="1" ht="15" customHeight="1">
      <c r="B42" s="339" t="s">
        <v>307</v>
      </c>
      <c r="C42" s="339"/>
      <c r="D42" s="186" t="s">
        <v>285</v>
      </c>
      <c r="G42" s="135"/>
    </row>
    <row r="43" spans="2:10" s="134" customFormat="1" ht="15" customHeight="1">
      <c r="B43" s="185"/>
      <c r="C43" s="185"/>
      <c r="D43" s="227"/>
      <c r="G43" s="135"/>
    </row>
    <row r="44" spans="2:10" s="134" customFormat="1" ht="15" customHeight="1">
      <c r="B44" s="339" t="s">
        <v>302</v>
      </c>
      <c r="C44" s="339"/>
      <c r="D44" s="186" t="s">
        <v>250</v>
      </c>
      <c r="E44" s="187"/>
      <c r="F44" s="187"/>
      <c r="G44" s="187"/>
      <c r="H44" s="187"/>
    </row>
    <row r="45" spans="2:10" s="134" customFormat="1" ht="15" customHeight="1">
      <c r="B45" s="339" t="s">
        <v>303</v>
      </c>
      <c r="C45" s="339"/>
      <c r="D45" s="186" t="s">
        <v>308</v>
      </c>
      <c r="E45" s="188"/>
      <c r="F45" s="188"/>
      <c r="G45" s="188"/>
      <c r="H45" s="188"/>
    </row>
    <row r="46" spans="2:10" s="134" customFormat="1">
      <c r="B46" s="339" t="s">
        <v>305</v>
      </c>
      <c r="C46" s="339"/>
      <c r="D46" s="189" t="s">
        <v>252</v>
      </c>
      <c r="E46" s="188"/>
      <c r="F46" s="188"/>
      <c r="G46" s="188"/>
      <c r="H46" s="188"/>
    </row>
    <row r="47" spans="2:10" s="134" customFormat="1">
      <c r="B47" s="339" t="s">
        <v>306</v>
      </c>
      <c r="C47" s="339"/>
      <c r="D47" s="186" t="s">
        <v>253</v>
      </c>
      <c r="E47" s="188"/>
      <c r="F47" s="188"/>
      <c r="G47" s="188"/>
      <c r="H47" s="188"/>
    </row>
    <row r="48" spans="2:10" s="134" customFormat="1" ht="15" customHeight="1">
      <c r="B48" s="339" t="s">
        <v>307</v>
      </c>
      <c r="C48" s="339"/>
      <c r="D48" s="186" t="s">
        <v>309</v>
      </c>
      <c r="E48" s="188"/>
      <c r="F48" s="188"/>
      <c r="G48" s="188"/>
      <c r="H48" s="188"/>
    </row>
    <row r="49" spans="2:10" s="134" customFormat="1" ht="15" customHeight="1">
      <c r="B49" s="188"/>
      <c r="C49" s="188"/>
      <c r="D49" s="188"/>
      <c r="E49" s="188"/>
      <c r="F49" s="188"/>
      <c r="G49" s="188"/>
    </row>
    <row r="50" spans="2:10" ht="15" customHeight="1">
      <c r="B50" s="340" t="s">
        <v>310</v>
      </c>
      <c r="C50" s="340"/>
      <c r="D50" s="340"/>
      <c r="E50" s="340"/>
      <c r="F50" s="340"/>
      <c r="G50" s="340"/>
      <c r="H50" s="340"/>
      <c r="I50" s="340"/>
      <c r="J50" s="340"/>
    </row>
    <row r="51" spans="2:10" ht="15" customHeight="1">
      <c r="B51" s="340"/>
      <c r="C51" s="340"/>
      <c r="D51" s="340"/>
      <c r="E51" s="340"/>
      <c r="F51" s="340"/>
      <c r="G51" s="340"/>
      <c r="H51" s="340"/>
      <c r="I51" s="340"/>
      <c r="J51" s="340"/>
    </row>
    <row r="52" spans="2:10" ht="15" customHeight="1">
      <c r="B52" s="340"/>
      <c r="C52" s="340"/>
      <c r="D52" s="340"/>
      <c r="E52" s="340"/>
      <c r="F52" s="340"/>
      <c r="G52" s="340"/>
      <c r="H52" s="340"/>
      <c r="I52" s="340"/>
      <c r="J52" s="340"/>
    </row>
    <row r="53" spans="2:10" s="134" customFormat="1" ht="21" customHeight="1">
      <c r="C53" s="190"/>
      <c r="D53" s="122"/>
      <c r="E53" s="122"/>
      <c r="F53" s="122"/>
    </row>
    <row r="54" spans="2:10" s="134" customFormat="1" ht="14.25">
      <c r="C54" s="122"/>
      <c r="D54" s="122"/>
      <c r="E54" s="122"/>
      <c r="F54" s="122"/>
    </row>
    <row r="55" spans="2:10" s="134" customFormat="1" ht="14.25"/>
    <row r="56" spans="2:10" s="134" customFormat="1" ht="14.25"/>
    <row r="57" spans="2:10" s="134" customFormat="1" ht="14.25"/>
    <row r="58" spans="2:10" s="134" customFormat="1" ht="14.25"/>
  </sheetData>
  <mergeCells count="49">
    <mergeCell ref="B1:J1"/>
    <mergeCell ref="F2:J2"/>
    <mergeCell ref="F3:J3"/>
    <mergeCell ref="F4:J4"/>
    <mergeCell ref="F5:J5"/>
    <mergeCell ref="F6:J6"/>
    <mergeCell ref="B7:J7"/>
    <mergeCell ref="B8:B9"/>
    <mergeCell ref="C8:F9"/>
    <mergeCell ref="I8:J8"/>
    <mergeCell ref="I9:J9"/>
    <mergeCell ref="B10:B11"/>
    <mergeCell ref="C10:F11"/>
    <mergeCell ref="I11:J11"/>
    <mergeCell ref="D12:F12"/>
    <mergeCell ref="I12:J12"/>
    <mergeCell ref="B14:J14"/>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G35:H35"/>
    <mergeCell ref="G37:H37"/>
    <mergeCell ref="B38:C38"/>
    <mergeCell ref="B39:C39"/>
    <mergeCell ref="B40:C40"/>
    <mergeCell ref="B47:C47"/>
    <mergeCell ref="B48:C48"/>
    <mergeCell ref="B50:J52"/>
    <mergeCell ref="B41:C41"/>
    <mergeCell ref="B42:C42"/>
    <mergeCell ref="B44:C44"/>
    <mergeCell ref="B45:C45"/>
    <mergeCell ref="B46:C46"/>
  </mergeCells>
  <printOptions horizontalCentered="1"/>
  <pageMargins left="0" right="0" top="0.196527777777778" bottom="0.196527777777778" header="0.511811023622047" footer="0.511811023622047"/>
  <pageSetup paperSize="9" scale="88"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A209"/>
  <sheetViews>
    <sheetView showGridLines="0" view="pageBreakPreview" topLeftCell="A84" zoomScale="95" zoomScaleNormal="100" zoomScalePageLayoutView="95" workbookViewId="0">
      <selection activeCell="J215" activeCellId="1" sqref="A100:K102 J215"/>
    </sheetView>
  </sheetViews>
  <sheetFormatPr defaultColWidth="8.7109375" defaultRowHeight="15"/>
  <cols>
    <col min="1" max="1" width="4" style="234" customWidth="1"/>
    <col min="2" max="6" width="3.7109375" style="234" customWidth="1"/>
    <col min="7" max="7" width="1.5703125" customWidth="1"/>
    <col min="8" max="9" width="8.85546875" customWidth="1"/>
    <col min="10" max="10" width="10.140625" customWidth="1"/>
    <col min="11" max="11" width="9.7109375" customWidth="1"/>
    <col min="12" max="12" width="1.140625" customWidth="1"/>
    <col min="13" max="13" width="8.85546875" customWidth="1"/>
    <col min="14" max="14" width="5.28515625" customWidth="1"/>
    <col min="15" max="15" width="7" customWidth="1"/>
  </cols>
  <sheetData>
    <row r="6" spans="1:16" ht="15" customHeight="1">
      <c r="A6" s="372" t="s">
        <v>311</v>
      </c>
      <c r="B6" s="372"/>
      <c r="C6" s="372"/>
      <c r="D6" s="372"/>
      <c r="E6" s="372"/>
      <c r="F6" s="372"/>
      <c r="G6" s="372"/>
      <c r="H6" s="372"/>
      <c r="I6" s="372"/>
      <c r="J6" s="372"/>
      <c r="K6" s="372"/>
      <c r="L6" s="372"/>
      <c r="M6" s="372"/>
      <c r="N6" s="372"/>
      <c r="O6" s="372"/>
      <c r="P6" s="372"/>
    </row>
    <row r="7" spans="1:16" ht="5.0999999999999996" customHeight="1">
      <c r="A7" s="235"/>
      <c r="B7" s="235"/>
      <c r="C7" s="235"/>
      <c r="D7" s="235"/>
      <c r="E7" s="235"/>
      <c r="F7" s="235"/>
      <c r="G7" s="235"/>
      <c r="H7" s="235"/>
      <c r="I7" s="235"/>
      <c r="J7" s="235"/>
      <c r="K7" s="235"/>
      <c r="L7" s="235"/>
      <c r="M7" s="235"/>
      <c r="N7" s="235"/>
      <c r="O7" s="235"/>
      <c r="P7" s="235"/>
    </row>
    <row r="8" spans="1:16" ht="15" customHeight="1">
      <c r="A8" s="391" t="s">
        <v>312</v>
      </c>
      <c r="B8" s="391"/>
      <c r="C8" s="391"/>
      <c r="D8" s="391"/>
      <c r="E8" s="391"/>
      <c r="F8" s="391"/>
      <c r="G8" s="236" t="s">
        <v>313</v>
      </c>
      <c r="H8" s="359" t="str">
        <f>"Bir tarafta GAZTEK. MAK. MÜH. OTOM. İNŞ. SAN. VE TİC. LTD. ŞTİ. (Aşağıda SATICI olarak anılacaktır ) ile diğer tarafta "&amp;H25&amp;"(Aşağıda ALICI Olarak Anılacaktır) aşağıda teknik özelleri ve bilgileri yazılı makinenin satışı, teslimatı ve ödemeye ilişkin hükümleri kapsamaktadır."</f>
        <v>Bir tarafta GAZTEK. MAK. MÜH. OTOM. İNŞ. SAN. VE TİC. LTD. ŞTİ. (Aşağıda SATICI olarak anılacaktır ) ile diğer tarafta Aygen Mekatronik San.Ve Tic.Ltd.Şti(Aşağıda ALICI Olarak Anılacaktır) aşağıda teknik özelleri ve bilgileri yazılı makinenin satışı, teslimatı ve ödemeye ilişkin hükümleri kapsamaktadır.</v>
      </c>
      <c r="I8" s="359"/>
      <c r="J8" s="359"/>
      <c r="K8" s="359"/>
      <c r="L8" s="359"/>
      <c r="M8" s="359"/>
      <c r="N8" s="359"/>
      <c r="O8" s="359"/>
      <c r="P8" s="359"/>
    </row>
    <row r="9" spans="1:16">
      <c r="A9" s="237"/>
      <c r="B9" s="237"/>
      <c r="C9" s="237"/>
      <c r="D9" s="237"/>
      <c r="E9" s="237"/>
      <c r="F9" s="237"/>
      <c r="G9" s="238"/>
      <c r="H9" s="359"/>
      <c r="I9" s="359"/>
      <c r="J9" s="359"/>
      <c r="K9" s="359"/>
      <c r="L9" s="359"/>
      <c r="M9" s="359"/>
      <c r="N9" s="359"/>
      <c r="O9" s="359"/>
      <c r="P9" s="359"/>
    </row>
    <row r="10" spans="1:16">
      <c r="A10" s="237"/>
      <c r="B10" s="237"/>
      <c r="C10" s="237"/>
      <c r="D10" s="237"/>
      <c r="E10" s="237"/>
      <c r="F10" s="237"/>
      <c r="G10" s="239"/>
      <c r="H10" s="359"/>
      <c r="I10" s="359"/>
      <c r="J10" s="359"/>
      <c r="K10" s="359"/>
      <c r="L10" s="359"/>
      <c r="M10" s="359"/>
      <c r="N10" s="359"/>
      <c r="O10" s="359"/>
      <c r="P10" s="359"/>
    </row>
    <row r="11" spans="1:16">
      <c r="A11" s="237"/>
      <c r="B11" s="237"/>
      <c r="C11" s="237"/>
      <c r="D11" s="237"/>
      <c r="E11" s="237"/>
      <c r="F11" s="237"/>
      <c r="G11" s="236"/>
      <c r="H11" s="359"/>
      <c r="I11" s="359"/>
      <c r="J11" s="359"/>
      <c r="K11" s="359"/>
      <c r="L11" s="359"/>
      <c r="M11" s="359"/>
      <c r="N11" s="359"/>
      <c r="O11" s="359"/>
      <c r="P11" s="359"/>
    </row>
    <row r="12" spans="1:16">
      <c r="A12" s="391" t="s">
        <v>314</v>
      </c>
      <c r="B12" s="391"/>
      <c r="C12" s="391"/>
      <c r="D12" s="391"/>
      <c r="E12" s="391"/>
      <c r="F12" s="391"/>
      <c r="G12" s="236" t="s">
        <v>313</v>
      </c>
      <c r="H12" s="240" t="str">
        <f>'Bilgi Giriş Sayfası'!C15</f>
        <v>Konya</v>
      </c>
      <c r="I12" s="392">
        <f ca="1">'Bilgi Giriş Sayfası'!F16</f>
        <v>44587</v>
      </c>
      <c r="J12" s="392"/>
      <c r="K12" s="241"/>
      <c r="L12" s="241"/>
      <c r="M12" s="241"/>
      <c r="N12" s="241"/>
      <c r="O12" s="241"/>
    </row>
    <row r="13" spans="1:16">
      <c r="A13" s="391" t="s">
        <v>315</v>
      </c>
      <c r="B13" s="391"/>
      <c r="C13" s="391"/>
      <c r="D13" s="391"/>
      <c r="E13" s="391"/>
      <c r="F13" s="391"/>
      <c r="G13" s="236" t="s">
        <v>313</v>
      </c>
      <c r="H13" s="393" t="str">
        <f>H12</f>
        <v>Konya</v>
      </c>
      <c r="I13" s="393"/>
      <c r="J13" s="393"/>
      <c r="K13" s="241"/>
      <c r="L13" s="241"/>
      <c r="M13" s="241"/>
      <c r="N13" s="241"/>
      <c r="O13" s="241"/>
    </row>
    <row r="14" spans="1:16" ht="5.0999999999999996" customHeight="1"/>
    <row r="15" spans="1:16" ht="15.75">
      <c r="A15" s="381" t="s">
        <v>316</v>
      </c>
      <c r="B15" s="381"/>
      <c r="C15" s="381"/>
      <c r="D15" s="381"/>
      <c r="E15" s="381"/>
      <c r="F15" s="381"/>
      <c r="G15" s="381"/>
      <c r="H15" s="381"/>
      <c r="I15" s="381"/>
      <c r="J15" s="381"/>
      <c r="K15" s="381"/>
      <c r="L15" s="381"/>
      <c r="M15" s="381"/>
      <c r="N15" s="381"/>
      <c r="O15" s="381"/>
      <c r="P15" s="381"/>
    </row>
    <row r="16" spans="1:16" ht="15" customHeight="1">
      <c r="A16" s="382" t="s">
        <v>317</v>
      </c>
      <c r="B16" s="382"/>
      <c r="C16" s="382"/>
      <c r="D16" s="382"/>
      <c r="E16" s="382"/>
      <c r="F16" s="382"/>
      <c r="G16" s="242" t="s">
        <v>313</v>
      </c>
      <c r="H16" s="390" t="s">
        <v>318</v>
      </c>
      <c r="I16" s="390"/>
      <c r="J16" s="390"/>
      <c r="K16" s="390"/>
      <c r="L16" s="390"/>
      <c r="M16" s="390"/>
      <c r="N16" s="390"/>
      <c r="O16" s="390"/>
    </row>
    <row r="17" spans="1:25" ht="15" customHeight="1">
      <c r="A17" s="382" t="s">
        <v>319</v>
      </c>
      <c r="B17" s="382"/>
      <c r="C17" s="382"/>
      <c r="D17" s="382"/>
      <c r="E17" s="382"/>
      <c r="F17" s="382"/>
      <c r="G17" s="242" t="s">
        <v>313</v>
      </c>
      <c r="H17" s="390" t="s">
        <v>320</v>
      </c>
      <c r="I17" s="390"/>
      <c r="J17" s="390"/>
      <c r="K17" s="390"/>
      <c r="L17" s="390"/>
      <c r="M17" s="390"/>
      <c r="N17" s="390"/>
      <c r="O17" s="390"/>
      <c r="P17" s="390"/>
    </row>
    <row r="18" spans="1:25">
      <c r="A18" s="382" t="s">
        <v>321</v>
      </c>
      <c r="B18" s="382"/>
      <c r="C18" s="382"/>
      <c r="D18" s="382"/>
      <c r="E18" s="382"/>
      <c r="F18" s="382"/>
      <c r="G18" s="242" t="s">
        <v>313</v>
      </c>
      <c r="H18" s="384" t="s">
        <v>322</v>
      </c>
      <c r="I18" s="384"/>
      <c r="J18" s="243"/>
      <c r="K18" s="244" t="s">
        <v>323</v>
      </c>
      <c r="L18" s="245" t="s">
        <v>313</v>
      </c>
      <c r="M18" s="384" t="s">
        <v>324</v>
      </c>
      <c r="N18" s="384"/>
      <c r="O18" s="384"/>
    </row>
    <row r="19" spans="1:25">
      <c r="A19" s="382" t="s">
        <v>325</v>
      </c>
      <c r="B19" s="382"/>
      <c r="C19" s="382"/>
      <c r="D19" s="382"/>
      <c r="E19" s="382"/>
      <c r="F19" s="382"/>
      <c r="G19" s="245" t="s">
        <v>313</v>
      </c>
      <c r="H19" s="246" t="s">
        <v>138</v>
      </c>
      <c r="I19" s="247"/>
      <c r="J19" s="248"/>
      <c r="K19" s="244" t="s">
        <v>326</v>
      </c>
      <c r="L19" s="245" t="s">
        <v>313</v>
      </c>
      <c r="M19" s="384" t="s">
        <v>327</v>
      </c>
      <c r="N19" s="384"/>
      <c r="O19" s="384"/>
    </row>
    <row r="20" spans="1:25">
      <c r="A20" s="379" t="s">
        <v>328</v>
      </c>
      <c r="B20" s="379"/>
      <c r="C20" s="379"/>
      <c r="D20" s="379"/>
      <c r="E20" s="379"/>
      <c r="F20" s="379"/>
      <c r="G20" s="245" t="s">
        <v>313</v>
      </c>
      <c r="H20" s="387" t="s">
        <v>329</v>
      </c>
      <c r="I20" s="387"/>
      <c r="J20" s="387"/>
      <c r="K20" s="244" t="s">
        <v>330</v>
      </c>
      <c r="L20" s="245" t="s">
        <v>313</v>
      </c>
      <c r="M20" s="386" t="s">
        <v>331</v>
      </c>
      <c r="N20" s="386"/>
      <c r="O20" s="386"/>
    </row>
    <row r="21" spans="1:25">
      <c r="A21" s="379" t="s">
        <v>332</v>
      </c>
      <c r="B21" s="379"/>
      <c r="C21" s="379"/>
      <c r="D21" s="379"/>
      <c r="E21" s="379"/>
      <c r="F21" s="379"/>
      <c r="G21" s="245" t="s">
        <v>313</v>
      </c>
      <c r="H21" s="388" t="s">
        <v>333</v>
      </c>
      <c r="I21" s="388"/>
      <c r="J21" s="388"/>
      <c r="K21" s="388"/>
      <c r="L21" s="388"/>
      <c r="M21" s="388"/>
      <c r="N21" s="388"/>
      <c r="O21" s="388"/>
    </row>
    <row r="22" spans="1:25">
      <c r="A22" s="379" t="s">
        <v>334</v>
      </c>
      <c r="B22" s="379"/>
      <c r="C22" s="379"/>
      <c r="D22" s="379"/>
      <c r="E22" s="379"/>
      <c r="F22" s="379"/>
      <c r="G22" s="245" t="s">
        <v>313</v>
      </c>
      <c r="H22" s="388" t="str">
        <f>'Bilgi Giriş Sayfası'!C11</f>
        <v>Kamil Şentürk</v>
      </c>
      <c r="I22" s="388"/>
      <c r="J22" s="388"/>
      <c r="K22" s="244" t="s">
        <v>335</v>
      </c>
      <c r="L22" s="249" t="s">
        <v>313</v>
      </c>
      <c r="M22" s="389" t="str">
        <f>'Bilgi Giriş Sayfası'!C12</f>
        <v>info@gaztekmakina.com</v>
      </c>
      <c r="N22" s="389"/>
      <c r="O22" s="389"/>
    </row>
    <row r="23" spans="1:25" ht="5.0999999999999996" customHeight="1"/>
    <row r="24" spans="1:25" ht="15.75">
      <c r="A24" s="381" t="s">
        <v>336</v>
      </c>
      <c r="B24" s="381"/>
      <c r="C24" s="381"/>
      <c r="D24" s="381"/>
      <c r="E24" s="381"/>
      <c r="F24" s="381"/>
      <c r="G24" s="381"/>
      <c r="H24" s="381"/>
      <c r="I24" s="381"/>
      <c r="J24" s="381"/>
      <c r="K24" s="381"/>
      <c r="L24" s="381"/>
      <c r="M24" s="381"/>
      <c r="N24" s="381"/>
      <c r="O24" s="381"/>
      <c r="P24" s="381"/>
    </row>
    <row r="25" spans="1:25" ht="15" customHeight="1">
      <c r="A25" s="382" t="s">
        <v>317</v>
      </c>
      <c r="B25" s="382"/>
      <c r="C25" s="382"/>
      <c r="D25" s="382"/>
      <c r="E25" s="382"/>
      <c r="F25" s="382"/>
      <c r="G25" s="242" t="s">
        <v>313</v>
      </c>
      <c r="H25" s="390" t="str">
        <f>'Bilgi Giriş Sayfası'!C2</f>
        <v>Aygen Mekatronik San.Ve Tic.Ltd.Şti</v>
      </c>
      <c r="I25" s="390"/>
      <c r="J25" s="390"/>
      <c r="K25" s="390"/>
      <c r="L25" s="390"/>
      <c r="M25" s="390"/>
      <c r="N25" s="390"/>
      <c r="O25" s="390"/>
      <c r="P25" s="390"/>
    </row>
    <row r="26" spans="1:25">
      <c r="A26" s="382" t="s">
        <v>319</v>
      </c>
      <c r="B26" s="382"/>
      <c r="C26" s="382"/>
      <c r="D26" s="382"/>
      <c r="E26" s="382"/>
      <c r="F26" s="382"/>
      <c r="G26" s="242" t="s">
        <v>313</v>
      </c>
      <c r="H26" s="390" t="str">
        <f>'Bilgi Giriş Sayfası'!C4</f>
        <v>Hatay</v>
      </c>
      <c r="I26" s="390"/>
      <c r="J26" s="390"/>
      <c r="K26" s="390"/>
      <c r="L26" s="390"/>
      <c r="M26" s="390"/>
      <c r="N26" s="390"/>
      <c r="O26" s="390"/>
      <c r="R26" s="250"/>
      <c r="S26" s="250"/>
      <c r="T26" s="250"/>
      <c r="U26" s="250"/>
      <c r="V26" s="250"/>
      <c r="W26" s="250"/>
      <c r="X26" s="250"/>
      <c r="Y26" s="250"/>
    </row>
    <row r="27" spans="1:25">
      <c r="G27" s="245"/>
      <c r="H27" s="390"/>
      <c r="I27" s="390"/>
      <c r="J27" s="390"/>
      <c r="K27" s="390"/>
      <c r="L27" s="390"/>
      <c r="M27" s="390"/>
      <c r="N27" s="390"/>
      <c r="O27" s="390"/>
      <c r="R27" s="250"/>
      <c r="S27" s="250"/>
      <c r="T27" s="250"/>
      <c r="U27" s="250"/>
      <c r="V27" s="250"/>
      <c r="W27" s="250"/>
      <c r="X27" s="250"/>
      <c r="Y27" s="250"/>
    </row>
    <row r="28" spans="1:25">
      <c r="A28" s="382" t="s">
        <v>321</v>
      </c>
      <c r="B28" s="382"/>
      <c r="C28" s="382"/>
      <c r="D28" s="382"/>
      <c r="E28" s="382"/>
      <c r="F28" s="382"/>
      <c r="G28" s="242" t="s">
        <v>313</v>
      </c>
      <c r="H28" s="383" t="str">
        <f>'Bilgi Giriş Sayfası'!C7</f>
        <v>+90 535 237 58 21</v>
      </c>
      <c r="I28" s="383"/>
      <c r="J28" s="243"/>
      <c r="K28" s="244" t="s">
        <v>323</v>
      </c>
      <c r="L28" s="245" t="s">
        <v>313</v>
      </c>
      <c r="M28" s="384" t="str">
        <f>'Bilgi Giriş Sayfası'!C8</f>
        <v>-</v>
      </c>
      <c r="N28" s="384"/>
      <c r="O28" s="384"/>
      <c r="R28" s="250"/>
      <c r="S28" s="250"/>
      <c r="T28" s="250"/>
      <c r="U28" s="250"/>
      <c r="V28" s="250"/>
      <c r="W28" s="250"/>
      <c r="X28" s="250"/>
      <c r="Y28" s="250"/>
    </row>
    <row r="29" spans="1:25">
      <c r="A29" s="382" t="s">
        <v>325</v>
      </c>
      <c r="B29" s="382"/>
      <c r="C29" s="382"/>
      <c r="D29" s="382"/>
      <c r="E29" s="382"/>
      <c r="F29" s="382"/>
      <c r="G29" s="245" t="s">
        <v>313</v>
      </c>
      <c r="H29" s="385" t="str">
        <f>'Bilgi Giriş Sayfası'!C10</f>
        <v>-</v>
      </c>
      <c r="I29" s="385"/>
      <c r="J29" s="385"/>
      <c r="K29" s="244" t="s">
        <v>326</v>
      </c>
      <c r="L29" s="245" t="s">
        <v>313</v>
      </c>
      <c r="M29" s="386"/>
      <c r="N29" s="386"/>
      <c r="O29" s="386"/>
      <c r="R29" s="250"/>
      <c r="S29" s="250"/>
      <c r="T29" s="250"/>
      <c r="U29" s="250"/>
      <c r="V29" s="250"/>
      <c r="W29" s="250"/>
      <c r="X29" s="250"/>
      <c r="Y29" s="250"/>
    </row>
    <row r="30" spans="1:25">
      <c r="A30" s="379" t="s">
        <v>328</v>
      </c>
      <c r="B30" s="379"/>
      <c r="C30" s="379"/>
      <c r="D30" s="379"/>
      <c r="E30" s="379"/>
      <c r="F30" s="379"/>
      <c r="G30" s="245" t="s">
        <v>313</v>
      </c>
      <c r="H30" s="387" t="str">
        <f>'Bilgi Giriş Sayfası'!C5</f>
        <v>-</v>
      </c>
      <c r="I30" s="387"/>
      <c r="J30" s="387"/>
      <c r="K30" s="244" t="s">
        <v>330</v>
      </c>
      <c r="L30" s="245" t="s">
        <v>313</v>
      </c>
      <c r="M30" s="386" t="str">
        <f>'Bilgi Giriş Sayfası'!C6</f>
        <v>-</v>
      </c>
      <c r="N30" s="386"/>
      <c r="O30" s="386"/>
      <c r="R30" s="250"/>
      <c r="S30" s="250"/>
      <c r="T30" s="250"/>
      <c r="U30" s="250"/>
      <c r="V30" s="250"/>
      <c r="W30" s="250"/>
      <c r="X30" s="250"/>
      <c r="Y30" s="250"/>
    </row>
    <row r="31" spans="1:25">
      <c r="A31" s="379" t="s">
        <v>332</v>
      </c>
      <c r="B31" s="379"/>
      <c r="C31" s="379"/>
      <c r="D31" s="379"/>
      <c r="E31" s="379"/>
      <c r="F31" s="379"/>
      <c r="G31" s="245" t="s">
        <v>313</v>
      </c>
      <c r="H31" s="380" t="str">
        <f>'Bilgi Giriş Sayfası'!C3</f>
        <v>Koray Aygen</v>
      </c>
      <c r="I31" s="380"/>
      <c r="J31" s="380"/>
      <c r="K31" s="380"/>
      <c r="L31" s="380"/>
      <c r="M31" s="380"/>
      <c r="N31" s="380"/>
      <c r="O31" s="380"/>
      <c r="R31" s="250"/>
      <c r="S31" s="250"/>
      <c r="T31" s="250"/>
      <c r="U31" s="250"/>
      <c r="V31" s="250"/>
      <c r="W31" s="250"/>
      <c r="X31" s="250"/>
      <c r="Y31" s="250"/>
    </row>
    <row r="32" spans="1:25" ht="15" customHeight="1">
      <c r="A32" s="381" t="s">
        <v>337</v>
      </c>
      <c r="B32" s="381"/>
      <c r="C32" s="381"/>
      <c r="D32" s="381"/>
      <c r="E32" s="381"/>
      <c r="F32" s="381"/>
      <c r="G32" s="381"/>
      <c r="H32" s="381"/>
      <c r="I32" s="381"/>
      <c r="J32" s="381"/>
      <c r="K32" s="381"/>
      <c r="L32" s="381"/>
      <c r="M32" s="381"/>
      <c r="N32" s="381"/>
      <c r="O32" s="381"/>
      <c r="P32" s="381"/>
      <c r="R32" s="250"/>
      <c r="S32" s="250"/>
      <c r="T32" s="250"/>
      <c r="U32" s="250"/>
      <c r="V32" s="250"/>
      <c r="W32" s="250"/>
      <c r="X32" s="250"/>
      <c r="Y32" s="250"/>
    </row>
    <row r="33" spans="1:27" ht="15" customHeight="1">
      <c r="A33" s="376" t="str">
        <f>'Proforma TL'!C18</f>
        <v>RED LİNE Cnc Plazma Kesim Makinası</v>
      </c>
      <c r="B33" s="376"/>
      <c r="C33" s="376"/>
      <c r="D33" s="376"/>
      <c r="E33" s="376"/>
      <c r="F33" s="376"/>
      <c r="G33" s="376"/>
      <c r="H33" s="376"/>
      <c r="I33" s="376"/>
      <c r="J33" s="376"/>
      <c r="K33" s="376" t="str">
        <f>'Proforma TL'!C26</f>
        <v>Windows Tabanlı Cnc Kontrol Ünitesi</v>
      </c>
      <c r="L33" s="376"/>
      <c r="M33" s="376"/>
      <c r="N33" s="376"/>
      <c r="O33" s="376"/>
      <c r="P33" s="376"/>
      <c r="T33" s="376"/>
      <c r="U33" s="376"/>
      <c r="V33" s="376"/>
      <c r="W33" s="376"/>
      <c r="X33" s="376"/>
      <c r="Y33" s="376"/>
      <c r="Z33" s="376"/>
      <c r="AA33" s="376"/>
    </row>
    <row r="34" spans="1:27" ht="15" customHeight="1">
      <c r="A34" s="376" t="str">
        <f>'Proforma TL'!C19</f>
        <v>1500 x 3000 mm Kesim Alanı</v>
      </c>
      <c r="B34" s="376"/>
      <c r="C34" s="376"/>
      <c r="D34" s="376"/>
      <c r="E34" s="376"/>
      <c r="F34" s="376"/>
      <c r="G34" s="376"/>
      <c r="H34" s="376"/>
      <c r="I34" s="376"/>
      <c r="J34" s="376"/>
      <c r="K34" s="376" t="str">
        <f>'Proforma TL'!C27</f>
        <v>Kapasitif Yükseklik Kontrol Ünitesi</v>
      </c>
      <c r="L34" s="376"/>
      <c r="M34" s="376"/>
      <c r="N34" s="376"/>
      <c r="O34" s="376"/>
      <c r="P34" s="376"/>
      <c r="T34" s="376"/>
      <c r="U34" s="376"/>
      <c r="V34" s="376"/>
      <c r="W34" s="376"/>
      <c r="X34" s="376"/>
      <c r="Y34" s="376"/>
      <c r="Z34" s="376"/>
      <c r="AA34" s="376"/>
    </row>
    <row r="35" spans="1:27" ht="15" customHeight="1">
      <c r="A35" s="376" t="str">
        <f>'Proforma TL'!C20</f>
        <v>2300 x 4000 mm Tezgah Ölçüleri</v>
      </c>
      <c r="B35" s="376"/>
      <c r="C35" s="376"/>
      <c r="D35" s="376"/>
      <c r="E35" s="376"/>
      <c r="F35" s="376"/>
      <c r="G35" s="376"/>
      <c r="H35" s="376"/>
      <c r="I35" s="376"/>
      <c r="J35" s="376"/>
      <c r="K35" s="376" t="str">
        <f>'Proforma TL'!C28</f>
        <v>Tanaka Oksijen Torcu (200 mm'ye Kadar Kesim)</v>
      </c>
      <c r="L35" s="376"/>
      <c r="M35" s="376"/>
      <c r="N35" s="376"/>
      <c r="O35" s="376"/>
      <c r="P35" s="376"/>
      <c r="T35" s="376"/>
      <c r="U35" s="376"/>
      <c r="V35" s="376"/>
      <c r="W35" s="376"/>
      <c r="X35" s="376"/>
      <c r="Y35" s="376"/>
      <c r="Z35" s="376"/>
      <c r="AA35" s="376"/>
    </row>
    <row r="36" spans="1:27" ht="15" customHeight="1">
      <c r="A36" s="376" t="str">
        <f>'Proforma TL'!C21</f>
        <v>Hypertherm Powermax 105 Plazma Kesim</v>
      </c>
      <c r="B36" s="376"/>
      <c r="C36" s="376"/>
      <c r="D36" s="376"/>
      <c r="E36" s="376"/>
      <c r="F36" s="376"/>
      <c r="G36" s="376"/>
      <c r="H36" s="376"/>
      <c r="I36" s="376"/>
      <c r="J36" s="376"/>
      <c r="K36" s="376" t="str">
        <f>'Proforma TL'!C29</f>
        <v>2 KVA Güç Kaynağı</v>
      </c>
      <c r="L36" s="376"/>
      <c r="M36" s="376"/>
      <c r="N36" s="376"/>
      <c r="O36" s="376"/>
      <c r="P36" s="376"/>
      <c r="T36" s="376"/>
      <c r="U36" s="376"/>
      <c r="V36" s="376"/>
      <c r="W36" s="376"/>
      <c r="X36" s="376"/>
      <c r="Y36" s="376"/>
      <c r="Z36" s="376"/>
      <c r="AA36" s="376"/>
    </row>
    <row r="37" spans="1:27" ht="15" customHeight="1">
      <c r="A37" s="376" t="str">
        <f>'Proforma TL'!C22</f>
        <v>1 mm - 22 mm Kesim Kalınlığı</v>
      </c>
      <c r="B37" s="376"/>
      <c r="C37" s="376"/>
      <c r="D37" s="376"/>
      <c r="E37" s="376"/>
      <c r="F37" s="376"/>
      <c r="G37" s="376"/>
      <c r="H37" s="376"/>
      <c r="I37" s="376"/>
      <c r="J37" s="376"/>
      <c r="K37" s="376" t="str">
        <f>'Proforma TL'!C30</f>
        <v>20.000 M³ Fan</v>
      </c>
      <c r="L37" s="376"/>
      <c r="M37" s="376"/>
      <c r="N37" s="376"/>
      <c r="O37" s="376"/>
      <c r="P37" s="376"/>
      <c r="T37" s="376"/>
      <c r="U37" s="376"/>
      <c r="V37" s="376"/>
      <c r="W37" s="376"/>
      <c r="X37" s="376"/>
      <c r="Y37" s="376"/>
      <c r="Z37" s="376"/>
      <c r="AA37" s="376"/>
    </row>
    <row r="38" spans="1:27" ht="15" customHeight="1">
      <c r="A38" s="376" t="str">
        <f>'Proforma TL'!C23</f>
        <v>Hassas Lineer Ray Hassas Lineer Kızak</v>
      </c>
      <c r="B38" s="376"/>
      <c r="C38" s="376"/>
      <c r="D38" s="376"/>
      <c r="E38" s="376"/>
      <c r="F38" s="376"/>
      <c r="G38" s="376"/>
      <c r="H38" s="376"/>
      <c r="I38" s="376"/>
      <c r="J38" s="376"/>
      <c r="K38" s="376" t="str">
        <f>'Proforma TL'!C31</f>
        <v xml:space="preserve">  </v>
      </c>
      <c r="L38" s="376"/>
      <c r="M38" s="376"/>
      <c r="N38" s="376"/>
      <c r="O38" s="376"/>
      <c r="P38" s="376"/>
      <c r="T38" s="376"/>
      <c r="U38" s="376"/>
      <c r="V38" s="376"/>
      <c r="W38" s="376"/>
      <c r="X38" s="376"/>
      <c r="Y38" s="376"/>
      <c r="Z38" s="376"/>
      <c r="AA38" s="376"/>
    </row>
    <row r="39" spans="1:27" ht="15" customHeight="1">
      <c r="A39" s="376" t="str">
        <f>'Proforma TL'!C24</f>
        <v>Hassas Helis Kremayer Ve Pinyon</v>
      </c>
      <c r="B39" s="376"/>
      <c r="C39" s="376"/>
      <c r="D39" s="376"/>
      <c r="E39" s="376"/>
      <c r="F39" s="376"/>
      <c r="G39" s="376"/>
      <c r="H39" s="376"/>
      <c r="I39" s="376"/>
      <c r="J39" s="376"/>
      <c r="K39" s="376" t="str">
        <f>'Proforma TL'!C32</f>
        <v>Kurutucu Dahildir</v>
      </c>
      <c r="L39" s="376"/>
      <c r="M39" s="376"/>
      <c r="N39" s="376"/>
      <c r="O39" s="376"/>
      <c r="P39" s="376"/>
      <c r="T39" s="376"/>
      <c r="U39" s="376"/>
      <c r="V39" s="376"/>
      <c r="W39" s="376"/>
      <c r="X39" s="376"/>
      <c r="Y39" s="376"/>
      <c r="Z39" s="376"/>
      <c r="AA39" s="376"/>
    </row>
    <row r="40" spans="1:27" ht="15" customHeight="1">
      <c r="A40" s="376" t="str">
        <f>'Proforma TL'!C25</f>
        <v>Motor Tipi 8,5 Nm Leadshine Digital Stepper</v>
      </c>
      <c r="B40" s="376"/>
      <c r="C40" s="376"/>
      <c r="D40" s="376"/>
      <c r="E40" s="376"/>
      <c r="F40" s="376"/>
      <c r="G40" s="376"/>
      <c r="H40" s="376"/>
      <c r="I40" s="376"/>
      <c r="J40" s="376"/>
      <c r="K40" s="376" t="str">
        <f>'Proforma TL'!C33</f>
        <v xml:space="preserve">2020 Model Yeni ve Kullanılmamıştır. </v>
      </c>
      <c r="L40" s="376"/>
      <c r="M40" s="376"/>
      <c r="N40" s="376"/>
      <c r="O40" s="376"/>
      <c r="P40" s="376"/>
      <c r="T40" s="376"/>
      <c r="U40" s="376"/>
      <c r="V40" s="376"/>
      <c r="W40" s="376"/>
      <c r="X40" s="376"/>
      <c r="Y40" s="376"/>
      <c r="Z40" s="376"/>
      <c r="AA40" s="376"/>
    </row>
    <row r="41" spans="1:27" ht="15" customHeight="1">
      <c r="A41" s="376" t="str">
        <f>'Proforma TL'!C34</f>
        <v>G.T.İ.P KODU 84.56.11.90.10.00</v>
      </c>
      <c r="B41" s="376"/>
      <c r="C41" s="376"/>
      <c r="D41" s="376"/>
      <c r="E41" s="376"/>
      <c r="F41" s="376"/>
      <c r="G41" s="376"/>
      <c r="H41" s="376"/>
      <c r="I41" s="376"/>
      <c r="J41" s="376"/>
      <c r="K41" s="376"/>
      <c r="L41" s="376"/>
      <c r="M41" s="376"/>
      <c r="N41" s="376"/>
      <c r="O41" s="376"/>
      <c r="P41" s="376"/>
      <c r="T41" s="376"/>
      <c r="U41" s="376"/>
      <c r="V41" s="376"/>
      <c r="W41" s="376"/>
      <c r="X41" s="376"/>
      <c r="Y41" s="376"/>
      <c r="Z41" s="376"/>
      <c r="AA41" s="376"/>
    </row>
    <row r="42" spans="1:27" ht="15" customHeight="1">
      <c r="A42" s="251"/>
      <c r="B42" s="251"/>
      <c r="C42" s="251"/>
      <c r="D42" s="251"/>
      <c r="E42" s="251"/>
      <c r="F42" s="251"/>
      <c r="G42" s="251"/>
      <c r="H42" s="251"/>
      <c r="I42" s="251"/>
      <c r="J42" s="251"/>
      <c r="K42" s="251"/>
      <c r="L42" s="251"/>
      <c r="M42" s="251"/>
      <c r="N42" s="251"/>
      <c r="O42" s="251"/>
      <c r="P42" s="251"/>
      <c r="T42" s="376"/>
      <c r="U42" s="376"/>
      <c r="V42" s="376"/>
      <c r="W42" s="376"/>
      <c r="X42" s="376"/>
      <c r="Y42" s="376"/>
      <c r="Z42" s="376"/>
      <c r="AA42" s="376"/>
    </row>
    <row r="43" spans="1:27" ht="15" customHeight="1">
      <c r="A43" s="251"/>
      <c r="B43" s="251"/>
      <c r="C43" s="251"/>
      <c r="D43" s="251"/>
      <c r="E43" s="251"/>
      <c r="F43" s="251"/>
      <c r="G43" s="251"/>
      <c r="H43" s="251"/>
      <c r="I43" s="251"/>
      <c r="J43" s="251"/>
      <c r="K43" s="251"/>
      <c r="L43" s="251"/>
      <c r="M43" s="251"/>
      <c r="N43" s="251"/>
      <c r="O43" s="251"/>
      <c r="P43" s="251"/>
      <c r="T43" s="376"/>
      <c r="U43" s="376"/>
      <c r="V43" s="376"/>
      <c r="W43" s="376"/>
      <c r="X43" s="376"/>
      <c r="Y43" s="376"/>
      <c r="Z43" s="376"/>
      <c r="AA43" s="376"/>
    </row>
    <row r="44" spans="1:27" ht="15" customHeight="1">
      <c r="A44" s="252"/>
      <c r="B44" s="346" t="s">
        <v>338</v>
      </c>
      <c r="C44" s="346"/>
      <c r="D44" s="346"/>
      <c r="E44" s="346"/>
      <c r="F44" s="346"/>
      <c r="G44" s="346"/>
      <c r="H44" s="346"/>
      <c r="I44" s="346"/>
      <c r="J44" s="253"/>
      <c r="K44" s="346" t="s">
        <v>339</v>
      </c>
      <c r="L44" s="346"/>
      <c r="M44" s="346"/>
      <c r="N44" s="346"/>
      <c r="O44" s="346"/>
      <c r="P44" s="253"/>
      <c r="T44" s="376"/>
      <c r="U44" s="376"/>
      <c r="V44" s="376"/>
      <c r="W44" s="376"/>
      <c r="X44" s="376"/>
      <c r="Y44" s="376"/>
      <c r="Z44" s="376"/>
      <c r="AA44" s="376"/>
    </row>
    <row r="45" spans="1:27" ht="15" customHeight="1">
      <c r="A45" s="252"/>
      <c r="B45" s="349" t="str">
        <f>H21</f>
        <v>ALİ KÜRŞAT EROL</v>
      </c>
      <c r="C45" s="349"/>
      <c r="D45" s="349"/>
      <c r="E45" s="349"/>
      <c r="F45" s="349"/>
      <c r="G45" s="349"/>
      <c r="H45" s="349"/>
      <c r="I45" s="349"/>
      <c r="J45" s="375" t="str">
        <f>H25</f>
        <v>Aygen Mekatronik San.Ve Tic.Ltd.Şti</v>
      </c>
      <c r="K45" s="375"/>
      <c r="L45" s="375"/>
      <c r="M45" s="375"/>
      <c r="N45" s="375"/>
      <c r="O45" s="375"/>
      <c r="P45" s="375"/>
      <c r="T45" s="376"/>
      <c r="U45" s="376"/>
      <c r="V45" s="376"/>
      <c r="W45" s="376"/>
      <c r="X45" s="376"/>
      <c r="Y45" s="376"/>
      <c r="Z45" s="376"/>
      <c r="AA45" s="376"/>
    </row>
    <row r="46" spans="1:27" ht="15" customHeight="1">
      <c r="A46" s="252"/>
      <c r="B46" s="252"/>
      <c r="C46" s="252"/>
      <c r="D46" s="252"/>
      <c r="E46" s="252"/>
      <c r="F46" s="252"/>
      <c r="G46" s="114"/>
      <c r="H46" s="114"/>
      <c r="I46" s="253"/>
      <c r="J46" s="253"/>
      <c r="K46" s="349" t="str">
        <f>H31</f>
        <v>Koray Aygen</v>
      </c>
      <c r="L46" s="349"/>
      <c r="M46" s="349"/>
      <c r="N46" s="349"/>
      <c r="O46" s="349"/>
      <c r="P46" s="253"/>
      <c r="T46" s="376"/>
      <c r="U46" s="376"/>
      <c r="V46" s="376"/>
      <c r="W46" s="376"/>
      <c r="X46" s="376"/>
      <c r="Y46" s="376"/>
      <c r="Z46" s="376"/>
      <c r="AA46" s="376"/>
    </row>
    <row r="47" spans="1:27" ht="15" customHeight="1">
      <c r="A47" s="252"/>
      <c r="B47" s="252"/>
      <c r="C47" s="252"/>
      <c r="D47" s="252"/>
      <c r="E47" s="252"/>
      <c r="F47" s="252"/>
      <c r="G47" s="114"/>
      <c r="H47" s="114"/>
      <c r="I47" s="253"/>
      <c r="J47" s="253"/>
      <c r="K47" s="253"/>
      <c r="L47" s="253"/>
      <c r="M47" s="253"/>
      <c r="N47" s="253"/>
      <c r="O47" s="253"/>
      <c r="P47" s="253"/>
      <c r="T47" s="376"/>
      <c r="U47" s="376"/>
      <c r="V47" s="376"/>
      <c r="W47" s="376"/>
      <c r="X47" s="376"/>
      <c r="Y47" s="376"/>
      <c r="Z47" s="376"/>
      <c r="AA47" s="376"/>
    </row>
    <row r="48" spans="1:27" ht="15" customHeight="1">
      <c r="A48" s="252"/>
      <c r="B48" s="252"/>
      <c r="C48" s="252"/>
      <c r="D48" s="252"/>
      <c r="E48" s="252"/>
      <c r="F48" s="252"/>
      <c r="G48" s="114"/>
      <c r="H48" s="114"/>
      <c r="I48" s="253"/>
      <c r="J48" s="253"/>
      <c r="K48" s="253"/>
      <c r="L48" s="253"/>
      <c r="M48" s="253"/>
      <c r="N48" s="253"/>
      <c r="O48" s="253"/>
      <c r="P48" s="253"/>
      <c r="T48" s="376"/>
      <c r="U48" s="376"/>
      <c r="V48" s="376"/>
      <c r="W48" s="376"/>
      <c r="X48" s="376"/>
      <c r="Y48" s="376"/>
      <c r="Z48" s="376"/>
      <c r="AA48" s="376"/>
    </row>
    <row r="49" spans="1:27" ht="15" customHeight="1">
      <c r="A49" s="252"/>
      <c r="B49" s="252"/>
      <c r="C49" s="252"/>
      <c r="D49" s="252"/>
      <c r="E49" s="252"/>
      <c r="F49" s="252"/>
      <c r="G49" s="114"/>
      <c r="H49" s="114"/>
      <c r="I49" s="253"/>
      <c r="J49" s="253"/>
      <c r="K49" s="253"/>
      <c r="L49" s="253"/>
      <c r="M49" s="253"/>
      <c r="N49" s="253"/>
      <c r="O49" s="253"/>
      <c r="P49" s="253"/>
      <c r="T49" s="376"/>
      <c r="U49" s="376"/>
      <c r="V49" s="376"/>
      <c r="W49" s="376"/>
      <c r="X49" s="376"/>
      <c r="Y49" s="376"/>
      <c r="Z49" s="376"/>
      <c r="AA49" s="376"/>
    </row>
    <row r="50" spans="1:27" ht="15" customHeight="1">
      <c r="A50" s="252"/>
      <c r="B50" s="252"/>
      <c r="C50" s="252"/>
      <c r="D50" s="252"/>
      <c r="E50" s="252"/>
      <c r="F50" s="252"/>
      <c r="G50" s="114"/>
      <c r="H50" s="114"/>
      <c r="I50" s="253"/>
      <c r="J50" s="253"/>
      <c r="K50" s="253"/>
      <c r="L50" s="253"/>
      <c r="M50" s="253"/>
      <c r="N50" s="253"/>
      <c r="O50" s="253"/>
      <c r="P50" s="253"/>
      <c r="T50" s="376"/>
      <c r="U50" s="376"/>
      <c r="V50" s="376"/>
      <c r="W50" s="376"/>
      <c r="X50" s="376"/>
      <c r="Y50" s="376"/>
      <c r="Z50" s="376"/>
      <c r="AA50" s="376"/>
    </row>
    <row r="51" spans="1:27">
      <c r="H51" s="376"/>
      <c r="I51" s="376"/>
      <c r="J51" s="376"/>
      <c r="K51" s="376"/>
      <c r="L51" s="376"/>
      <c r="M51" s="376"/>
      <c r="N51" s="376"/>
      <c r="O51" s="376"/>
      <c r="P51" s="376"/>
      <c r="T51" s="376"/>
      <c r="U51" s="376"/>
      <c r="V51" s="376"/>
      <c r="W51" s="376"/>
      <c r="X51" s="376"/>
      <c r="Y51" s="376"/>
      <c r="Z51" s="376"/>
      <c r="AA51" s="376"/>
    </row>
    <row r="52" spans="1:27">
      <c r="H52" s="254"/>
      <c r="I52" s="254"/>
      <c r="J52" s="254"/>
      <c r="K52" s="254"/>
      <c r="L52" s="254"/>
      <c r="M52" s="254"/>
      <c r="N52" s="254"/>
      <c r="O52" s="254"/>
      <c r="P52" s="255" t="s">
        <v>340</v>
      </c>
      <c r="T52" s="376"/>
      <c r="U52" s="376"/>
      <c r="V52" s="376"/>
      <c r="W52" s="376"/>
      <c r="X52" s="376"/>
      <c r="Y52" s="376"/>
      <c r="Z52" s="376"/>
      <c r="AA52" s="376"/>
    </row>
    <row r="55" spans="1:27">
      <c r="F55" s="377"/>
      <c r="G55" s="377"/>
      <c r="H55" s="377"/>
    </row>
    <row r="56" spans="1:27">
      <c r="N56" s="256"/>
      <c r="O56" s="257"/>
    </row>
    <row r="57" spans="1:27" ht="15" customHeight="1">
      <c r="A57" s="372" t="s">
        <v>341</v>
      </c>
      <c r="B57" s="372"/>
      <c r="C57" s="372"/>
      <c r="D57" s="372"/>
      <c r="E57" s="372"/>
      <c r="F57" s="372"/>
      <c r="G57" s="372"/>
      <c r="H57" s="372"/>
      <c r="I57" s="372"/>
      <c r="J57" s="372"/>
      <c r="K57" s="372"/>
      <c r="L57" s="372"/>
      <c r="M57" s="372"/>
      <c r="N57" s="372"/>
      <c r="O57" s="372"/>
      <c r="P57" s="372"/>
    </row>
    <row r="58" spans="1:27" ht="5.0999999999999996" customHeight="1">
      <c r="A58" s="235"/>
      <c r="B58" s="235"/>
      <c r="C58" s="235"/>
      <c r="D58" s="235"/>
      <c r="E58" s="235"/>
      <c r="F58" s="235"/>
      <c r="G58" s="235"/>
      <c r="H58" s="235"/>
      <c r="I58" s="235"/>
      <c r="J58" s="235"/>
      <c r="K58" s="235"/>
      <c r="L58" s="235"/>
      <c r="M58" s="235"/>
      <c r="N58" s="235"/>
      <c r="O58" s="235"/>
    </row>
    <row r="59" spans="1:27" ht="15" customHeight="1">
      <c r="A59" s="258" t="s">
        <v>342</v>
      </c>
      <c r="B59" s="283" t="s">
        <v>343</v>
      </c>
      <c r="C59" s="283"/>
      <c r="D59" s="283"/>
      <c r="E59" s="283"/>
      <c r="F59" s="283"/>
      <c r="G59" s="283"/>
      <c r="H59" s="283"/>
      <c r="I59" s="283"/>
      <c r="J59" s="283"/>
      <c r="K59" s="283"/>
      <c r="L59" s="283"/>
      <c r="M59" s="283"/>
      <c r="N59" s="283"/>
      <c r="O59" s="283"/>
      <c r="P59" s="283"/>
    </row>
    <row r="60" spans="1:27">
      <c r="B60" s="283"/>
      <c r="C60" s="283"/>
      <c r="D60" s="283"/>
      <c r="E60" s="283"/>
      <c r="F60" s="283"/>
      <c r="G60" s="283"/>
      <c r="H60" s="283"/>
      <c r="I60" s="283"/>
      <c r="J60" s="283"/>
      <c r="K60" s="283"/>
      <c r="L60" s="283"/>
      <c r="M60" s="283"/>
      <c r="N60" s="283"/>
      <c r="O60" s="283"/>
      <c r="P60" s="283"/>
    </row>
    <row r="61" spans="1:27">
      <c r="B61" s="6"/>
      <c r="C61" s="6"/>
      <c r="D61" s="6"/>
      <c r="E61" s="6"/>
      <c r="F61" s="6"/>
      <c r="G61" s="6"/>
      <c r="H61" s="6"/>
      <c r="I61" s="6"/>
      <c r="J61" s="6"/>
      <c r="K61" s="6"/>
      <c r="L61" s="6"/>
      <c r="M61" s="6"/>
      <c r="N61" s="6"/>
      <c r="O61" s="6"/>
    </row>
    <row r="62" spans="1:27" ht="15" customHeight="1">
      <c r="A62" s="258" t="s">
        <v>344</v>
      </c>
      <c r="B62" s="378" t="s">
        <v>345</v>
      </c>
      <c r="C62" s="378"/>
      <c r="D62" s="378"/>
      <c r="E62" s="378"/>
      <c r="F62" s="378"/>
      <c r="G62" s="378"/>
      <c r="H62" s="378"/>
      <c r="I62" s="378"/>
      <c r="J62" s="378"/>
      <c r="K62" s="378"/>
      <c r="L62" s="378"/>
      <c r="M62" s="378"/>
      <c r="N62" s="378"/>
      <c r="O62" s="378"/>
      <c r="P62" s="378"/>
    </row>
    <row r="63" spans="1:27">
      <c r="A63" s="258"/>
      <c r="B63" s="378"/>
      <c r="C63" s="378"/>
      <c r="D63" s="378"/>
      <c r="E63" s="378"/>
      <c r="F63" s="378"/>
      <c r="G63" s="378"/>
      <c r="H63" s="378"/>
      <c r="I63" s="378"/>
      <c r="J63" s="378"/>
      <c r="K63" s="378"/>
      <c r="L63" s="378"/>
      <c r="M63" s="378"/>
      <c r="N63" s="378"/>
      <c r="O63" s="378"/>
      <c r="P63" s="378"/>
    </row>
    <row r="64" spans="1:27">
      <c r="A64" s="258"/>
      <c r="B64" s="378"/>
      <c r="C64" s="378"/>
      <c r="D64" s="378"/>
      <c r="E64" s="378"/>
      <c r="F64" s="378"/>
      <c r="G64" s="378"/>
      <c r="H64" s="378"/>
      <c r="I64" s="378"/>
      <c r="J64" s="378"/>
      <c r="K64" s="378"/>
      <c r="L64" s="378"/>
      <c r="M64" s="378"/>
      <c r="N64" s="378"/>
      <c r="O64" s="378"/>
      <c r="P64" s="378"/>
    </row>
    <row r="65" spans="1:16">
      <c r="A65" s="258"/>
      <c r="B65" s="259"/>
      <c r="C65" s="259"/>
      <c r="D65" s="259"/>
      <c r="E65" s="259"/>
      <c r="F65" s="259"/>
      <c r="G65" s="259"/>
      <c r="H65" s="259"/>
      <c r="I65" s="259"/>
      <c r="J65" s="259"/>
      <c r="K65" s="259"/>
      <c r="L65" s="259"/>
      <c r="M65" s="259"/>
      <c r="N65" s="259"/>
      <c r="O65" s="259"/>
    </row>
    <row r="66" spans="1:16" ht="15" customHeight="1">
      <c r="A66" s="258" t="s">
        <v>346</v>
      </c>
      <c r="B66" s="283" t="s">
        <v>347</v>
      </c>
      <c r="C66" s="283"/>
      <c r="D66" s="283"/>
      <c r="E66" s="283"/>
      <c r="F66" s="283"/>
      <c r="G66" s="283"/>
      <c r="H66" s="283"/>
      <c r="I66" s="283"/>
      <c r="J66" s="283"/>
      <c r="K66" s="283"/>
      <c r="L66" s="283"/>
      <c r="M66" s="283"/>
      <c r="N66" s="283"/>
      <c r="O66" s="283"/>
      <c r="P66" s="283"/>
    </row>
    <row r="67" spans="1:16">
      <c r="A67" s="258"/>
      <c r="B67" s="283"/>
      <c r="C67" s="283"/>
      <c r="D67" s="283"/>
      <c r="E67" s="283"/>
      <c r="F67" s="283"/>
      <c r="G67" s="283"/>
      <c r="H67" s="283"/>
      <c r="I67" s="283"/>
      <c r="J67" s="283"/>
      <c r="K67" s="283"/>
      <c r="L67" s="283"/>
      <c r="M67" s="283"/>
      <c r="N67" s="283"/>
      <c r="O67" s="283"/>
      <c r="P67" s="283"/>
    </row>
    <row r="68" spans="1:16">
      <c r="A68" s="258"/>
      <c r="B68" s="6"/>
      <c r="C68" s="6"/>
      <c r="D68" s="6"/>
      <c r="E68" s="6"/>
      <c r="F68" s="6"/>
      <c r="G68" s="6"/>
      <c r="H68" s="6"/>
      <c r="I68" s="6"/>
      <c r="J68" s="6"/>
      <c r="K68" s="6"/>
      <c r="L68" s="6"/>
      <c r="M68" s="6"/>
      <c r="N68" s="6"/>
      <c r="O68" s="6"/>
    </row>
    <row r="69" spans="1:16" ht="15" customHeight="1">
      <c r="A69" s="258" t="s">
        <v>348</v>
      </c>
      <c r="B69" s="378" t="s">
        <v>349</v>
      </c>
      <c r="C69" s="378"/>
      <c r="D69" s="378"/>
      <c r="E69" s="378"/>
      <c r="F69" s="378"/>
      <c r="G69" s="378"/>
      <c r="H69" s="378"/>
      <c r="I69" s="378"/>
      <c r="J69" s="378"/>
      <c r="K69" s="378"/>
      <c r="L69" s="378"/>
      <c r="M69" s="378"/>
      <c r="N69" s="378"/>
      <c r="O69" s="378"/>
      <c r="P69" s="378"/>
    </row>
    <row r="70" spans="1:16">
      <c r="B70" s="378"/>
      <c r="C70" s="378"/>
      <c r="D70" s="378"/>
      <c r="E70" s="378"/>
      <c r="F70" s="378"/>
      <c r="G70" s="378"/>
      <c r="H70" s="378"/>
      <c r="I70" s="378"/>
      <c r="J70" s="378"/>
      <c r="K70" s="378"/>
      <c r="L70" s="378"/>
      <c r="M70" s="378"/>
      <c r="N70" s="378"/>
      <c r="O70" s="378"/>
      <c r="P70" s="378"/>
    </row>
    <row r="71" spans="1:16">
      <c r="A71" s="258"/>
      <c r="B71" s="259"/>
      <c r="C71" s="259"/>
      <c r="D71" s="259"/>
      <c r="E71" s="259"/>
      <c r="F71" s="259"/>
      <c r="G71" s="259"/>
      <c r="H71" s="259"/>
      <c r="I71" s="259"/>
      <c r="J71" s="259"/>
      <c r="K71" s="259"/>
      <c r="L71" s="259"/>
      <c r="M71" s="259"/>
      <c r="N71" s="259"/>
      <c r="O71" s="259"/>
    </row>
    <row r="72" spans="1:16" ht="15" customHeight="1">
      <c r="A72" s="258" t="s">
        <v>350</v>
      </c>
      <c r="B72" s="283" t="s">
        <v>351</v>
      </c>
      <c r="C72" s="283"/>
      <c r="D72" s="283"/>
      <c r="E72" s="283"/>
      <c r="F72" s="283"/>
      <c r="G72" s="283"/>
      <c r="H72" s="283"/>
      <c r="I72" s="283"/>
      <c r="J72" s="283"/>
      <c r="K72" s="283"/>
      <c r="L72" s="283"/>
      <c r="M72" s="283"/>
      <c r="N72" s="283"/>
      <c r="O72" s="283"/>
      <c r="P72" s="283"/>
    </row>
    <row r="73" spans="1:16">
      <c r="A73" s="258"/>
      <c r="B73" s="283"/>
      <c r="C73" s="283"/>
      <c r="D73" s="283"/>
      <c r="E73" s="283"/>
      <c r="F73" s="283"/>
      <c r="G73" s="283"/>
      <c r="H73" s="283"/>
      <c r="I73" s="283"/>
      <c r="J73" s="283"/>
      <c r="K73" s="283"/>
      <c r="L73" s="283"/>
      <c r="M73" s="283"/>
      <c r="N73" s="283"/>
      <c r="O73" s="283"/>
      <c r="P73" s="283"/>
    </row>
    <row r="74" spans="1:16">
      <c r="A74" s="258"/>
      <c r="B74" s="283"/>
      <c r="C74" s="283"/>
      <c r="D74" s="283"/>
      <c r="E74" s="283"/>
      <c r="F74" s="283"/>
      <c r="G74" s="283"/>
      <c r="H74" s="283"/>
      <c r="I74" s="283"/>
      <c r="J74" s="283"/>
      <c r="K74" s="283"/>
      <c r="L74" s="283"/>
      <c r="M74" s="283"/>
      <c r="N74" s="283"/>
      <c r="O74" s="283"/>
      <c r="P74" s="283"/>
    </row>
    <row r="75" spans="1:16">
      <c r="A75" s="258"/>
      <c r="B75" s="260"/>
      <c r="C75" s="260"/>
      <c r="D75" s="260"/>
      <c r="E75" s="260"/>
      <c r="F75" s="260"/>
      <c r="G75" s="260"/>
      <c r="H75" s="260"/>
      <c r="I75" s="260"/>
      <c r="J75" s="260"/>
      <c r="K75" s="260"/>
      <c r="L75" s="260"/>
      <c r="M75" s="260"/>
      <c r="N75" s="260"/>
      <c r="O75" s="260"/>
      <c r="P75" s="260"/>
    </row>
    <row r="76" spans="1:16" ht="15" customHeight="1">
      <c r="A76" s="258" t="s">
        <v>352</v>
      </c>
      <c r="B76" s="283" t="s">
        <v>353</v>
      </c>
      <c r="C76" s="283"/>
      <c r="D76" s="283"/>
      <c r="E76" s="283"/>
      <c r="F76" s="283"/>
      <c r="G76" s="283"/>
      <c r="H76" s="283"/>
      <c r="I76" s="283"/>
      <c r="J76" s="283"/>
      <c r="K76" s="283"/>
      <c r="L76" s="283"/>
      <c r="M76" s="283"/>
      <c r="N76" s="283"/>
      <c r="O76" s="283"/>
      <c r="P76" s="283"/>
    </row>
    <row r="77" spans="1:16">
      <c r="A77" s="258"/>
      <c r="B77" s="283"/>
      <c r="C77" s="283"/>
      <c r="D77" s="283"/>
      <c r="E77" s="283"/>
      <c r="F77" s="283"/>
      <c r="G77" s="283"/>
      <c r="H77" s="283"/>
      <c r="I77" s="283"/>
      <c r="J77" s="283"/>
      <c r="K77" s="283"/>
      <c r="L77" s="283"/>
      <c r="M77" s="283"/>
      <c r="N77" s="283"/>
      <c r="O77" s="283"/>
      <c r="P77" s="283"/>
    </row>
    <row r="78" spans="1:16">
      <c r="A78" s="258"/>
      <c r="B78" s="283"/>
      <c r="C78" s="283"/>
      <c r="D78" s="283"/>
      <c r="E78" s="283"/>
      <c r="F78" s="283"/>
      <c r="G78" s="283"/>
      <c r="H78" s="283"/>
      <c r="I78" s="283"/>
      <c r="J78" s="283"/>
      <c r="K78" s="283"/>
      <c r="L78" s="283"/>
      <c r="M78" s="283"/>
      <c r="N78" s="283"/>
      <c r="O78" s="283"/>
      <c r="P78" s="283"/>
    </row>
    <row r="79" spans="1:16">
      <c r="A79" s="258"/>
      <c r="B79" s="6"/>
      <c r="C79" s="6"/>
      <c r="D79" s="6"/>
      <c r="E79" s="6"/>
      <c r="F79" s="6"/>
      <c r="G79" s="6"/>
      <c r="H79" s="6"/>
      <c r="I79" s="6"/>
      <c r="J79" s="6"/>
      <c r="K79" s="6"/>
      <c r="L79" s="6"/>
      <c r="M79" s="6"/>
      <c r="N79" s="6"/>
      <c r="O79" s="6"/>
    </row>
    <row r="80" spans="1:16" ht="15" customHeight="1">
      <c r="A80" s="258" t="s">
        <v>354</v>
      </c>
      <c r="B80" s="283" t="s">
        <v>355</v>
      </c>
      <c r="C80" s="283"/>
      <c r="D80" s="283"/>
      <c r="E80" s="283"/>
      <c r="F80" s="283"/>
      <c r="G80" s="283"/>
      <c r="H80" s="283"/>
      <c r="I80" s="283"/>
      <c r="J80" s="283"/>
      <c r="K80" s="283"/>
      <c r="L80" s="283"/>
      <c r="M80" s="283"/>
      <c r="N80" s="283"/>
      <c r="O80" s="283"/>
      <c r="P80" s="283"/>
    </row>
    <row r="81" spans="1:16">
      <c r="A81" s="258"/>
      <c r="B81" s="283"/>
      <c r="C81" s="283"/>
      <c r="D81" s="283"/>
      <c r="E81" s="283"/>
      <c r="F81" s="283"/>
      <c r="G81" s="283"/>
      <c r="H81" s="283"/>
      <c r="I81" s="283"/>
      <c r="J81" s="283"/>
      <c r="K81" s="283"/>
      <c r="L81" s="283"/>
      <c r="M81" s="283"/>
      <c r="N81" s="283"/>
      <c r="O81" s="283"/>
      <c r="P81" s="283"/>
    </row>
    <row r="82" spans="1:16">
      <c r="A82" s="258"/>
      <c r="B82" s="283"/>
      <c r="C82" s="283"/>
      <c r="D82" s="283"/>
      <c r="E82" s="283"/>
      <c r="F82" s="283"/>
      <c r="G82" s="283"/>
      <c r="H82" s="283"/>
      <c r="I82" s="283"/>
      <c r="J82" s="283"/>
      <c r="K82" s="283"/>
      <c r="L82" s="283"/>
      <c r="M82" s="283"/>
      <c r="N82" s="283"/>
      <c r="O82" s="283"/>
      <c r="P82" s="283"/>
    </row>
    <row r="83" spans="1:16">
      <c r="A83" s="258"/>
    </row>
    <row r="84" spans="1:16" ht="15" customHeight="1">
      <c r="A84" s="258" t="s">
        <v>356</v>
      </c>
      <c r="B84" s="283" t="s">
        <v>357</v>
      </c>
      <c r="C84" s="283"/>
      <c r="D84" s="283"/>
      <c r="E84" s="283"/>
      <c r="F84" s="283"/>
      <c r="G84" s="283"/>
      <c r="H84" s="283"/>
      <c r="I84" s="283"/>
      <c r="J84" s="283"/>
      <c r="K84" s="283"/>
      <c r="L84" s="283"/>
      <c r="M84" s="283"/>
      <c r="N84" s="283"/>
      <c r="O84" s="283"/>
      <c r="P84" s="283"/>
    </row>
    <row r="85" spans="1:16">
      <c r="A85" s="258"/>
      <c r="B85" s="283"/>
      <c r="C85" s="283"/>
      <c r="D85" s="283"/>
      <c r="E85" s="283"/>
      <c r="F85" s="283"/>
      <c r="G85" s="283"/>
      <c r="H85" s="283"/>
      <c r="I85" s="283"/>
      <c r="J85" s="283"/>
      <c r="K85" s="283"/>
      <c r="L85" s="283"/>
      <c r="M85" s="283"/>
      <c r="N85" s="283"/>
      <c r="O85" s="283"/>
      <c r="P85" s="283"/>
    </row>
    <row r="86" spans="1:16">
      <c r="A86" s="258"/>
    </row>
    <row r="87" spans="1:16" ht="15" customHeight="1">
      <c r="A87" s="258" t="s">
        <v>358</v>
      </c>
      <c r="B87" s="283" t="s">
        <v>359</v>
      </c>
      <c r="C87" s="283"/>
      <c r="D87" s="283"/>
      <c r="E87" s="283"/>
      <c r="F87" s="283"/>
      <c r="G87" s="283"/>
      <c r="H87" s="283"/>
      <c r="I87" s="283"/>
      <c r="J87" s="283"/>
      <c r="K87" s="283"/>
      <c r="L87" s="283"/>
      <c r="M87" s="283"/>
      <c r="N87" s="283"/>
      <c r="O87" s="283"/>
      <c r="P87" s="283"/>
    </row>
    <row r="88" spans="1:16">
      <c r="A88" s="258"/>
      <c r="B88" s="283"/>
      <c r="C88" s="283"/>
      <c r="D88" s="283"/>
      <c r="E88" s="283"/>
      <c r="F88" s="283"/>
      <c r="G88" s="283"/>
      <c r="H88" s="283"/>
      <c r="I88" s="283"/>
      <c r="J88" s="283"/>
      <c r="K88" s="283"/>
      <c r="L88" s="283"/>
      <c r="M88" s="283"/>
      <c r="N88" s="283"/>
      <c r="O88" s="283"/>
      <c r="P88" s="283"/>
    </row>
    <row r="89" spans="1:16">
      <c r="A89" s="258"/>
      <c r="B89" s="283"/>
      <c r="C89" s="283"/>
      <c r="D89" s="283"/>
      <c r="E89" s="283"/>
      <c r="F89" s="283"/>
      <c r="G89" s="283"/>
      <c r="H89" s="283"/>
      <c r="I89" s="283"/>
      <c r="J89" s="283"/>
      <c r="K89" s="283"/>
      <c r="L89" s="283"/>
      <c r="M89" s="283"/>
      <c r="N89" s="283"/>
      <c r="O89" s="283"/>
      <c r="P89" s="283"/>
    </row>
    <row r="90" spans="1:16">
      <c r="A90" s="258"/>
      <c r="B90" s="283"/>
      <c r="C90" s="283"/>
      <c r="D90" s="283"/>
      <c r="E90" s="283"/>
      <c r="F90" s="283"/>
      <c r="G90" s="283"/>
      <c r="H90" s="283"/>
      <c r="I90" s="283"/>
      <c r="J90" s="283"/>
      <c r="K90" s="283"/>
      <c r="L90" s="283"/>
      <c r="M90" s="283"/>
      <c r="N90" s="283"/>
      <c r="O90" s="283"/>
      <c r="P90" s="283"/>
    </row>
    <row r="91" spans="1:16">
      <c r="A91" s="258"/>
      <c r="B91" s="283"/>
      <c r="C91" s="283"/>
      <c r="D91" s="283"/>
      <c r="E91" s="283"/>
      <c r="F91" s="283"/>
      <c r="G91" s="283"/>
      <c r="H91" s="283"/>
      <c r="I91" s="283"/>
      <c r="J91" s="283"/>
      <c r="K91" s="283"/>
      <c r="L91" s="283"/>
      <c r="M91" s="283"/>
      <c r="N91" s="283"/>
      <c r="O91" s="283"/>
      <c r="P91" s="283"/>
    </row>
    <row r="92" spans="1:16">
      <c r="A92" s="258"/>
      <c r="B92" s="260"/>
      <c r="C92" s="260"/>
      <c r="D92" s="260"/>
      <c r="E92" s="260"/>
      <c r="F92" s="260"/>
      <c r="G92" s="260"/>
      <c r="H92" s="260"/>
      <c r="I92" s="260"/>
      <c r="J92" s="260"/>
      <c r="K92" s="260"/>
      <c r="L92" s="260"/>
      <c r="M92" s="260"/>
      <c r="N92" s="260"/>
      <c r="O92" s="260"/>
      <c r="P92" s="260"/>
    </row>
    <row r="93" spans="1:16" ht="15" customHeight="1">
      <c r="A93" s="258"/>
      <c r="B93" s="346" t="s">
        <v>338</v>
      </c>
      <c r="C93" s="346"/>
      <c r="D93" s="346"/>
      <c r="E93" s="346"/>
      <c r="F93" s="346"/>
      <c r="G93" s="346"/>
      <c r="H93" s="346"/>
      <c r="I93" s="346"/>
      <c r="J93" s="346"/>
      <c r="K93" s="346" t="s">
        <v>339</v>
      </c>
      <c r="L93" s="346"/>
      <c r="M93" s="346"/>
      <c r="N93" s="346"/>
      <c r="O93" s="346"/>
    </row>
    <row r="94" spans="1:16">
      <c r="A94" s="258"/>
      <c r="B94" s="374" t="str">
        <f>H21</f>
        <v>ALİ KÜRŞAT EROL</v>
      </c>
      <c r="C94" s="374"/>
      <c r="D94" s="374"/>
      <c r="E94" s="374"/>
      <c r="F94" s="374"/>
      <c r="G94" s="374"/>
      <c r="H94" s="374"/>
      <c r="I94" s="261"/>
      <c r="J94" s="375" t="str">
        <f>J45</f>
        <v>Aygen Mekatronik San.Ve Tic.Ltd.Şti</v>
      </c>
      <c r="K94" s="375"/>
      <c r="L94" s="375"/>
      <c r="M94" s="375"/>
      <c r="N94" s="375"/>
      <c r="O94" s="375"/>
      <c r="P94" s="375"/>
    </row>
    <row r="95" spans="1:16">
      <c r="A95" s="258"/>
      <c r="K95" s="349" t="str">
        <f>H31</f>
        <v>Koray Aygen</v>
      </c>
      <c r="L95" s="349"/>
      <c r="M95" s="349"/>
      <c r="N95" s="349"/>
      <c r="O95" s="349"/>
    </row>
    <row r="96" spans="1:16" ht="17.25">
      <c r="A96" s="346"/>
      <c r="B96" s="346"/>
      <c r="C96" s="346"/>
      <c r="D96" s="346"/>
      <c r="E96" s="346"/>
      <c r="F96" s="346"/>
      <c r="G96" s="346"/>
      <c r="H96" s="346"/>
    </row>
    <row r="97" spans="1:16">
      <c r="A97" s="262"/>
      <c r="B97" s="262"/>
      <c r="C97" s="262"/>
      <c r="D97" s="262"/>
      <c r="E97" s="262"/>
      <c r="F97" s="262"/>
      <c r="G97" s="262"/>
      <c r="H97" s="262"/>
    </row>
    <row r="98" spans="1:16">
      <c r="A98" s="349"/>
      <c r="B98" s="349"/>
      <c r="C98" s="349"/>
      <c r="D98" s="349"/>
      <c r="E98" s="349"/>
      <c r="F98" s="349"/>
      <c r="G98" s="349"/>
      <c r="H98" s="349"/>
    </row>
    <row r="99" spans="1:16">
      <c r="A99" s="256"/>
      <c r="B99" s="256"/>
      <c r="C99" s="256"/>
      <c r="D99" s="256"/>
      <c r="E99" s="256"/>
      <c r="F99" s="256"/>
      <c r="G99" s="256"/>
      <c r="H99" s="256"/>
    </row>
    <row r="100" spans="1:16">
      <c r="A100" s="256"/>
      <c r="B100" s="256"/>
      <c r="C100" s="256"/>
      <c r="D100" s="256"/>
      <c r="E100" s="256"/>
      <c r="F100" s="256"/>
      <c r="G100" s="256"/>
      <c r="H100" s="256"/>
    </row>
    <row r="101" spans="1:16">
      <c r="A101" s="256"/>
      <c r="B101" s="256"/>
      <c r="C101" s="256"/>
      <c r="D101" s="256"/>
      <c r="E101" s="256"/>
      <c r="F101" s="256"/>
      <c r="G101" s="256"/>
      <c r="H101" s="256"/>
    </row>
    <row r="102" spans="1:16">
      <c r="A102" s="256"/>
      <c r="B102" s="256"/>
      <c r="C102" s="256"/>
      <c r="D102" s="256"/>
      <c r="E102" s="256"/>
      <c r="F102" s="256"/>
      <c r="G102" s="256"/>
      <c r="H102" s="256"/>
    </row>
    <row r="103" spans="1:16">
      <c r="P103" s="255" t="s">
        <v>360</v>
      </c>
    </row>
    <row r="105" spans="1:16">
      <c r="N105" s="256"/>
      <c r="O105" s="257"/>
    </row>
    <row r="108" spans="1:16" ht="5.0999999999999996" customHeight="1"/>
    <row r="109" spans="1:16" ht="15" customHeight="1">
      <c r="A109" s="258" t="s">
        <v>361</v>
      </c>
      <c r="B109" s="283" t="s">
        <v>362</v>
      </c>
      <c r="C109" s="283"/>
      <c r="D109" s="283"/>
      <c r="E109" s="283"/>
      <c r="F109" s="283"/>
      <c r="G109" s="283"/>
      <c r="H109" s="283"/>
      <c r="I109" s="283"/>
      <c r="J109" s="283"/>
      <c r="K109" s="283"/>
      <c r="L109" s="283"/>
      <c r="M109" s="283"/>
      <c r="N109" s="283"/>
      <c r="O109" s="283"/>
      <c r="P109" s="283"/>
    </row>
    <row r="110" spans="1:16">
      <c r="A110" s="258"/>
    </row>
    <row r="111" spans="1:16" ht="15" customHeight="1">
      <c r="A111" s="258" t="s">
        <v>363</v>
      </c>
      <c r="B111" s="283" t="s">
        <v>364</v>
      </c>
      <c r="C111" s="283"/>
      <c r="D111" s="283"/>
      <c r="E111" s="283"/>
      <c r="F111" s="283"/>
      <c r="G111" s="283"/>
      <c r="H111" s="283"/>
      <c r="I111" s="283"/>
      <c r="J111" s="283"/>
      <c r="K111" s="283"/>
      <c r="L111" s="283"/>
      <c r="M111" s="283"/>
      <c r="N111" s="283"/>
      <c r="O111" s="283"/>
      <c r="P111" s="283"/>
    </row>
    <row r="112" spans="1:16">
      <c r="A112" s="258"/>
      <c r="B112" s="283"/>
      <c r="C112" s="283"/>
      <c r="D112" s="283"/>
      <c r="E112" s="283"/>
      <c r="F112" s="283"/>
      <c r="G112" s="283"/>
      <c r="H112" s="283"/>
      <c r="I112" s="283"/>
      <c r="J112" s="283"/>
      <c r="K112" s="283"/>
      <c r="L112" s="283"/>
      <c r="M112" s="283"/>
      <c r="N112" s="283"/>
      <c r="O112" s="283"/>
      <c r="P112" s="283"/>
    </row>
    <row r="113" spans="1:16">
      <c r="A113" s="258"/>
      <c r="B113" s="283"/>
      <c r="C113" s="283"/>
      <c r="D113" s="283"/>
      <c r="E113" s="283"/>
      <c r="F113" s="283"/>
      <c r="G113" s="283"/>
      <c r="H113" s="283"/>
      <c r="I113" s="283"/>
      <c r="J113" s="283"/>
      <c r="K113" s="283"/>
      <c r="L113" s="283"/>
      <c r="M113" s="283"/>
      <c r="N113" s="283"/>
      <c r="O113" s="283"/>
      <c r="P113" s="283"/>
    </row>
    <row r="114" spans="1:16">
      <c r="A114" s="258"/>
      <c r="B114" s="283"/>
      <c r="C114" s="283"/>
      <c r="D114" s="283"/>
      <c r="E114" s="283"/>
      <c r="F114" s="283"/>
      <c r="G114" s="283"/>
      <c r="H114" s="283"/>
      <c r="I114" s="283"/>
      <c r="J114" s="283"/>
      <c r="K114" s="283"/>
      <c r="L114" s="283"/>
      <c r="M114" s="283"/>
      <c r="N114" s="283"/>
      <c r="O114" s="283"/>
      <c r="P114" s="283"/>
    </row>
    <row r="115" spans="1:16">
      <c r="A115" s="258"/>
      <c r="B115" s="283"/>
      <c r="C115" s="283"/>
      <c r="D115" s="283"/>
      <c r="E115" s="283"/>
      <c r="F115" s="283"/>
      <c r="G115" s="283"/>
      <c r="H115" s="283"/>
      <c r="I115" s="283"/>
      <c r="J115" s="283"/>
      <c r="K115" s="283"/>
      <c r="L115" s="283"/>
      <c r="M115" s="283"/>
      <c r="N115" s="283"/>
      <c r="O115" s="283"/>
      <c r="P115" s="283"/>
    </row>
    <row r="116" spans="1:16">
      <c r="A116" s="258"/>
      <c r="B116" s="260"/>
      <c r="C116" s="260"/>
      <c r="D116" s="260"/>
      <c r="E116" s="260"/>
      <c r="F116" s="260"/>
      <c r="G116" s="260"/>
      <c r="H116" s="260"/>
      <c r="I116" s="260"/>
      <c r="J116" s="260"/>
      <c r="K116" s="260"/>
      <c r="L116" s="260"/>
      <c r="M116" s="260"/>
      <c r="N116" s="260"/>
      <c r="O116" s="260"/>
    </row>
    <row r="117" spans="1:16" ht="15" customHeight="1">
      <c r="A117" s="258" t="s">
        <v>365</v>
      </c>
      <c r="B117" s="283" t="s">
        <v>366</v>
      </c>
      <c r="C117" s="283"/>
      <c r="D117" s="283"/>
      <c r="E117" s="283"/>
      <c r="F117" s="283"/>
      <c r="G117" s="283"/>
      <c r="H117" s="283"/>
      <c r="I117" s="283"/>
      <c r="J117" s="283"/>
      <c r="K117" s="283"/>
      <c r="L117" s="283"/>
      <c r="M117" s="283"/>
      <c r="N117" s="283"/>
      <c r="O117" s="283"/>
      <c r="P117" s="283"/>
    </row>
    <row r="118" spans="1:16">
      <c r="A118" s="258"/>
      <c r="B118" s="283"/>
      <c r="C118" s="283"/>
      <c r="D118" s="283"/>
      <c r="E118" s="283"/>
      <c r="F118" s="283"/>
      <c r="G118" s="283"/>
      <c r="H118" s="283"/>
      <c r="I118" s="283"/>
      <c r="J118" s="283"/>
      <c r="K118" s="283"/>
      <c r="L118" s="283"/>
      <c r="M118" s="283"/>
      <c r="N118" s="283"/>
      <c r="O118" s="283"/>
      <c r="P118" s="283"/>
    </row>
    <row r="119" spans="1:16">
      <c r="A119" s="258"/>
      <c r="B119" s="283"/>
      <c r="C119" s="283"/>
      <c r="D119" s="283"/>
      <c r="E119" s="283"/>
      <c r="F119" s="283"/>
      <c r="G119" s="283"/>
      <c r="H119" s="283"/>
      <c r="I119" s="283"/>
      <c r="J119" s="283"/>
      <c r="K119" s="283"/>
      <c r="L119" s="283"/>
      <c r="M119" s="283"/>
      <c r="N119" s="283"/>
      <c r="O119" s="283"/>
      <c r="P119" s="283"/>
    </row>
    <row r="120" spans="1:16">
      <c r="A120" s="258"/>
      <c r="B120" s="283"/>
      <c r="C120" s="283"/>
      <c r="D120" s="283"/>
      <c r="E120" s="283"/>
      <c r="F120" s="283"/>
      <c r="G120" s="283"/>
      <c r="H120" s="283"/>
      <c r="I120" s="283"/>
      <c r="J120" s="283"/>
      <c r="K120" s="283"/>
      <c r="L120" s="283"/>
      <c r="M120" s="283"/>
      <c r="N120" s="283"/>
      <c r="O120" s="283"/>
      <c r="P120" s="283"/>
    </row>
    <row r="121" spans="1:16">
      <c r="A121" s="258"/>
      <c r="B121" s="283"/>
      <c r="C121" s="283"/>
      <c r="D121" s="283"/>
      <c r="E121" s="283"/>
      <c r="F121" s="283"/>
      <c r="G121" s="283"/>
      <c r="H121" s="283"/>
      <c r="I121" s="283"/>
      <c r="J121" s="283"/>
      <c r="K121" s="283"/>
      <c r="L121" s="283"/>
      <c r="M121" s="283"/>
      <c r="N121" s="283"/>
      <c r="O121" s="283"/>
      <c r="P121" s="283"/>
    </row>
    <row r="122" spans="1:16">
      <c r="A122" s="258"/>
      <c r="B122" s="260"/>
      <c r="C122" s="260"/>
      <c r="D122" s="260"/>
      <c r="E122" s="260"/>
      <c r="F122" s="260"/>
      <c r="G122" s="260"/>
      <c r="H122" s="260"/>
      <c r="I122" s="260"/>
      <c r="J122" s="260"/>
      <c r="K122" s="260"/>
      <c r="L122" s="260"/>
      <c r="M122" s="260"/>
      <c r="N122" s="260"/>
      <c r="O122" s="260"/>
    </row>
    <row r="123" spans="1:16" ht="15" customHeight="1">
      <c r="A123" s="258" t="s">
        <v>367</v>
      </c>
      <c r="B123" s="283" t="s">
        <v>368</v>
      </c>
      <c r="C123" s="283"/>
      <c r="D123" s="283"/>
      <c r="E123" s="283"/>
      <c r="F123" s="283"/>
      <c r="G123" s="283"/>
      <c r="H123" s="283"/>
      <c r="I123" s="283"/>
      <c r="J123" s="283"/>
      <c r="K123" s="283"/>
      <c r="L123" s="283"/>
      <c r="M123" s="283"/>
      <c r="N123" s="283"/>
      <c r="O123" s="283"/>
      <c r="P123" s="283"/>
    </row>
    <row r="124" spans="1:16">
      <c r="A124" s="258"/>
      <c r="B124" s="283"/>
      <c r="C124" s="283"/>
      <c r="D124" s="283"/>
      <c r="E124" s="283"/>
      <c r="F124" s="283"/>
      <c r="G124" s="283"/>
      <c r="H124" s="283"/>
      <c r="I124" s="283"/>
      <c r="J124" s="283"/>
      <c r="K124" s="283"/>
      <c r="L124" s="283"/>
      <c r="M124" s="283"/>
      <c r="N124" s="283"/>
      <c r="O124" s="283"/>
      <c r="P124" s="283"/>
    </row>
    <row r="125" spans="1:16">
      <c r="A125" s="258"/>
    </row>
    <row r="126" spans="1:16" ht="15" customHeight="1">
      <c r="A126" s="258" t="s">
        <v>369</v>
      </c>
      <c r="B126" s="283" t="s">
        <v>370</v>
      </c>
      <c r="C126" s="283"/>
      <c r="D126" s="283"/>
      <c r="E126" s="283"/>
      <c r="F126" s="283"/>
      <c r="G126" s="283"/>
      <c r="H126" s="283"/>
      <c r="I126" s="283"/>
      <c r="J126" s="283"/>
      <c r="K126" s="283"/>
      <c r="L126" s="283"/>
      <c r="M126" s="283"/>
      <c r="N126" s="283"/>
      <c r="O126" s="283"/>
      <c r="P126" s="283"/>
    </row>
    <row r="127" spans="1:16">
      <c r="A127" s="258"/>
      <c r="B127" s="283"/>
      <c r="C127" s="283"/>
      <c r="D127" s="283"/>
      <c r="E127" s="283"/>
      <c r="F127" s="283"/>
      <c r="G127" s="283"/>
      <c r="H127" s="283"/>
      <c r="I127" s="283"/>
      <c r="J127" s="283"/>
      <c r="K127" s="283"/>
      <c r="L127" s="283"/>
      <c r="M127" s="283"/>
      <c r="N127" s="283"/>
      <c r="O127" s="283"/>
      <c r="P127" s="283"/>
    </row>
    <row r="128" spans="1:16">
      <c r="A128" s="258"/>
    </row>
    <row r="129" spans="1:16" ht="15" customHeight="1">
      <c r="A129" s="258" t="s">
        <v>371</v>
      </c>
      <c r="B129" s="283" t="s">
        <v>372</v>
      </c>
      <c r="C129" s="283"/>
      <c r="D129" s="283"/>
      <c r="E129" s="283"/>
      <c r="F129" s="283"/>
      <c r="G129" s="283"/>
      <c r="H129" s="283"/>
      <c r="I129" s="283"/>
      <c r="J129" s="283"/>
      <c r="K129" s="283"/>
      <c r="L129" s="283"/>
      <c r="M129" s="283"/>
      <c r="N129" s="283"/>
      <c r="O129" s="283"/>
      <c r="P129" s="283"/>
    </row>
    <row r="130" spans="1:16">
      <c r="A130" s="258"/>
      <c r="B130" s="283"/>
      <c r="C130" s="283"/>
      <c r="D130" s="283"/>
      <c r="E130" s="283"/>
      <c r="F130" s="283"/>
      <c r="G130" s="283"/>
      <c r="H130" s="283"/>
      <c r="I130" s="283"/>
      <c r="J130" s="283"/>
      <c r="K130" s="283"/>
      <c r="L130" s="283"/>
      <c r="M130" s="283"/>
      <c r="N130" s="283"/>
      <c r="O130" s="283"/>
      <c r="P130" s="283"/>
    </row>
    <row r="131" spans="1:16">
      <c r="A131" s="258"/>
    </row>
    <row r="132" spans="1:16" ht="15" customHeight="1">
      <c r="A132" s="258" t="s">
        <v>373</v>
      </c>
      <c r="B132" s="283" t="s">
        <v>374</v>
      </c>
      <c r="C132" s="283"/>
      <c r="D132" s="283"/>
      <c r="E132" s="283"/>
      <c r="F132" s="283"/>
      <c r="G132" s="283"/>
      <c r="H132" s="283"/>
      <c r="I132" s="283"/>
      <c r="J132" s="283"/>
      <c r="K132" s="283"/>
      <c r="L132" s="283"/>
      <c r="M132" s="283"/>
      <c r="N132" s="283"/>
      <c r="O132" s="283"/>
      <c r="P132" s="283"/>
    </row>
    <row r="133" spans="1:16">
      <c r="A133" s="258"/>
      <c r="B133" s="283"/>
      <c r="C133" s="283"/>
      <c r="D133" s="283"/>
      <c r="E133" s="283"/>
      <c r="F133" s="283"/>
      <c r="G133" s="283"/>
      <c r="H133" s="283"/>
      <c r="I133" s="283"/>
      <c r="J133" s="283"/>
      <c r="K133" s="283"/>
      <c r="L133" s="283"/>
      <c r="M133" s="283"/>
      <c r="N133" s="283"/>
      <c r="O133" s="283"/>
      <c r="P133" s="283"/>
    </row>
    <row r="134" spans="1:16">
      <c r="A134" s="258"/>
    </row>
    <row r="135" spans="1:16" ht="15" customHeight="1">
      <c r="A135" s="258" t="s">
        <v>375</v>
      </c>
      <c r="B135" s="283" t="s">
        <v>376</v>
      </c>
      <c r="C135" s="283"/>
      <c r="D135" s="283"/>
      <c r="E135" s="283"/>
      <c r="F135" s="283"/>
      <c r="G135" s="283"/>
      <c r="H135" s="283"/>
      <c r="I135" s="283"/>
      <c r="J135" s="283"/>
      <c r="K135" s="283"/>
      <c r="L135" s="283"/>
      <c r="M135" s="283"/>
      <c r="N135" s="283"/>
      <c r="O135" s="283"/>
      <c r="P135" s="283"/>
    </row>
    <row r="136" spans="1:16">
      <c r="A136" s="258"/>
      <c r="B136" s="283"/>
      <c r="C136" s="283"/>
      <c r="D136" s="283"/>
      <c r="E136" s="283"/>
      <c r="F136" s="283"/>
      <c r="G136" s="283"/>
      <c r="H136" s="283"/>
      <c r="I136" s="283"/>
      <c r="J136" s="283"/>
      <c r="K136" s="283"/>
      <c r="L136" s="283"/>
      <c r="M136" s="283"/>
      <c r="N136" s="283"/>
      <c r="O136" s="283"/>
      <c r="P136" s="283"/>
    </row>
    <row r="137" spans="1:16">
      <c r="A137" s="258"/>
      <c r="B137" s="6"/>
      <c r="C137" s="6"/>
      <c r="D137" s="6"/>
      <c r="E137" s="6"/>
      <c r="F137" s="6"/>
      <c r="G137" s="6"/>
      <c r="H137" s="6"/>
      <c r="I137" s="6"/>
      <c r="J137" s="6"/>
      <c r="K137" s="6"/>
      <c r="L137" s="6"/>
      <c r="M137" s="6"/>
      <c r="N137" s="6"/>
      <c r="O137" s="6"/>
    </row>
    <row r="138" spans="1:16" ht="15" customHeight="1">
      <c r="A138" s="258" t="s">
        <v>377</v>
      </c>
      <c r="B138" s="373" t="s">
        <v>378</v>
      </c>
      <c r="C138" s="373"/>
      <c r="D138" s="373"/>
      <c r="E138" s="373"/>
      <c r="F138" s="373"/>
      <c r="G138" s="373"/>
      <c r="H138" s="373"/>
      <c r="I138" s="373"/>
      <c r="J138" s="373"/>
      <c r="K138" s="373"/>
      <c r="L138" s="373"/>
      <c r="M138" s="373"/>
      <c r="N138" s="373"/>
      <c r="O138" s="373"/>
      <c r="P138" s="373"/>
    </row>
    <row r="139" spans="1:16">
      <c r="A139" s="258"/>
      <c r="B139" s="373"/>
      <c r="C139" s="373"/>
      <c r="D139" s="373"/>
      <c r="E139" s="373"/>
      <c r="F139" s="373"/>
      <c r="G139" s="373"/>
      <c r="H139" s="373"/>
      <c r="I139" s="373"/>
      <c r="J139" s="373"/>
      <c r="K139" s="373"/>
      <c r="L139" s="373"/>
      <c r="M139" s="373"/>
      <c r="N139" s="373"/>
      <c r="O139" s="373"/>
      <c r="P139" s="373"/>
    </row>
    <row r="140" spans="1:16">
      <c r="A140" s="258"/>
      <c r="B140" s="6"/>
      <c r="C140" s="6"/>
      <c r="D140" s="6"/>
      <c r="E140" s="6"/>
      <c r="F140" s="6"/>
      <c r="G140" s="6"/>
      <c r="H140" s="6"/>
      <c r="I140" s="6"/>
      <c r="J140" s="6"/>
      <c r="K140" s="6"/>
      <c r="L140" s="6"/>
      <c r="M140" s="6"/>
      <c r="N140" s="6"/>
      <c r="O140" s="6"/>
      <c r="P140" s="6"/>
    </row>
    <row r="141" spans="1:16">
      <c r="A141" s="258"/>
      <c r="B141" s="242"/>
      <c r="C141" s="242"/>
      <c r="D141" s="242"/>
      <c r="E141" s="242"/>
      <c r="F141" s="242"/>
      <c r="G141" s="242"/>
      <c r="H141" s="242"/>
      <c r="I141" s="242"/>
      <c r="J141" s="242"/>
      <c r="K141" s="242"/>
      <c r="L141" s="242"/>
      <c r="M141" s="242"/>
      <c r="N141" s="242"/>
      <c r="O141" s="242"/>
      <c r="P141" s="242"/>
    </row>
    <row r="142" spans="1:16">
      <c r="A142" s="110"/>
      <c r="B142" s="110"/>
      <c r="C142" s="110"/>
      <c r="D142" s="110"/>
      <c r="E142" s="110"/>
      <c r="F142" s="110"/>
      <c r="G142" s="110"/>
      <c r="H142" s="110"/>
      <c r="I142" s="110"/>
      <c r="J142" s="110"/>
      <c r="K142" s="110"/>
      <c r="L142" s="110"/>
      <c r="M142" s="110"/>
      <c r="N142" s="110"/>
      <c r="O142" s="110"/>
    </row>
    <row r="143" spans="1:16">
      <c r="A143" s="258"/>
    </row>
    <row r="144" spans="1:16" ht="17.25">
      <c r="A144" s="263"/>
      <c r="B144" s="346" t="s">
        <v>338</v>
      </c>
      <c r="C144" s="346"/>
      <c r="D144" s="346"/>
      <c r="E144" s="346"/>
      <c r="F144" s="346"/>
      <c r="G144" s="346"/>
      <c r="H144" s="346"/>
      <c r="I144" s="346"/>
      <c r="J144" s="346"/>
      <c r="K144" s="346" t="s">
        <v>339</v>
      </c>
      <c r="L144" s="346"/>
      <c r="M144" s="346"/>
      <c r="N144" s="346"/>
      <c r="O144" s="346"/>
    </row>
    <row r="145" spans="1:16">
      <c r="A145" s="262"/>
      <c r="B145" s="374" t="str">
        <f>H21</f>
        <v>ALİ KÜRŞAT EROL</v>
      </c>
      <c r="C145" s="374"/>
      <c r="D145" s="374"/>
      <c r="E145" s="374"/>
      <c r="F145" s="374"/>
      <c r="G145" s="374"/>
      <c r="H145" s="374"/>
      <c r="I145" s="261"/>
      <c r="J145" s="375" t="str">
        <f>J94</f>
        <v>Aygen Mekatronik San.Ve Tic.Ltd.Şti</v>
      </c>
      <c r="K145" s="375"/>
      <c r="L145" s="375"/>
      <c r="M145" s="375"/>
      <c r="N145" s="375"/>
      <c r="O145" s="375"/>
      <c r="P145" s="375"/>
    </row>
    <row r="146" spans="1:16">
      <c r="A146" s="264"/>
      <c r="B146" s="264"/>
      <c r="C146" s="264"/>
      <c r="D146" s="264"/>
      <c r="E146" s="264"/>
      <c r="F146" s="264"/>
      <c r="G146" s="264"/>
      <c r="H146" s="264"/>
      <c r="K146" s="349" t="str">
        <f>'Bilgi Giriş Sayfası'!C3</f>
        <v>Koray Aygen</v>
      </c>
      <c r="L146" s="349"/>
      <c r="M146" s="349"/>
      <c r="N146" s="349"/>
      <c r="O146" s="349"/>
    </row>
    <row r="147" spans="1:16">
      <c r="A147" s="258"/>
    </row>
    <row r="148" spans="1:16">
      <c r="A148" s="258"/>
      <c r="O148" s="255"/>
    </row>
    <row r="149" spans="1:16">
      <c r="A149" s="258"/>
      <c r="O149" s="255"/>
    </row>
    <row r="150" spans="1:16">
      <c r="A150" s="258"/>
      <c r="O150" s="255"/>
    </row>
    <row r="151" spans="1:16">
      <c r="A151" s="258"/>
      <c r="O151" s="255"/>
    </row>
    <row r="152" spans="1:16">
      <c r="A152" s="258"/>
      <c r="O152" s="255"/>
    </row>
    <row r="153" spans="1:16">
      <c r="A153" s="258"/>
      <c r="O153" s="255"/>
    </row>
    <row r="154" spans="1:16">
      <c r="A154" s="258"/>
      <c r="P154" s="255" t="s">
        <v>379</v>
      </c>
    </row>
    <row r="155" spans="1:16">
      <c r="A155" s="258"/>
    </row>
    <row r="156" spans="1:16">
      <c r="A156" s="258"/>
    </row>
    <row r="157" spans="1:16">
      <c r="A157" s="258"/>
    </row>
    <row r="158" spans="1:16">
      <c r="A158" s="258"/>
    </row>
    <row r="159" spans="1:16" ht="5.0999999999999996" customHeight="1">
      <c r="A159" s="258"/>
    </row>
    <row r="160" spans="1:16" ht="15" customHeight="1">
      <c r="A160" s="372" t="s">
        <v>380</v>
      </c>
      <c r="B160" s="372"/>
      <c r="C160" s="372"/>
      <c r="D160" s="372"/>
      <c r="E160" s="372"/>
      <c r="F160" s="372"/>
      <c r="G160" s="372"/>
      <c r="H160" s="372"/>
      <c r="I160" s="372"/>
      <c r="J160" s="372"/>
      <c r="K160" s="372"/>
      <c r="L160" s="372"/>
      <c r="M160" s="372"/>
      <c r="N160" s="372"/>
      <c r="O160" s="372"/>
      <c r="P160" s="372"/>
    </row>
    <row r="161" spans="1:16" ht="5.0999999999999996" customHeight="1">
      <c r="A161" s="235"/>
      <c r="B161" s="235"/>
      <c r="C161" s="235"/>
      <c r="D161" s="235"/>
      <c r="E161" s="235"/>
      <c r="F161" s="235"/>
      <c r="G161" s="235"/>
      <c r="H161" s="235"/>
      <c r="I161" s="235"/>
      <c r="J161" s="235"/>
      <c r="K161" s="235"/>
      <c r="L161" s="235"/>
      <c r="M161" s="235"/>
      <c r="N161" s="235"/>
      <c r="O161" s="235"/>
      <c r="P161" s="235"/>
    </row>
    <row r="162" spans="1:16">
      <c r="A162" s="362" t="s">
        <v>381</v>
      </c>
      <c r="B162" s="362"/>
      <c r="C162" s="362"/>
      <c r="D162" s="362"/>
      <c r="E162" s="362"/>
      <c r="F162" s="362"/>
      <c r="G162" s="265" t="s">
        <v>313</v>
      </c>
      <c r="H162" s="367">
        <f>'Bilgi Giriş Sayfası'!F3</f>
        <v>217000</v>
      </c>
      <c r="I162" s="367"/>
      <c r="J162" s="266" t="s">
        <v>382</v>
      </c>
      <c r="K162" s="267"/>
      <c r="L162" s="268"/>
      <c r="M162" s="268"/>
      <c r="N162" s="268"/>
      <c r="O162" s="268"/>
    </row>
    <row r="163" spans="1:16">
      <c r="A163" s="362" t="s">
        <v>383</v>
      </c>
      <c r="B163" s="362"/>
      <c r="C163" s="362"/>
      <c r="D163" s="362"/>
      <c r="E163" s="362"/>
      <c r="F163" s="362"/>
      <c r="G163" s="265" t="s">
        <v>313</v>
      </c>
      <c r="H163" s="367">
        <f>'Bilgi Giriş Sayfası'!F4</f>
        <v>0</v>
      </c>
      <c r="I163" s="367"/>
      <c r="J163" s="266" t="s">
        <v>382</v>
      </c>
      <c r="K163" s="267"/>
      <c r="L163" s="268"/>
      <c r="M163" s="268"/>
      <c r="N163" s="268"/>
      <c r="O163" s="268"/>
    </row>
    <row r="164" spans="1:16">
      <c r="A164" s="362" t="s">
        <v>384</v>
      </c>
      <c r="B164" s="362"/>
      <c r="C164" s="362"/>
      <c r="D164" s="362"/>
      <c r="E164" s="362"/>
      <c r="F164" s="362"/>
      <c r="G164" s="265" t="s">
        <v>313</v>
      </c>
      <c r="H164" s="367">
        <f>'Bilgi Giriş Sayfası'!F5</f>
        <v>0</v>
      </c>
      <c r="I164" s="367"/>
      <c r="J164" s="266" t="s">
        <v>382</v>
      </c>
      <c r="K164" s="267"/>
      <c r="L164" s="268"/>
      <c r="M164" s="268"/>
      <c r="N164" s="268"/>
      <c r="O164" s="268"/>
    </row>
    <row r="165" spans="1:16">
      <c r="A165" s="362" t="s">
        <v>385</v>
      </c>
      <c r="B165" s="362"/>
      <c r="C165" s="362"/>
      <c r="D165" s="362"/>
      <c r="E165" s="362"/>
      <c r="F165" s="362"/>
      <c r="G165" s="265" t="s">
        <v>313</v>
      </c>
      <c r="H165" s="367">
        <f>'Bilgi Giriş Sayfası'!F6</f>
        <v>0</v>
      </c>
      <c r="I165" s="367"/>
      <c r="J165" s="266" t="s">
        <v>382</v>
      </c>
      <c r="K165" s="267"/>
      <c r="L165" s="268"/>
      <c r="M165" s="268"/>
      <c r="N165" s="268"/>
      <c r="O165" s="268"/>
    </row>
    <row r="166" spans="1:16">
      <c r="A166" s="362" t="s">
        <v>386</v>
      </c>
      <c r="B166" s="362"/>
      <c r="C166" s="362"/>
      <c r="D166" s="362"/>
      <c r="E166" s="362"/>
      <c r="F166" s="362"/>
      <c r="G166" s="265" t="s">
        <v>313</v>
      </c>
      <c r="H166" s="367">
        <f>'Bilgi Giriş Sayfası'!F7</f>
        <v>0</v>
      </c>
      <c r="I166" s="367"/>
      <c r="J166" s="266" t="s">
        <v>382</v>
      </c>
      <c r="K166" s="267"/>
      <c r="L166" s="268"/>
      <c r="M166" s="268"/>
      <c r="N166" s="268"/>
      <c r="O166" s="268"/>
    </row>
    <row r="167" spans="1:16">
      <c r="A167" s="368" t="s">
        <v>387</v>
      </c>
      <c r="B167" s="368"/>
      <c r="C167" s="368"/>
      <c r="D167" s="368"/>
      <c r="E167" s="368"/>
      <c r="F167" s="368"/>
      <c r="G167" s="269" t="s">
        <v>313</v>
      </c>
      <c r="H167" s="369">
        <f>H162+H163+H164+H165+H166</f>
        <v>217000</v>
      </c>
      <c r="I167" s="369"/>
      <c r="J167" s="270" t="s">
        <v>382</v>
      </c>
      <c r="K167" s="267"/>
      <c r="L167" s="268"/>
      <c r="M167" s="268"/>
      <c r="N167" s="268"/>
      <c r="O167" s="268"/>
    </row>
    <row r="168" spans="1:16" ht="15" customHeight="1">
      <c r="A168" s="362" t="s">
        <v>388</v>
      </c>
      <c r="B168" s="362"/>
      <c r="C168" s="362"/>
      <c r="D168" s="362"/>
      <c r="E168" s="362"/>
      <c r="F168" s="362"/>
      <c r="G168" t="s">
        <v>313</v>
      </c>
      <c r="H168" s="370" t="s">
        <v>389</v>
      </c>
      <c r="I168" s="370"/>
      <c r="J168" s="370"/>
      <c r="K168" s="370"/>
      <c r="L168" s="370"/>
      <c r="M168" s="370"/>
      <c r="N168" s="370"/>
      <c r="O168" s="370"/>
      <c r="P168" s="370"/>
    </row>
    <row r="169" spans="1:16" ht="5.0999999999999996" customHeight="1">
      <c r="A169" s="258"/>
      <c r="H169" s="271"/>
      <c r="I169" s="271"/>
      <c r="J169" s="271"/>
      <c r="K169" s="271"/>
      <c r="L169" s="271"/>
      <c r="M169" s="271"/>
      <c r="N169" s="271"/>
      <c r="O169" s="271"/>
      <c r="P169" s="271"/>
    </row>
    <row r="170" spans="1:16">
      <c r="A170" s="362" t="s">
        <v>206</v>
      </c>
      <c r="B170" s="362"/>
      <c r="C170" s="362"/>
      <c r="D170" s="362"/>
      <c r="E170" s="362"/>
      <c r="F170" s="362"/>
      <c r="G170" t="s">
        <v>313</v>
      </c>
      <c r="H170" s="365" t="s">
        <v>390</v>
      </c>
      <c r="I170" s="365"/>
      <c r="J170" s="365"/>
      <c r="K170" s="371"/>
      <c r="L170" s="371"/>
      <c r="M170" s="371"/>
      <c r="N170" s="371"/>
      <c r="O170" s="371"/>
      <c r="P170" s="371"/>
    </row>
    <row r="171" spans="1:16">
      <c r="B171" s="265"/>
      <c r="C171" s="265"/>
      <c r="D171" s="265"/>
      <c r="E171" s="265"/>
      <c r="F171" s="265"/>
      <c r="G171" s="265"/>
      <c r="H171" s="362" t="s">
        <v>391</v>
      </c>
      <c r="I171" s="362"/>
      <c r="J171" s="362"/>
      <c r="K171" s="362"/>
      <c r="L171" s="362"/>
      <c r="M171" s="362"/>
      <c r="N171" s="362"/>
      <c r="O171" s="362"/>
      <c r="P171" s="362"/>
    </row>
    <row r="172" spans="1:16">
      <c r="B172" s="265"/>
      <c r="C172" s="265"/>
      <c r="D172" s="265"/>
      <c r="E172" s="265"/>
      <c r="F172" s="265"/>
      <c r="G172" s="265"/>
      <c r="H172" s="362"/>
      <c r="I172" s="362"/>
      <c r="J172" s="362"/>
      <c r="K172" s="362"/>
      <c r="L172" s="362"/>
      <c r="M172" s="362"/>
      <c r="N172" s="362"/>
      <c r="O172" s="362"/>
      <c r="P172" s="362"/>
    </row>
    <row r="173" spans="1:16">
      <c r="B173" s="242"/>
      <c r="C173" s="242"/>
      <c r="D173" s="242"/>
      <c r="E173" s="242"/>
      <c r="F173" s="242"/>
      <c r="G173" s="242"/>
      <c r="H173" s="363"/>
      <c r="I173" s="363"/>
      <c r="J173" s="363"/>
      <c r="K173" s="363"/>
      <c r="L173" s="363"/>
      <c r="M173" s="363"/>
      <c r="N173" s="363"/>
      <c r="O173" s="363"/>
      <c r="P173" s="363"/>
    </row>
    <row r="174" spans="1:16">
      <c r="A174" s="364"/>
      <c r="B174" s="364"/>
      <c r="C174" s="364"/>
      <c r="D174" s="364"/>
      <c r="E174" s="364"/>
      <c r="F174" s="364"/>
      <c r="H174" s="365"/>
      <c r="I174" s="365"/>
      <c r="J174" s="365"/>
      <c r="K174" s="266"/>
      <c r="L174" s="272"/>
      <c r="M174" s="272"/>
      <c r="N174" s="272"/>
      <c r="O174" s="272"/>
    </row>
    <row r="175" spans="1:16" ht="15" customHeight="1">
      <c r="A175" s="358" t="s">
        <v>392</v>
      </c>
      <c r="B175" s="358"/>
      <c r="C175" s="358"/>
      <c r="D175" s="358"/>
      <c r="E175" s="358"/>
      <c r="F175" s="358"/>
      <c r="G175" t="s">
        <v>313</v>
      </c>
      <c r="H175" s="366" t="str">
        <f>IF('Bilgi Giriş Sayfası'!C17='Parametre Sayfası'!F14,'Parametre Sayfası'!B29,IF('Bilgi Giriş Sayfası'!C17='Parametre Sayfası'!F15,'Parametre Sayfası'!B31))</f>
        <v>Fiyatımız Konya GAZTEK Fabrika teslimi olup, tüm nakliye, nakliye sigortası vb. masraflar Alıcıya aittir.</v>
      </c>
      <c r="I175" s="366"/>
      <c r="J175" s="366"/>
      <c r="K175" s="366"/>
      <c r="L175" s="366"/>
      <c r="M175" s="366"/>
      <c r="N175" s="366"/>
      <c r="O175" s="366"/>
      <c r="P175" s="366"/>
    </row>
    <row r="176" spans="1:16">
      <c r="A176" s="273"/>
      <c r="B176" s="274"/>
      <c r="C176" s="274"/>
      <c r="D176" s="274"/>
      <c r="E176" s="274"/>
      <c r="F176" s="274"/>
      <c r="H176" s="366"/>
      <c r="I176" s="366"/>
      <c r="J176" s="366"/>
      <c r="K176" s="366"/>
      <c r="L176" s="366"/>
      <c r="M176" s="366"/>
      <c r="N176" s="366"/>
      <c r="O176" s="366"/>
      <c r="P176" s="366"/>
    </row>
    <row r="177" spans="1:16" ht="5.0999999999999996" customHeight="1">
      <c r="A177" s="273"/>
      <c r="B177" s="274"/>
      <c r="C177" s="274"/>
      <c r="D177" s="274"/>
      <c r="E177" s="274"/>
      <c r="F177" s="274"/>
      <c r="H177" s="275"/>
      <c r="I177" s="275"/>
      <c r="J177" s="275"/>
      <c r="K177" s="275"/>
      <c r="L177" s="275"/>
      <c r="M177" s="275"/>
      <c r="N177" s="275"/>
      <c r="O177" s="275"/>
      <c r="P177" s="275"/>
    </row>
    <row r="178" spans="1:16" ht="15" customHeight="1">
      <c r="A178" s="357" t="s">
        <v>393</v>
      </c>
      <c r="B178" s="357"/>
      <c r="C178" s="357"/>
      <c r="D178" s="357"/>
      <c r="E178" s="357"/>
      <c r="F178" s="357"/>
      <c r="G178" s="265" t="s">
        <v>313</v>
      </c>
      <c r="H178" s="366" t="s">
        <v>394</v>
      </c>
      <c r="I178" s="366"/>
      <c r="J178" s="366"/>
      <c r="K178" s="366"/>
      <c r="L178" s="366"/>
      <c r="M178" s="366"/>
      <c r="N178" s="366"/>
      <c r="O178" s="366"/>
      <c r="P178" s="366"/>
    </row>
    <row r="179" spans="1:16">
      <c r="A179" s="357"/>
      <c r="B179" s="357"/>
      <c r="C179" s="357"/>
      <c r="D179" s="357"/>
      <c r="E179" s="357"/>
      <c r="F179" s="357"/>
      <c r="H179" s="366"/>
      <c r="I179" s="366"/>
      <c r="J179" s="366"/>
      <c r="K179" s="366"/>
      <c r="L179" s="366"/>
      <c r="M179" s="366"/>
      <c r="N179" s="366"/>
      <c r="O179" s="366"/>
      <c r="P179" s="366"/>
    </row>
    <row r="180" spans="1:16" ht="5.0999999999999996" customHeight="1">
      <c r="A180" s="276"/>
      <c r="B180" s="276"/>
      <c r="C180" s="276"/>
      <c r="D180" s="276"/>
      <c r="E180" s="276"/>
      <c r="F180" s="276"/>
      <c r="H180" s="6"/>
      <c r="I180" s="6"/>
      <c r="J180" s="6"/>
      <c r="K180" s="6"/>
      <c r="L180" s="6"/>
      <c r="M180" s="6"/>
      <c r="N180" s="6"/>
      <c r="O180" s="6"/>
      <c r="P180" s="6"/>
    </row>
    <row r="181" spans="1:16" ht="15" customHeight="1">
      <c r="A181" s="357" t="s">
        <v>395</v>
      </c>
      <c r="B181" s="357"/>
      <c r="C181" s="357"/>
      <c r="D181" s="357"/>
      <c r="E181" s="357"/>
      <c r="F181" s="357"/>
      <c r="G181" s="265" t="s">
        <v>313</v>
      </c>
      <c r="H181" s="283" t="s">
        <v>396</v>
      </c>
      <c r="I181" s="283"/>
      <c r="J181" s="283"/>
      <c r="K181" s="283"/>
      <c r="L181" s="283"/>
      <c r="M181" s="283"/>
      <c r="N181" s="283"/>
      <c r="O181" s="283"/>
      <c r="P181" s="283"/>
    </row>
    <row r="182" spans="1:16">
      <c r="A182" s="357"/>
      <c r="B182" s="357"/>
      <c r="C182" s="357"/>
      <c r="D182" s="357"/>
      <c r="E182" s="357"/>
      <c r="F182" s="357"/>
      <c r="H182" s="283"/>
      <c r="I182" s="283"/>
      <c r="J182" s="283"/>
      <c r="K182" s="283"/>
      <c r="L182" s="283"/>
      <c r="M182" s="283"/>
      <c r="N182" s="283"/>
      <c r="O182" s="283"/>
      <c r="P182" s="283"/>
    </row>
    <row r="183" spans="1:16">
      <c r="A183" s="273"/>
      <c r="B183" s="274"/>
      <c r="C183" s="274"/>
      <c r="D183" s="274"/>
      <c r="E183" s="274"/>
      <c r="F183" s="274"/>
      <c r="H183" s="283"/>
      <c r="I183" s="283"/>
      <c r="J183" s="283"/>
      <c r="K183" s="283"/>
      <c r="L183" s="283"/>
      <c r="M183" s="283"/>
      <c r="N183" s="283"/>
      <c r="O183" s="283"/>
      <c r="P183" s="283"/>
    </row>
    <row r="184" spans="1:16" ht="5.0999999999999996" customHeight="1">
      <c r="A184" s="273"/>
      <c r="B184" s="274"/>
      <c r="C184" s="274"/>
      <c r="D184" s="274"/>
      <c r="E184" s="274"/>
      <c r="F184" s="274"/>
      <c r="H184" s="260"/>
      <c r="I184" s="260"/>
      <c r="J184" s="260"/>
      <c r="K184" s="260"/>
      <c r="L184" s="260"/>
      <c r="M184" s="260"/>
      <c r="N184" s="260"/>
      <c r="O184" s="260"/>
      <c r="P184" s="260"/>
    </row>
    <row r="185" spans="1:16" ht="15" customHeight="1">
      <c r="A185" s="358" t="s">
        <v>397</v>
      </c>
      <c r="B185" s="358"/>
      <c r="C185" s="358"/>
      <c r="D185" s="358"/>
      <c r="E185" s="358"/>
      <c r="F185" s="358"/>
      <c r="G185" t="s">
        <v>313</v>
      </c>
      <c r="H185" s="283" t="s">
        <v>398</v>
      </c>
      <c r="I185" s="283"/>
      <c r="J185" s="283"/>
      <c r="K185" s="283"/>
      <c r="L185" s="283"/>
      <c r="M185" s="283"/>
      <c r="N185" s="283"/>
      <c r="O185" s="283"/>
      <c r="P185" s="283"/>
    </row>
    <row r="186" spans="1:16">
      <c r="A186" s="273"/>
      <c r="B186" s="274"/>
      <c r="C186" s="274"/>
      <c r="D186" s="274"/>
      <c r="E186" s="274"/>
      <c r="F186" s="274"/>
      <c r="H186" s="283"/>
      <c r="I186" s="283"/>
      <c r="J186" s="283"/>
      <c r="K186" s="283"/>
      <c r="L186" s="283"/>
      <c r="M186" s="283"/>
      <c r="N186" s="283"/>
      <c r="O186" s="283"/>
      <c r="P186" s="283"/>
    </row>
    <row r="187" spans="1:16">
      <c r="A187" s="273"/>
      <c r="B187" s="274"/>
      <c r="C187" s="274"/>
      <c r="D187" s="274"/>
      <c r="E187" s="274"/>
      <c r="F187" s="274"/>
      <c r="H187" s="283"/>
      <c r="I187" s="283"/>
      <c r="J187" s="283"/>
      <c r="K187" s="283"/>
      <c r="L187" s="283"/>
      <c r="M187" s="283"/>
      <c r="N187" s="283"/>
      <c r="O187" s="283"/>
      <c r="P187" s="283"/>
    </row>
    <row r="188" spans="1:16" ht="5.0999999999999996" customHeight="1">
      <c r="A188" s="273"/>
      <c r="B188" s="274"/>
      <c r="C188" s="274"/>
      <c r="D188" s="274"/>
      <c r="E188" s="274"/>
      <c r="F188" s="274"/>
      <c r="H188" s="283"/>
      <c r="I188" s="283"/>
      <c r="J188" s="283"/>
      <c r="K188" s="283"/>
      <c r="L188" s="283"/>
      <c r="M188" s="283"/>
      <c r="N188" s="283"/>
      <c r="O188" s="283"/>
      <c r="P188" s="283"/>
    </row>
    <row r="189" spans="1:16" ht="15" customHeight="1">
      <c r="A189" s="358" t="s">
        <v>399</v>
      </c>
      <c r="B189" s="358"/>
      <c r="C189" s="358"/>
      <c r="D189" s="358"/>
      <c r="E189" s="358"/>
      <c r="F189" s="358"/>
      <c r="G189" t="s">
        <v>313</v>
      </c>
      <c r="H189" s="359" t="s">
        <v>400</v>
      </c>
      <c r="I189" s="359"/>
      <c r="J189" s="359"/>
      <c r="K189" s="359"/>
      <c r="L189" s="359"/>
      <c r="M189" s="359"/>
      <c r="N189" s="359"/>
      <c r="O189" s="359"/>
      <c r="P189" s="359"/>
    </row>
    <row r="190" spans="1:16">
      <c r="A190" s="273"/>
      <c r="B190" s="274"/>
      <c r="C190" s="274"/>
      <c r="D190" s="274"/>
      <c r="E190" s="274"/>
      <c r="F190" s="274"/>
      <c r="H190" s="359"/>
      <c r="I190" s="359"/>
      <c r="J190" s="359"/>
      <c r="K190" s="359"/>
      <c r="L190" s="359"/>
      <c r="M190" s="359"/>
      <c r="N190" s="359"/>
      <c r="O190" s="359"/>
      <c r="P190" s="359"/>
    </row>
    <row r="191" spans="1:16">
      <c r="A191" s="273"/>
      <c r="B191" s="274"/>
      <c r="C191" s="274"/>
      <c r="D191" s="274"/>
      <c r="E191" s="274"/>
      <c r="F191" s="274"/>
      <c r="H191" s="359"/>
      <c r="I191" s="359"/>
      <c r="J191" s="359"/>
      <c r="K191" s="359"/>
      <c r="L191" s="359"/>
      <c r="M191" s="359"/>
      <c r="N191" s="359"/>
      <c r="O191" s="359"/>
      <c r="P191" s="359"/>
    </row>
    <row r="192" spans="1:16">
      <c r="A192" s="273"/>
      <c r="B192" s="274"/>
      <c r="C192" s="274"/>
      <c r="D192" s="274"/>
      <c r="E192" s="274"/>
      <c r="F192" s="274"/>
      <c r="H192" s="359"/>
      <c r="I192" s="359"/>
      <c r="J192" s="359"/>
      <c r="K192" s="359"/>
      <c r="L192" s="359"/>
      <c r="M192" s="359"/>
      <c r="N192" s="359"/>
      <c r="O192" s="359"/>
      <c r="P192" s="359"/>
    </row>
    <row r="193" spans="1:16">
      <c r="H193" s="359"/>
      <c r="I193" s="359"/>
      <c r="J193" s="359"/>
      <c r="K193" s="359"/>
      <c r="L193" s="359"/>
      <c r="M193" s="359"/>
      <c r="N193" s="359"/>
      <c r="O193" s="359"/>
      <c r="P193" s="359"/>
    </row>
    <row r="194" spans="1:16">
      <c r="H194" s="277"/>
      <c r="I194" s="277"/>
      <c r="J194" s="277"/>
      <c r="K194" s="277"/>
      <c r="L194" s="277"/>
      <c r="M194" s="277"/>
      <c r="N194" s="277"/>
      <c r="O194" s="277"/>
      <c r="P194" s="277"/>
    </row>
    <row r="195" spans="1:16">
      <c r="A195" s="360" t="s">
        <v>401</v>
      </c>
      <c r="B195" s="360"/>
      <c r="C195" s="360"/>
      <c r="D195" s="360"/>
      <c r="E195" s="360"/>
      <c r="F195" s="360"/>
      <c r="G195" s="360"/>
      <c r="H195" s="360"/>
      <c r="I195" s="360"/>
      <c r="K195" s="360" t="s">
        <v>402</v>
      </c>
      <c r="L195" s="360"/>
      <c r="M195" s="360"/>
      <c r="N195" s="360"/>
      <c r="O195" s="360"/>
      <c r="P195" s="360"/>
    </row>
    <row r="196" spans="1:16">
      <c r="A196" s="361" t="str">
        <f>H16</f>
        <v>GAZTEK MAK.MÜH.OTOM.İNŞ.SAN.TİC.LTD.ŞTİ.</v>
      </c>
      <c r="B196" s="361"/>
      <c r="C196" s="361"/>
      <c r="D196" s="361"/>
      <c r="E196" s="361"/>
      <c r="F196" s="361"/>
      <c r="G196" s="361"/>
      <c r="H196" s="361"/>
      <c r="I196" s="361"/>
      <c r="K196" s="361" t="str">
        <f>H25</f>
        <v>Aygen Mekatronik San.Ve Tic.Ltd.Şti</v>
      </c>
      <c r="L196" s="361"/>
      <c r="M196" s="361"/>
      <c r="N196" s="361"/>
      <c r="O196" s="361"/>
      <c r="P196" s="361"/>
    </row>
    <row r="197" spans="1:16">
      <c r="A197" s="361"/>
      <c r="B197" s="361"/>
      <c r="C197" s="361"/>
      <c r="D197" s="361"/>
      <c r="E197" s="361"/>
      <c r="F197" s="361"/>
      <c r="G197" s="361"/>
      <c r="H197" s="361"/>
      <c r="I197" s="361"/>
      <c r="K197" s="361"/>
      <c r="L197" s="361"/>
      <c r="M197" s="361"/>
      <c r="N197" s="361"/>
      <c r="O197" s="361"/>
      <c r="P197" s="361"/>
    </row>
    <row r="198" spans="1:16" ht="15" customHeight="1">
      <c r="A198" s="350" t="s">
        <v>403</v>
      </c>
      <c r="B198" s="350"/>
      <c r="C198" s="350"/>
      <c r="D198" s="350"/>
      <c r="E198" s="351" t="str">
        <f>H21</f>
        <v>ALİ KÜRŞAT EROL</v>
      </c>
      <c r="F198" s="351"/>
      <c r="G198" s="351"/>
      <c r="H198" s="351"/>
      <c r="I198" s="351"/>
      <c r="K198" s="350" t="s">
        <v>403</v>
      </c>
      <c r="L198" s="350"/>
      <c r="M198" s="350"/>
      <c r="N198" s="252" t="str">
        <f>H31</f>
        <v>Koray Aygen</v>
      </c>
      <c r="O198" s="11"/>
      <c r="P198" s="278"/>
    </row>
    <row r="199" spans="1:16">
      <c r="A199" s="350" t="s">
        <v>404</v>
      </c>
      <c r="B199" s="350"/>
      <c r="C199" s="350"/>
      <c r="D199" s="350"/>
      <c r="E199" s="352" t="str">
        <f>H20</f>
        <v>SELÇUK</v>
      </c>
      <c r="F199" s="352"/>
      <c r="G199" s="352"/>
      <c r="H199" s="352"/>
      <c r="I199" s="352"/>
      <c r="K199" s="353" t="s">
        <v>404</v>
      </c>
      <c r="L199" s="353"/>
      <c r="M199" s="353"/>
      <c r="N199" s="352" t="str">
        <f>H30</f>
        <v>-</v>
      </c>
      <c r="O199" s="352"/>
      <c r="P199" s="352"/>
    </row>
    <row r="200" spans="1:16">
      <c r="A200" s="354" t="s">
        <v>405</v>
      </c>
      <c r="B200" s="354"/>
      <c r="C200" s="354"/>
      <c r="D200" s="354"/>
      <c r="E200" s="355" t="str">
        <f>M20</f>
        <v>330 048 7965</v>
      </c>
      <c r="F200" s="355"/>
      <c r="G200" s="355"/>
      <c r="H200" s="355"/>
      <c r="I200" s="355"/>
      <c r="K200" s="356" t="s">
        <v>405</v>
      </c>
      <c r="L200" s="356"/>
      <c r="M200" s="356"/>
      <c r="N200" s="355" t="str">
        <f>'Bilgi Giriş Sayfası'!C6</f>
        <v>-</v>
      </c>
      <c r="O200" s="355"/>
      <c r="P200" s="355"/>
    </row>
    <row r="201" spans="1:16" ht="17.25">
      <c r="A201" s="346" t="s">
        <v>338</v>
      </c>
      <c r="B201" s="346"/>
      <c r="C201" s="346"/>
      <c r="D201" s="346"/>
      <c r="E201" s="346"/>
      <c r="F201" s="346"/>
      <c r="G201" s="346"/>
      <c r="H201" s="346"/>
      <c r="I201" s="346"/>
      <c r="J201" s="346"/>
      <c r="K201" s="347" t="s">
        <v>339</v>
      </c>
      <c r="L201" s="347"/>
      <c r="M201" s="347"/>
      <c r="N201" s="347"/>
      <c r="O201" s="347"/>
      <c r="P201" s="347"/>
    </row>
    <row r="202" spans="1:16">
      <c r="A202" s="262"/>
      <c r="B202" s="262"/>
      <c r="C202" s="262"/>
      <c r="D202" s="262"/>
      <c r="E202" s="262"/>
      <c r="F202" s="262"/>
      <c r="G202" s="262"/>
      <c r="H202" s="262"/>
      <c r="I202" s="261"/>
      <c r="J202" s="261"/>
      <c r="K202" s="348" t="str">
        <f>J145</f>
        <v>Aygen Mekatronik San.Ve Tic.Ltd.Şti</v>
      </c>
      <c r="L202" s="348"/>
      <c r="M202" s="348"/>
      <c r="N202" s="348"/>
      <c r="O202" s="348"/>
      <c r="P202" s="348"/>
    </row>
    <row r="203" spans="1:16">
      <c r="A203" s="349"/>
      <c r="B203" s="349"/>
      <c r="C203" s="349"/>
      <c r="D203" s="349"/>
      <c r="E203" s="349"/>
      <c r="F203" s="349"/>
      <c r="G203" s="349"/>
      <c r="H203" s="349"/>
      <c r="K203" s="349" t="str">
        <f>H31</f>
        <v>Koray Aygen</v>
      </c>
      <c r="L203" s="349"/>
      <c r="M203" s="349"/>
      <c r="N203" s="349"/>
      <c r="O203" s="349"/>
      <c r="P203" s="349"/>
    </row>
    <row r="206" spans="1:16">
      <c r="N206" s="256"/>
      <c r="O206" s="257"/>
    </row>
    <row r="209" spans="16:16">
      <c r="P209" s="255" t="s">
        <v>406</v>
      </c>
    </row>
  </sheetData>
  <mergeCells count="154">
    <mergeCell ref="A6:P6"/>
    <mergeCell ref="A8:F8"/>
    <mergeCell ref="H8:P11"/>
    <mergeCell ref="A12:F12"/>
    <mergeCell ref="I12:J12"/>
    <mergeCell ref="A13:F13"/>
    <mergeCell ref="H13:J13"/>
    <mergeCell ref="A15:P15"/>
    <mergeCell ref="A16:F16"/>
    <mergeCell ref="H16:O16"/>
    <mergeCell ref="A17:F17"/>
    <mergeCell ref="H17:P17"/>
    <mergeCell ref="A18:F18"/>
    <mergeCell ref="H18:I18"/>
    <mergeCell ref="M18:O18"/>
    <mergeCell ref="A19:F19"/>
    <mergeCell ref="M19:O19"/>
    <mergeCell ref="A20:F20"/>
    <mergeCell ref="H20:J20"/>
    <mergeCell ref="M20:O20"/>
    <mergeCell ref="A21:F21"/>
    <mergeCell ref="H21:O21"/>
    <mergeCell ref="A22:F22"/>
    <mergeCell ref="H22:J22"/>
    <mergeCell ref="M22:O22"/>
    <mergeCell ref="A24:P24"/>
    <mergeCell ref="A25:F25"/>
    <mergeCell ref="H25:P25"/>
    <mergeCell ref="A26:F26"/>
    <mergeCell ref="H26:O27"/>
    <mergeCell ref="A28:F28"/>
    <mergeCell ref="H28:I28"/>
    <mergeCell ref="M28:O28"/>
    <mergeCell ref="A29:F29"/>
    <mergeCell ref="H29:J29"/>
    <mergeCell ref="M29:O29"/>
    <mergeCell ref="A30:F30"/>
    <mergeCell ref="H30:J30"/>
    <mergeCell ref="M30:O30"/>
    <mergeCell ref="A31:F31"/>
    <mergeCell ref="H31:O31"/>
    <mergeCell ref="A32:P32"/>
    <mergeCell ref="A33:J33"/>
    <mergeCell ref="K33:P33"/>
    <mergeCell ref="T33:AA52"/>
    <mergeCell ref="A34:J34"/>
    <mergeCell ref="K34:P34"/>
    <mergeCell ref="A35:J35"/>
    <mergeCell ref="K35:P35"/>
    <mergeCell ref="A36:J36"/>
    <mergeCell ref="K36:P36"/>
    <mergeCell ref="A37:J37"/>
    <mergeCell ref="K37:P37"/>
    <mergeCell ref="A38:J38"/>
    <mergeCell ref="K38:P38"/>
    <mergeCell ref="A39:J39"/>
    <mergeCell ref="K39:P39"/>
    <mergeCell ref="A40:J40"/>
    <mergeCell ref="K40:P40"/>
    <mergeCell ref="A41:P41"/>
    <mergeCell ref="B44:I44"/>
    <mergeCell ref="K44:O44"/>
    <mergeCell ref="B45:I45"/>
    <mergeCell ref="J45:P45"/>
    <mergeCell ref="K46:O46"/>
    <mergeCell ref="H51:P51"/>
    <mergeCell ref="F55:H55"/>
    <mergeCell ref="A57:P57"/>
    <mergeCell ref="B59:P60"/>
    <mergeCell ref="B62:P64"/>
    <mergeCell ref="B66:P67"/>
    <mergeCell ref="B69:P70"/>
    <mergeCell ref="B72:P74"/>
    <mergeCell ref="B76:P78"/>
    <mergeCell ref="B80:P82"/>
    <mergeCell ref="B84:P85"/>
    <mergeCell ref="B87:P91"/>
    <mergeCell ref="B93:H93"/>
    <mergeCell ref="I93:J93"/>
    <mergeCell ref="K93:O93"/>
    <mergeCell ref="B94:H94"/>
    <mergeCell ref="J94:P94"/>
    <mergeCell ref="K95:O95"/>
    <mergeCell ref="A96:H96"/>
    <mergeCell ref="A98:H98"/>
    <mergeCell ref="B109:P109"/>
    <mergeCell ref="B111:P115"/>
    <mergeCell ref="B117:P121"/>
    <mergeCell ref="B123:P124"/>
    <mergeCell ref="B126:P127"/>
    <mergeCell ref="B129:P130"/>
    <mergeCell ref="B132:P133"/>
    <mergeCell ref="B135:P136"/>
    <mergeCell ref="B138:P139"/>
    <mergeCell ref="B144:H144"/>
    <mergeCell ref="I144:J144"/>
    <mergeCell ref="K144:O144"/>
    <mergeCell ref="B145:H145"/>
    <mergeCell ref="J145:P145"/>
    <mergeCell ref="K146:O146"/>
    <mergeCell ref="A160:P160"/>
    <mergeCell ref="A162:F162"/>
    <mergeCell ref="H162:I162"/>
    <mergeCell ref="A163:F163"/>
    <mergeCell ref="H163:I163"/>
    <mergeCell ref="A164:F164"/>
    <mergeCell ref="H164:I164"/>
    <mergeCell ref="A165:F165"/>
    <mergeCell ref="H165:I165"/>
    <mergeCell ref="A166:F166"/>
    <mergeCell ref="H166:I166"/>
    <mergeCell ref="A167:F167"/>
    <mergeCell ref="H167:I167"/>
    <mergeCell ref="A168:F168"/>
    <mergeCell ref="H168:P168"/>
    <mergeCell ref="A170:F170"/>
    <mergeCell ref="H170:J170"/>
    <mergeCell ref="K170:P170"/>
    <mergeCell ref="H171:P171"/>
    <mergeCell ref="H172:P172"/>
    <mergeCell ref="H173:P173"/>
    <mergeCell ref="A174:F174"/>
    <mergeCell ref="H174:J174"/>
    <mergeCell ref="A175:F175"/>
    <mergeCell ref="H175:P176"/>
    <mergeCell ref="A178:F179"/>
    <mergeCell ref="H178:P179"/>
    <mergeCell ref="A181:F182"/>
    <mergeCell ref="H181:P183"/>
    <mergeCell ref="A185:F185"/>
    <mergeCell ref="H185:P188"/>
    <mergeCell ref="A189:F189"/>
    <mergeCell ref="H189:P193"/>
    <mergeCell ref="A195:I195"/>
    <mergeCell ref="K195:P195"/>
    <mergeCell ref="A196:I197"/>
    <mergeCell ref="K196:P197"/>
    <mergeCell ref="A201:H201"/>
    <mergeCell ref="I201:J201"/>
    <mergeCell ref="K201:P201"/>
    <mergeCell ref="K202:P202"/>
    <mergeCell ref="A203:H203"/>
    <mergeCell ref="K203:P203"/>
    <mergeCell ref="A198:D198"/>
    <mergeCell ref="E198:I198"/>
    <mergeCell ref="K198:M198"/>
    <mergeCell ref="A199:D199"/>
    <mergeCell ref="E199:I199"/>
    <mergeCell ref="K199:M199"/>
    <mergeCell ref="N199:P199"/>
    <mergeCell ref="A200:D200"/>
    <mergeCell ref="E200:I200"/>
    <mergeCell ref="K200:M200"/>
    <mergeCell ref="N200:P200"/>
  </mergeCells>
  <hyperlinks>
    <hyperlink ref="H19" r:id="rId1"/>
  </hyperlinks>
  <printOptions horizontalCentered="1"/>
  <pageMargins left="0.196527777777778" right="0.196527777777778" top="0.74791666666666701" bottom="0.74791666666666701" header="0.511811023622047" footer="0.511811023622047"/>
  <pageSetup paperSize="9" orientation="portrait" horizontalDpi="300" verticalDpi="3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view="pageBreakPreview" zoomScale="95" zoomScaleNormal="100" zoomScalePageLayoutView="95" workbookViewId="0">
      <pane ySplit="1" topLeftCell="A47" activePane="bottomLeft" state="frozen"/>
      <selection pane="bottomLeft" activeCell="C6" sqref="C6"/>
    </sheetView>
  </sheetViews>
  <sheetFormatPr defaultColWidth="66.28515625" defaultRowHeight="15"/>
  <cols>
    <col min="1" max="1" width="54.42578125" customWidth="1"/>
    <col min="2" max="2" width="33.42578125" customWidth="1"/>
    <col min="3" max="3" width="64" style="4" customWidth="1"/>
  </cols>
  <sheetData>
    <row r="1" spans="1:3" ht="18.75">
      <c r="A1" s="279" t="s">
        <v>407</v>
      </c>
      <c r="B1" s="279" t="s">
        <v>408</v>
      </c>
      <c r="C1" s="279" t="s">
        <v>409</v>
      </c>
    </row>
    <row r="2" spans="1:3" ht="18.75">
      <c r="A2" s="280" t="s">
        <v>410</v>
      </c>
      <c r="B2" s="281" t="s">
        <v>121</v>
      </c>
      <c r="C2" s="282" t="s">
        <v>411</v>
      </c>
    </row>
    <row r="3" spans="1:3" ht="18.75">
      <c r="A3" s="280" t="s">
        <v>412</v>
      </c>
      <c r="B3" s="281" t="s">
        <v>121</v>
      </c>
      <c r="C3" s="282" t="s">
        <v>413</v>
      </c>
    </row>
    <row r="4" spans="1:3" ht="18.75">
      <c r="A4" s="280" t="s">
        <v>414</v>
      </c>
      <c r="B4" s="281" t="s">
        <v>121</v>
      </c>
      <c r="C4" s="282" t="s">
        <v>415</v>
      </c>
    </row>
    <row r="5" spans="1:3" ht="18.75">
      <c r="A5" s="280" t="s">
        <v>416</v>
      </c>
      <c r="B5" s="281" t="s">
        <v>121</v>
      </c>
      <c r="C5" s="282" t="s">
        <v>417</v>
      </c>
    </row>
    <row r="6" spans="1:3" ht="18.75">
      <c r="A6" s="280" t="s">
        <v>418</v>
      </c>
      <c r="B6" s="281" t="s">
        <v>121</v>
      </c>
      <c r="C6" s="282" t="s">
        <v>419</v>
      </c>
    </row>
    <row r="7" spans="1:3" ht="18.75">
      <c r="A7" s="280" t="s">
        <v>418</v>
      </c>
      <c r="B7" s="281" t="s">
        <v>121</v>
      </c>
      <c r="C7" s="282" t="s">
        <v>420</v>
      </c>
    </row>
    <row r="8" spans="1:3" ht="18.75">
      <c r="A8" s="280" t="s">
        <v>418</v>
      </c>
      <c r="B8" s="281" t="s">
        <v>121</v>
      </c>
      <c r="C8" s="282" t="s">
        <v>421</v>
      </c>
    </row>
    <row r="9" spans="1:3" ht="18.75">
      <c r="A9" s="280" t="s">
        <v>422</v>
      </c>
      <c r="B9" s="281" t="s">
        <v>121</v>
      </c>
      <c r="C9" s="282" t="s">
        <v>423</v>
      </c>
    </row>
    <row r="10" spans="1:3" ht="18.75">
      <c r="A10" s="280" t="s">
        <v>422</v>
      </c>
      <c r="B10" s="281" t="s">
        <v>121</v>
      </c>
      <c r="C10" s="282" t="s">
        <v>424</v>
      </c>
    </row>
    <row r="11" spans="1:3" ht="18.75">
      <c r="A11" s="280" t="s">
        <v>425</v>
      </c>
      <c r="B11" s="281" t="s">
        <v>121</v>
      </c>
      <c r="C11" s="282" t="s">
        <v>426</v>
      </c>
    </row>
    <row r="12" spans="1:3" ht="18.75">
      <c r="A12" s="280" t="s">
        <v>425</v>
      </c>
      <c r="B12" s="281" t="s">
        <v>121</v>
      </c>
      <c r="C12" s="282" t="s">
        <v>427</v>
      </c>
    </row>
    <row r="13" spans="1:3" ht="18.75">
      <c r="A13" s="280" t="s">
        <v>428</v>
      </c>
      <c r="B13" s="281" t="s">
        <v>121</v>
      </c>
      <c r="C13" s="282" t="s">
        <v>429</v>
      </c>
    </row>
    <row r="14" spans="1:3" ht="18.75">
      <c r="A14" s="280" t="s">
        <v>428</v>
      </c>
      <c r="B14" s="281" t="s">
        <v>121</v>
      </c>
      <c r="C14" s="282" t="s">
        <v>430</v>
      </c>
    </row>
    <row r="15" spans="1:3" ht="18.75">
      <c r="A15" s="280" t="s">
        <v>431</v>
      </c>
      <c r="B15" s="281" t="s">
        <v>121</v>
      </c>
      <c r="C15" s="282" t="s">
        <v>432</v>
      </c>
    </row>
    <row r="16" spans="1:3" ht="18.75">
      <c r="A16" s="280" t="s">
        <v>433</v>
      </c>
      <c r="B16" s="281" t="s">
        <v>434</v>
      </c>
      <c r="C16" s="282" t="s">
        <v>435</v>
      </c>
    </row>
    <row r="17" spans="1:3" ht="18.75">
      <c r="A17" s="280" t="s">
        <v>433</v>
      </c>
      <c r="B17" s="281" t="s">
        <v>434</v>
      </c>
      <c r="C17" s="282" t="s">
        <v>436</v>
      </c>
    </row>
    <row r="18" spans="1:3" ht="18.75">
      <c r="A18" s="280" t="s">
        <v>437</v>
      </c>
      <c r="B18" s="281" t="s">
        <v>438</v>
      </c>
      <c r="C18" s="282" t="s">
        <v>439</v>
      </c>
    </row>
    <row r="19" spans="1:3" ht="18.75">
      <c r="A19" s="280" t="s">
        <v>440</v>
      </c>
      <c r="B19" s="281" t="s">
        <v>441</v>
      </c>
      <c r="C19" s="282" t="s">
        <v>442</v>
      </c>
    </row>
    <row r="20" spans="1:3" ht="18.75">
      <c r="A20" s="280" t="s">
        <v>440</v>
      </c>
      <c r="B20" s="281" t="s">
        <v>441</v>
      </c>
      <c r="C20" s="282" t="s">
        <v>443</v>
      </c>
    </row>
    <row r="21" spans="1:3" ht="18.75">
      <c r="A21" s="280" t="s">
        <v>444</v>
      </c>
      <c r="B21" s="281" t="s">
        <v>445</v>
      </c>
      <c r="C21" s="282" t="s">
        <v>446</v>
      </c>
    </row>
    <row r="22" spans="1:3" ht="18.75">
      <c r="A22" s="280" t="s">
        <v>447</v>
      </c>
      <c r="B22" s="281" t="s">
        <v>121</v>
      </c>
      <c r="C22" s="282" t="s">
        <v>448</v>
      </c>
    </row>
    <row r="23" spans="1:3" ht="18.75">
      <c r="A23" s="280" t="s">
        <v>449</v>
      </c>
      <c r="B23" s="281" t="s">
        <v>121</v>
      </c>
      <c r="C23" s="282" t="s">
        <v>450</v>
      </c>
    </row>
    <row r="24" spans="1:3" ht="18.75">
      <c r="A24" s="280" t="s">
        <v>451</v>
      </c>
      <c r="B24" s="281" t="s">
        <v>121</v>
      </c>
      <c r="C24" s="282" t="s">
        <v>452</v>
      </c>
    </row>
    <row r="25" spans="1:3" ht="18.75">
      <c r="A25" s="280" t="s">
        <v>451</v>
      </c>
      <c r="B25" s="281" t="s">
        <v>121</v>
      </c>
      <c r="C25" s="4" t="s">
        <v>453</v>
      </c>
    </row>
    <row r="26" spans="1:3" ht="37.5">
      <c r="A26" s="280" t="s">
        <v>454</v>
      </c>
      <c r="B26" s="281" t="s">
        <v>455</v>
      </c>
      <c r="C26" s="4" t="s">
        <v>456</v>
      </c>
    </row>
    <row r="27" spans="1:3" ht="18.75">
      <c r="A27" s="280" t="s">
        <v>457</v>
      </c>
      <c r="B27" s="281" t="s">
        <v>121</v>
      </c>
      <c r="C27" s="4" t="s">
        <v>458</v>
      </c>
    </row>
    <row r="28" spans="1:3" ht="18.75">
      <c r="A28" s="280" t="s">
        <v>459</v>
      </c>
      <c r="B28" s="281" t="s">
        <v>121</v>
      </c>
      <c r="C28" s="4" t="s">
        <v>460</v>
      </c>
    </row>
    <row r="29" spans="1:3" ht="18.75">
      <c r="A29" s="280" t="s">
        <v>461</v>
      </c>
      <c r="B29" s="281" t="s">
        <v>121</v>
      </c>
      <c r="C29" s="4" t="s">
        <v>462</v>
      </c>
    </row>
    <row r="30" spans="1:3" ht="37.5">
      <c r="A30" s="280" t="s">
        <v>463</v>
      </c>
      <c r="B30" s="281" t="s">
        <v>121</v>
      </c>
      <c r="C30" s="4" t="s">
        <v>464</v>
      </c>
    </row>
    <row r="31" spans="1:3" ht="18.75">
      <c r="A31" s="280" t="s">
        <v>465</v>
      </c>
      <c r="B31" s="281" t="s">
        <v>121</v>
      </c>
      <c r="C31" s="4" t="s">
        <v>466</v>
      </c>
    </row>
    <row r="32" spans="1:3" ht="18.75">
      <c r="A32" s="280" t="s">
        <v>465</v>
      </c>
      <c r="B32" s="281" t="s">
        <v>121</v>
      </c>
      <c r="C32" s="4" t="s">
        <v>467</v>
      </c>
    </row>
    <row r="33" spans="1:3" ht="18.75">
      <c r="A33" s="280" t="s">
        <v>465</v>
      </c>
      <c r="B33" s="281" t="s">
        <v>121</v>
      </c>
      <c r="C33" s="4" t="s">
        <v>468</v>
      </c>
    </row>
    <row r="34" spans="1:3" ht="18.75">
      <c r="A34" s="280" t="s">
        <v>469</v>
      </c>
      <c r="B34" s="281" t="s">
        <v>121</v>
      </c>
      <c r="C34" s="4" t="s">
        <v>470</v>
      </c>
    </row>
    <row r="35" spans="1:3" ht="18.75">
      <c r="A35" s="280" t="s">
        <v>471</v>
      </c>
      <c r="B35" s="281" t="s">
        <v>121</v>
      </c>
      <c r="C35" s="4" t="s">
        <v>472</v>
      </c>
    </row>
    <row r="36" spans="1:3" ht="18.75">
      <c r="A36" s="280" t="s">
        <v>471</v>
      </c>
      <c r="B36" s="281" t="s">
        <v>121</v>
      </c>
      <c r="C36" s="4" t="s">
        <v>473</v>
      </c>
    </row>
    <row r="37" spans="1:3" ht="18.75">
      <c r="A37" s="280" t="s">
        <v>471</v>
      </c>
      <c r="B37" s="281" t="s">
        <v>121</v>
      </c>
      <c r="C37" s="4" t="s">
        <v>474</v>
      </c>
    </row>
    <row r="38" spans="1:3" ht="37.5">
      <c r="A38" s="280" t="s">
        <v>475</v>
      </c>
      <c r="B38" s="281" t="s">
        <v>121</v>
      </c>
      <c r="C38" s="4" t="s">
        <v>476</v>
      </c>
    </row>
    <row r="39" spans="1:3" ht="37.5">
      <c r="A39" s="280" t="s">
        <v>475</v>
      </c>
      <c r="B39" s="281" t="s">
        <v>121</v>
      </c>
      <c r="C39" s="4" t="s">
        <v>477</v>
      </c>
    </row>
    <row r="40" spans="1:3" ht="18.75">
      <c r="A40" s="280" t="s">
        <v>478</v>
      </c>
      <c r="B40" s="281" t="s">
        <v>479</v>
      </c>
      <c r="C40" s="4" t="s">
        <v>480</v>
      </c>
    </row>
    <row r="41" spans="1:3" ht="18.75">
      <c r="A41" s="280" t="s">
        <v>478</v>
      </c>
      <c r="B41" s="281" t="s">
        <v>479</v>
      </c>
      <c r="C41" s="4" t="s">
        <v>481</v>
      </c>
    </row>
    <row r="42" spans="1:3" ht="18.75">
      <c r="A42" s="280" t="s">
        <v>478</v>
      </c>
      <c r="B42" s="281" t="s">
        <v>479</v>
      </c>
      <c r="C42" s="4" t="s">
        <v>482</v>
      </c>
    </row>
    <row r="43" spans="1:3" ht="18.75">
      <c r="A43" s="280" t="s">
        <v>483</v>
      </c>
      <c r="B43" s="281" t="s">
        <v>484</v>
      </c>
      <c r="C43" s="4" t="s">
        <v>485</v>
      </c>
    </row>
    <row r="44" spans="1:3" ht="18.75">
      <c r="A44" s="280" t="s">
        <v>483</v>
      </c>
      <c r="B44" s="281" t="s">
        <v>484</v>
      </c>
      <c r="C44" s="4" t="s">
        <v>486</v>
      </c>
    </row>
    <row r="45" spans="1:3" ht="18.75">
      <c r="A45" s="280" t="s">
        <v>487</v>
      </c>
      <c r="B45" s="281" t="s">
        <v>488</v>
      </c>
      <c r="C45" s="4" t="s">
        <v>489</v>
      </c>
    </row>
    <row r="46" spans="1:3" ht="18.75">
      <c r="A46" s="280" t="s">
        <v>487</v>
      </c>
      <c r="B46" s="281" t="s">
        <v>488</v>
      </c>
      <c r="C46" s="4" t="s">
        <v>490</v>
      </c>
    </row>
    <row r="47" spans="1:3" ht="18.75">
      <c r="A47" s="280" t="s">
        <v>487</v>
      </c>
      <c r="B47" s="281" t="s">
        <v>488</v>
      </c>
      <c r="C47" s="4" t="s">
        <v>491</v>
      </c>
    </row>
    <row r="48" spans="1:3" ht="18.75">
      <c r="A48" s="280" t="s">
        <v>492</v>
      </c>
      <c r="B48" s="281" t="s">
        <v>493</v>
      </c>
      <c r="C48" s="4" t="s">
        <v>494</v>
      </c>
    </row>
    <row r="49" spans="1:3" ht="18.75">
      <c r="A49" s="280" t="s">
        <v>495</v>
      </c>
      <c r="B49" s="281" t="s">
        <v>496</v>
      </c>
      <c r="C49" s="4" t="s">
        <v>497</v>
      </c>
    </row>
    <row r="50" spans="1:3" ht="18.75">
      <c r="A50" s="280" t="s">
        <v>498</v>
      </c>
      <c r="B50" s="281" t="s">
        <v>499</v>
      </c>
      <c r="C50" s="4" t="s">
        <v>500</v>
      </c>
    </row>
    <row r="51" spans="1:3" ht="18.75">
      <c r="A51" s="280" t="s">
        <v>498</v>
      </c>
      <c r="B51" s="281" t="s">
        <v>499</v>
      </c>
      <c r="C51" s="4" t="s">
        <v>501</v>
      </c>
    </row>
    <row r="52" spans="1:3" ht="18.75">
      <c r="A52" s="280" t="s">
        <v>498</v>
      </c>
      <c r="B52" s="281" t="s">
        <v>499</v>
      </c>
      <c r="C52" s="4" t="s">
        <v>502</v>
      </c>
    </row>
    <row r="53" spans="1:3" ht="18.75">
      <c r="A53" s="280" t="s">
        <v>503</v>
      </c>
      <c r="B53" s="281" t="s">
        <v>499</v>
      </c>
      <c r="C53" s="4" t="s">
        <v>504</v>
      </c>
    </row>
    <row r="54" spans="1:3" ht="18.75">
      <c r="A54" s="280" t="s">
        <v>503</v>
      </c>
      <c r="B54" s="281" t="s">
        <v>505</v>
      </c>
      <c r="C54" s="4" t="s">
        <v>506</v>
      </c>
    </row>
    <row r="55" spans="1:3" ht="18.75">
      <c r="A55" s="280" t="s">
        <v>507</v>
      </c>
      <c r="B55" s="281" t="s">
        <v>508</v>
      </c>
      <c r="C55" s="4" t="s">
        <v>509</v>
      </c>
    </row>
    <row r="56" spans="1:3" ht="18.75">
      <c r="A56" s="280" t="s">
        <v>507</v>
      </c>
      <c r="B56" s="281" t="s">
        <v>508</v>
      </c>
      <c r="C56" s="4" t="s">
        <v>510</v>
      </c>
    </row>
    <row r="57" spans="1:3" ht="18.75">
      <c r="A57" s="280" t="s">
        <v>511</v>
      </c>
      <c r="B57" s="281" t="s">
        <v>121</v>
      </c>
      <c r="C57" s="4" t="s">
        <v>512</v>
      </c>
    </row>
    <row r="58" spans="1:3" ht="18.75">
      <c r="A58" s="280" t="s">
        <v>511</v>
      </c>
      <c r="B58" s="281" t="s">
        <v>121</v>
      </c>
      <c r="C58" s="4" t="s">
        <v>513</v>
      </c>
    </row>
    <row r="59" spans="1:3" ht="18.75">
      <c r="A59" s="280" t="s">
        <v>514</v>
      </c>
      <c r="B59" s="281" t="s">
        <v>121</v>
      </c>
      <c r="C59" s="4" t="s">
        <v>515</v>
      </c>
    </row>
    <row r="60" spans="1:3" ht="18.75">
      <c r="A60" s="280" t="s">
        <v>514</v>
      </c>
      <c r="B60" s="281" t="s">
        <v>121</v>
      </c>
      <c r="C60" s="4" t="s">
        <v>516</v>
      </c>
    </row>
    <row r="61" spans="1:3" ht="18.75">
      <c r="A61" s="280" t="s">
        <v>517</v>
      </c>
      <c r="B61" s="281" t="s">
        <v>121</v>
      </c>
      <c r="C61" s="4" t="s">
        <v>518</v>
      </c>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9" r:id="rId17"/>
    <hyperlink ref="B20" r:id="rId18"/>
    <hyperlink ref="B21" r:id="rId19"/>
    <hyperlink ref="B22" r:id="rId20"/>
    <hyperlink ref="B23" r:id="rId21"/>
    <hyperlink ref="B24" r:id="rId22"/>
    <hyperlink ref="B25" r:id="rId23"/>
    <hyperlink ref="B26" r:id="rId24"/>
    <hyperlink ref="B27" r:id="rId25"/>
    <hyperlink ref="B28" r:id="rId26"/>
    <hyperlink ref="B29" r:id="rId27"/>
    <hyperlink ref="B30" r:id="rId28"/>
    <hyperlink ref="B31" r:id="rId29"/>
    <hyperlink ref="B32" r:id="rId30"/>
    <hyperlink ref="B33" r:id="rId31"/>
    <hyperlink ref="B34" r:id="rId32"/>
    <hyperlink ref="B35" r:id="rId33"/>
    <hyperlink ref="B36" r:id="rId34"/>
    <hyperlink ref="B37" r:id="rId35"/>
    <hyperlink ref="B38" r:id="rId36"/>
    <hyperlink ref="B39" r:id="rId37"/>
    <hyperlink ref="B40" r:id="rId38"/>
    <hyperlink ref="B41" r:id="rId39"/>
    <hyperlink ref="B42" r:id="rId40"/>
    <hyperlink ref="B43" r:id="rId41"/>
    <hyperlink ref="B44" r:id="rId42"/>
    <hyperlink ref="B45" r:id="rId43"/>
    <hyperlink ref="B46" r:id="rId44"/>
    <hyperlink ref="B47" r:id="rId45"/>
    <hyperlink ref="B48" r:id="rId46"/>
    <hyperlink ref="B49" r:id="rId47"/>
    <hyperlink ref="B50" r:id="rId48"/>
    <hyperlink ref="B51" r:id="rId49"/>
    <hyperlink ref="B52" r:id="rId50"/>
    <hyperlink ref="B53" r:id="rId51"/>
    <hyperlink ref="B54" r:id="rId52"/>
    <hyperlink ref="B55" r:id="rId53"/>
    <hyperlink ref="B56" r:id="rId54"/>
    <hyperlink ref="B57" r:id="rId55"/>
    <hyperlink ref="B58" r:id="rId56"/>
    <hyperlink ref="B59" r:id="rId57"/>
    <hyperlink ref="B60" r:id="rId58"/>
    <hyperlink ref="B61" r:id="rId59"/>
  </hyperlinks>
  <pageMargins left="0.7" right="0.7" top="0.75" bottom="0.75" header="0.511811023622047" footer="0.511811023622047"/>
  <pageSetup paperSize="9" orientation="portrait" horizontalDpi="300" verticalDpi="300"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showGridLines="0" view="pageBreakPreview" zoomScale="95" zoomScaleNormal="70" zoomScalePageLayoutView="95" workbookViewId="0">
      <selection activeCell="C11" sqref="C11"/>
    </sheetView>
  </sheetViews>
  <sheetFormatPr defaultColWidth="9.140625" defaultRowHeight="18"/>
  <cols>
    <col min="1" max="1" width="4.42578125" style="20" customWidth="1"/>
    <col min="2" max="2" width="30.7109375" style="20" customWidth="1"/>
    <col min="3" max="3" width="100.7109375" style="20" customWidth="1"/>
    <col min="4" max="4" width="4.42578125" style="20" customWidth="1"/>
    <col min="5" max="5" width="30.7109375" style="20" customWidth="1"/>
    <col min="6" max="6" width="26" style="20" customWidth="1"/>
    <col min="7" max="7" width="15.42578125" style="20" customWidth="1"/>
    <col min="8" max="8" width="10.140625" style="20" customWidth="1"/>
    <col min="9" max="10" width="20.42578125" style="20" customWidth="1"/>
    <col min="11" max="11" width="22.140625" style="20" customWidth="1"/>
    <col min="12" max="12" width="24.42578125" style="20" customWidth="1"/>
    <col min="13" max="13" width="19.5703125" style="20" customWidth="1"/>
    <col min="14" max="1024" width="9.140625" style="20"/>
  </cols>
  <sheetData>
    <row r="1" spans="1:12" ht="24" customHeight="1">
      <c r="A1" s="284" t="s">
        <v>105</v>
      </c>
      <c r="B1" s="284"/>
      <c r="C1" s="284"/>
      <c r="D1" s="284"/>
      <c r="E1" s="284"/>
      <c r="F1" s="284"/>
      <c r="G1" s="284"/>
      <c r="H1" s="284"/>
      <c r="I1" s="21" t="s">
        <v>106</v>
      </c>
      <c r="J1" s="22" t="s">
        <v>107</v>
      </c>
      <c r="K1" s="20" t="s">
        <v>108</v>
      </c>
      <c r="L1" s="20" t="s">
        <v>108</v>
      </c>
    </row>
    <row r="2" spans="1:12" ht="24" customHeight="1">
      <c r="A2" s="23">
        <v>1</v>
      </c>
      <c r="B2" s="24" t="s">
        <v>109</v>
      </c>
      <c r="C2" s="25" t="s">
        <v>110</v>
      </c>
      <c r="D2" s="23">
        <v>17</v>
      </c>
      <c r="E2" s="24" t="s">
        <v>111</v>
      </c>
      <c r="F2" s="26">
        <v>3</v>
      </c>
      <c r="G2" s="285" t="s">
        <v>112</v>
      </c>
      <c r="H2" s="285"/>
    </row>
    <row r="3" spans="1:12" ht="24" customHeight="1">
      <c r="A3" s="27">
        <v>2</v>
      </c>
      <c r="B3" s="28" t="s">
        <v>113</v>
      </c>
      <c r="C3" s="29" t="s">
        <v>114</v>
      </c>
      <c r="D3" s="27">
        <v>18</v>
      </c>
      <c r="E3" s="28" t="s">
        <v>115</v>
      </c>
      <c r="F3" s="30">
        <v>217000</v>
      </c>
      <c r="G3" s="31">
        <v>1</v>
      </c>
      <c r="H3" s="29" t="s">
        <v>116</v>
      </c>
      <c r="I3" s="32">
        <f>F3/J25</f>
        <v>20765.55023923445</v>
      </c>
      <c r="J3" s="33">
        <f>F3/I25</f>
        <v>21700</v>
      </c>
    </row>
    <row r="4" spans="1:12" ht="24" customHeight="1">
      <c r="A4" s="27">
        <v>3</v>
      </c>
      <c r="B4" s="28" t="s">
        <v>117</v>
      </c>
      <c r="C4" s="34" t="s">
        <v>118</v>
      </c>
      <c r="D4" s="27">
        <v>19</v>
      </c>
      <c r="E4" s="35" t="s">
        <v>119</v>
      </c>
      <c r="F4" s="30">
        <v>0</v>
      </c>
      <c r="G4" s="31">
        <v>1</v>
      </c>
      <c r="H4" s="29" t="s">
        <v>116</v>
      </c>
      <c r="I4" s="32">
        <f>F4/J25</f>
        <v>0</v>
      </c>
      <c r="J4" s="33">
        <f>F4/I25</f>
        <v>0</v>
      </c>
    </row>
    <row r="5" spans="1:12" ht="24" customHeight="1">
      <c r="A5" s="27">
        <v>4</v>
      </c>
      <c r="B5" s="28" t="s">
        <v>120</v>
      </c>
      <c r="C5" s="34" t="s">
        <v>121</v>
      </c>
      <c r="D5" s="27">
        <v>20</v>
      </c>
      <c r="E5" s="28" t="s">
        <v>122</v>
      </c>
      <c r="F5" s="30"/>
      <c r="G5" s="31"/>
      <c r="H5" s="29" t="s">
        <v>116</v>
      </c>
      <c r="I5" s="32">
        <f>F5/J25</f>
        <v>0</v>
      </c>
      <c r="J5" s="33">
        <f>F5/I25</f>
        <v>0</v>
      </c>
    </row>
    <row r="6" spans="1:12" ht="24" customHeight="1">
      <c r="A6" s="27">
        <v>5</v>
      </c>
      <c r="B6" s="28" t="s">
        <v>123</v>
      </c>
      <c r="C6" s="36" t="s">
        <v>121</v>
      </c>
      <c r="D6" s="27">
        <v>21</v>
      </c>
      <c r="E6" s="35" t="s">
        <v>124</v>
      </c>
      <c r="F6" s="30"/>
      <c r="G6" s="31"/>
      <c r="H6" s="29" t="s">
        <v>116</v>
      </c>
      <c r="I6" s="32">
        <f>F6/J25</f>
        <v>0</v>
      </c>
      <c r="J6" s="33">
        <f>F6/I25</f>
        <v>0</v>
      </c>
    </row>
    <row r="7" spans="1:12" ht="24" customHeight="1">
      <c r="A7" s="27">
        <v>6</v>
      </c>
      <c r="B7" s="28" t="s">
        <v>125</v>
      </c>
      <c r="C7" s="36" t="s">
        <v>126</v>
      </c>
      <c r="D7" s="27">
        <v>22</v>
      </c>
      <c r="E7" s="35" t="s">
        <v>127</v>
      </c>
      <c r="F7" s="30">
        <v>0</v>
      </c>
      <c r="G7" s="31">
        <v>1</v>
      </c>
      <c r="H7" s="29" t="s">
        <v>116</v>
      </c>
      <c r="I7" s="32">
        <f>F7/J25</f>
        <v>0</v>
      </c>
      <c r="J7" s="33">
        <f>F7/I25</f>
        <v>0</v>
      </c>
    </row>
    <row r="8" spans="1:12" ht="24" customHeight="1">
      <c r="A8" s="27">
        <v>7</v>
      </c>
      <c r="B8" s="28" t="s">
        <v>128</v>
      </c>
      <c r="C8" s="36" t="s">
        <v>121</v>
      </c>
      <c r="D8" s="27">
        <v>23</v>
      </c>
      <c r="E8" s="28" t="s">
        <v>129</v>
      </c>
      <c r="F8" s="37">
        <f>IF(C14='Parametre Sayfası'!D14,'Parametre Sayfası'!B14,IF(C14='Parametre Sayfası'!D15,'Parametre Sayfası'!B15,IF(C14='Parametre Sayfası'!D16,'Parametre Sayfası'!B16,IF(C14='Parametre Sayfası'!D17,'Parametre Sayfası'!B17))))</f>
        <v>0</v>
      </c>
      <c r="G8" s="38"/>
      <c r="H8" s="29"/>
      <c r="I8" s="39" t="s">
        <v>130</v>
      </c>
      <c r="J8" s="40" t="s">
        <v>130</v>
      </c>
    </row>
    <row r="9" spans="1:12" ht="24" customHeight="1">
      <c r="A9" s="27">
        <v>8</v>
      </c>
      <c r="B9" s="28" t="s">
        <v>131</v>
      </c>
      <c r="C9" s="41" t="s">
        <v>121</v>
      </c>
      <c r="D9" s="27">
        <v>24</v>
      </c>
      <c r="E9" s="28" t="s">
        <v>132</v>
      </c>
      <c r="F9" s="30">
        <f>(F3+F4+F5+F6+F7)*F8</f>
        <v>0</v>
      </c>
      <c r="G9" s="37"/>
      <c r="H9" s="29"/>
      <c r="I9" s="32">
        <f>F9/J25</f>
        <v>0</v>
      </c>
      <c r="J9" s="33">
        <f>F9/I25</f>
        <v>0</v>
      </c>
    </row>
    <row r="10" spans="1:12" ht="24" customHeight="1">
      <c r="A10" s="27">
        <v>9</v>
      </c>
      <c r="B10" s="28" t="s">
        <v>133</v>
      </c>
      <c r="C10" s="41" t="s">
        <v>121</v>
      </c>
      <c r="D10" s="27">
        <v>25</v>
      </c>
      <c r="E10" s="28" t="s">
        <v>134</v>
      </c>
      <c r="F10" s="30">
        <f>(F3+F4+F5+F6+F7)+F9</f>
        <v>217000</v>
      </c>
      <c r="G10" s="30"/>
      <c r="H10" s="29"/>
      <c r="I10" s="32">
        <f>I4*F8</f>
        <v>0</v>
      </c>
      <c r="J10" s="42">
        <f>J4*F8</f>
        <v>0</v>
      </c>
      <c r="K10" s="43">
        <f>F11/I25</f>
        <v>10850</v>
      </c>
    </row>
    <row r="11" spans="1:12" ht="24" customHeight="1">
      <c r="A11" s="27">
        <v>10</v>
      </c>
      <c r="B11" s="28" t="s">
        <v>135</v>
      </c>
      <c r="C11" s="29" t="s">
        <v>97</v>
      </c>
      <c r="D11" s="27">
        <v>26</v>
      </c>
      <c r="E11" s="28" t="s">
        <v>136</v>
      </c>
      <c r="F11" s="30">
        <f>F10/2</f>
        <v>108500</v>
      </c>
      <c r="G11" s="30"/>
      <c r="H11" s="29"/>
      <c r="I11" s="32">
        <f>I5*F8</f>
        <v>0</v>
      </c>
      <c r="J11" s="42">
        <f>J5*F8</f>
        <v>0</v>
      </c>
    </row>
    <row r="12" spans="1:12" ht="24" customHeight="1">
      <c r="A12" s="27">
        <v>11</v>
      </c>
      <c r="B12" s="28" t="s">
        <v>137</v>
      </c>
      <c r="C12" s="44" t="s">
        <v>138</v>
      </c>
      <c r="D12" s="27">
        <v>27</v>
      </c>
      <c r="E12" s="28" t="s">
        <v>139</v>
      </c>
      <c r="F12" s="38">
        <v>1</v>
      </c>
      <c r="G12" s="38"/>
      <c r="H12" s="29"/>
      <c r="I12" s="32">
        <f>I6*F8</f>
        <v>0</v>
      </c>
      <c r="J12" s="42">
        <f>J6*F8</f>
        <v>0</v>
      </c>
    </row>
    <row r="13" spans="1:12" ht="24" customHeight="1">
      <c r="A13" s="27">
        <v>12</v>
      </c>
      <c r="B13" s="28" t="s">
        <v>140</v>
      </c>
      <c r="C13" s="45">
        <v>5003</v>
      </c>
      <c r="D13" s="27">
        <v>28</v>
      </c>
      <c r="E13" s="28" t="s">
        <v>141</v>
      </c>
      <c r="F13" s="46">
        <v>1</v>
      </c>
      <c r="G13" s="47">
        <f ca="1">F16+F13</f>
        <v>44588</v>
      </c>
      <c r="H13" s="29"/>
      <c r="I13" s="32">
        <f>I7*F8</f>
        <v>0</v>
      </c>
      <c r="J13" s="42">
        <f>J7*F8</f>
        <v>0</v>
      </c>
    </row>
    <row r="14" spans="1:12" ht="24" customHeight="1">
      <c r="A14" s="27">
        <v>13</v>
      </c>
      <c r="B14" s="28" t="s">
        <v>142</v>
      </c>
      <c r="C14" s="29" t="s">
        <v>94</v>
      </c>
      <c r="D14" s="27">
        <v>29</v>
      </c>
      <c r="E14" s="28" t="s">
        <v>143</v>
      </c>
      <c r="F14" s="20">
        <v>10</v>
      </c>
      <c r="G14" s="47">
        <f ca="1">G13+F14</f>
        <v>44598</v>
      </c>
      <c r="H14" s="29"/>
      <c r="I14" s="48"/>
      <c r="J14" s="49"/>
    </row>
    <row r="15" spans="1:12" ht="24" customHeight="1">
      <c r="A15" s="27">
        <v>14</v>
      </c>
      <c r="B15" s="28" t="s">
        <v>144</v>
      </c>
      <c r="C15" s="29" t="s">
        <v>145</v>
      </c>
      <c r="D15" s="27">
        <v>30</v>
      </c>
      <c r="E15" s="28" t="s">
        <v>146</v>
      </c>
      <c r="F15" s="38" t="s">
        <v>12</v>
      </c>
      <c r="G15" s="38"/>
      <c r="H15" s="29"/>
      <c r="I15" s="32">
        <f>SUM(I9:I14,I3:I7)</f>
        <v>20765.55023923445</v>
      </c>
      <c r="J15" s="33">
        <f>SUM(J9:J14,J3:J7)</f>
        <v>21700</v>
      </c>
    </row>
    <row r="16" spans="1:12" ht="24" customHeight="1">
      <c r="A16" s="27">
        <v>15</v>
      </c>
      <c r="B16" s="28" t="s">
        <v>147</v>
      </c>
      <c r="C16" s="29" t="s">
        <v>92</v>
      </c>
      <c r="D16" s="27">
        <v>31</v>
      </c>
      <c r="E16" s="28" t="s">
        <v>148</v>
      </c>
      <c r="F16" s="47">
        <f ca="1">TODAY()</f>
        <v>44587</v>
      </c>
      <c r="G16" s="47"/>
      <c r="H16" s="29"/>
      <c r="I16" s="48"/>
      <c r="J16" s="49"/>
    </row>
    <row r="17" spans="1:10" ht="24" customHeight="1">
      <c r="A17" s="50">
        <v>16</v>
      </c>
      <c r="B17" s="51" t="s">
        <v>149</v>
      </c>
      <c r="C17" s="52" t="s">
        <v>89</v>
      </c>
      <c r="D17" s="50">
        <v>32</v>
      </c>
      <c r="E17" s="51" t="s">
        <v>150</v>
      </c>
      <c r="F17" s="53">
        <v>1</v>
      </c>
      <c r="G17" s="53"/>
      <c r="H17" s="52"/>
      <c r="I17" s="54">
        <f>I3+I9</f>
        <v>20765.55023923445</v>
      </c>
      <c r="J17" s="33">
        <f>J3+J9</f>
        <v>21700</v>
      </c>
    </row>
    <row r="18" spans="1:10" ht="24" customHeight="1">
      <c r="A18" s="55"/>
      <c r="B18" s="56"/>
      <c r="C18" s="55"/>
      <c r="I18" s="57">
        <f>F11/J25</f>
        <v>10382.775119617225</v>
      </c>
      <c r="J18" s="58">
        <f>F11/I25</f>
        <v>10850</v>
      </c>
    </row>
    <row r="19" spans="1:10" ht="24" customHeight="1">
      <c r="A19" s="286" t="s">
        <v>151</v>
      </c>
      <c r="B19" s="286"/>
      <c r="C19" s="286"/>
      <c r="D19" s="286"/>
      <c r="E19" s="286"/>
      <c r="F19" s="286"/>
    </row>
    <row r="20" spans="1:10" ht="24" customHeight="1">
      <c r="A20" s="23">
        <v>1</v>
      </c>
      <c r="B20" s="59" t="s">
        <v>0</v>
      </c>
      <c r="C20" s="60" t="s">
        <v>27</v>
      </c>
      <c r="D20" s="23">
        <v>10</v>
      </c>
      <c r="E20" s="59" t="s">
        <v>3</v>
      </c>
      <c r="F20" s="61" t="s">
        <v>16</v>
      </c>
    </row>
    <row r="21" spans="1:10" ht="24" customHeight="1">
      <c r="A21" s="27">
        <v>2</v>
      </c>
      <c r="B21" s="62" t="s">
        <v>1</v>
      </c>
      <c r="C21" s="29" t="s">
        <v>54</v>
      </c>
      <c r="D21" s="27">
        <v>11</v>
      </c>
      <c r="E21" s="62" t="s">
        <v>4</v>
      </c>
      <c r="F21" s="29" t="str">
        <f>IF(F20='Parametre Sayfası'!F3,'Parametre Sayfası'!H3,IF(F20='Parametre Sayfası'!F4,'Parametre Sayfası'!H4,IF(F20='Parametre Sayfası'!F5,'Parametre Sayfası'!H5,IF(F20='Parametre Sayfası'!F6,'Parametre Sayfası'!H6,IF(F20='Parametre Sayfası'!F7,'Parametre Sayfası'!H7,IF(F20='Parametre Sayfası'!F8,'Parametre Sayfası'!H8))))))</f>
        <v>2300 x 4000 mm</v>
      </c>
      <c r="G21" s="63"/>
    </row>
    <row r="22" spans="1:10" ht="24" customHeight="1">
      <c r="A22" s="27">
        <v>3</v>
      </c>
      <c r="B22" s="62" t="s">
        <v>2</v>
      </c>
      <c r="C22" s="29" t="str">
        <f>IF(C21='Parametre Sayfası'!C3,'Parametre Sayfası'!E3,IF(C21='Parametre Sayfası'!C4,'Parametre Sayfası'!E4,IF(C21='Parametre Sayfası'!C5,'Parametre Sayfası'!E5,IF(C21='Parametre Sayfası'!C6,'Parametre Sayfası'!E6,IF(C21='Parametre Sayfası'!C7,'Parametre Sayfası'!E7,IF(C21='Parametre Sayfası'!C8,'Parametre Sayfası'!E8,IF(C21='Parametre Sayfası'!C9,'Parametre Sayfası'!E9,IF(C21='Parametre Sayfası'!C10,'Parametre Sayfası'!E10,IF(C21='Parametre Sayfası'!C11,'Parametre Sayfası'!E11)))))))))</f>
        <v>1 mm - 22 mm</v>
      </c>
      <c r="D22" s="27">
        <v>12</v>
      </c>
      <c r="E22" s="62" t="s">
        <v>5</v>
      </c>
      <c r="F22" s="29" t="s">
        <v>18</v>
      </c>
      <c r="G22" s="63"/>
    </row>
    <row r="23" spans="1:10" ht="24" customHeight="1">
      <c r="A23" s="27">
        <v>4</v>
      </c>
      <c r="B23" s="62" t="s">
        <v>152</v>
      </c>
      <c r="C23" s="29" t="s">
        <v>24</v>
      </c>
      <c r="D23" s="27">
        <v>13</v>
      </c>
      <c r="E23" s="62" t="s">
        <v>153</v>
      </c>
      <c r="F23" s="29" t="s">
        <v>48</v>
      </c>
      <c r="G23" s="63"/>
      <c r="I23" s="20">
        <f>I25*I26</f>
        <v>205000</v>
      </c>
    </row>
    <row r="24" spans="1:10" ht="24" customHeight="1">
      <c r="A24" s="27">
        <v>5</v>
      </c>
      <c r="B24" s="62" t="s">
        <v>154</v>
      </c>
      <c r="C24" s="29" t="s">
        <v>23</v>
      </c>
      <c r="D24" s="27">
        <v>14</v>
      </c>
      <c r="E24" s="62" t="s">
        <v>155</v>
      </c>
      <c r="F24" s="29" t="s">
        <v>50</v>
      </c>
      <c r="G24" s="63"/>
      <c r="I24" s="20" t="s">
        <v>156</v>
      </c>
      <c r="J24" s="20" t="s">
        <v>157</v>
      </c>
    </row>
    <row r="25" spans="1:10" ht="24" customHeight="1">
      <c r="A25" s="27">
        <v>6</v>
      </c>
      <c r="B25" s="62" t="s">
        <v>7</v>
      </c>
      <c r="C25" s="29" t="s">
        <v>61</v>
      </c>
      <c r="D25" s="27">
        <v>15</v>
      </c>
      <c r="E25" s="62" t="s">
        <v>158</v>
      </c>
      <c r="F25" s="64" t="s">
        <v>51</v>
      </c>
      <c r="G25" s="63"/>
      <c r="I25" s="20">
        <v>10</v>
      </c>
      <c r="J25" s="20">
        <v>10.45</v>
      </c>
    </row>
    <row r="26" spans="1:10" ht="24" customHeight="1">
      <c r="A26" s="27">
        <v>7</v>
      </c>
      <c r="B26" s="62" t="s">
        <v>83</v>
      </c>
      <c r="C26" s="64" t="s">
        <v>96</v>
      </c>
      <c r="D26" s="27">
        <v>16</v>
      </c>
      <c r="E26" s="62" t="s">
        <v>159</v>
      </c>
      <c r="F26" s="64" t="s">
        <v>91</v>
      </c>
      <c r="G26" s="63"/>
      <c r="I26" s="20">
        <v>20500</v>
      </c>
    </row>
    <row r="27" spans="1:10" ht="24" customHeight="1">
      <c r="A27" s="50">
        <v>8</v>
      </c>
      <c r="B27" s="65" t="s">
        <v>160</v>
      </c>
      <c r="C27" s="52" t="s">
        <v>25</v>
      </c>
      <c r="D27" s="50">
        <v>17</v>
      </c>
      <c r="E27" s="65" t="s">
        <v>161</v>
      </c>
      <c r="F27" s="66" t="s">
        <v>93</v>
      </c>
      <c r="G27" s="63"/>
    </row>
    <row r="28" spans="1:10" ht="24" customHeight="1">
      <c r="A28" s="63"/>
      <c r="B28" s="63"/>
      <c r="C28" s="63"/>
      <c r="D28" s="63"/>
      <c r="E28" s="63"/>
      <c r="F28" s="63"/>
      <c r="G28" s="63"/>
    </row>
  </sheetData>
  <mergeCells count="3">
    <mergeCell ref="A1:H1"/>
    <mergeCell ref="G2:H2"/>
    <mergeCell ref="A19:F19"/>
  </mergeCells>
  <hyperlinks>
    <hyperlink ref="C9" r:id="rId1"/>
    <hyperlink ref="C10" r:id="rId2"/>
    <hyperlink ref="C12" r:id="rId3"/>
  </hyperlinks>
  <pageMargins left="0.7" right="0.7" top="0.75" bottom="0.75" header="0.511811023622047" footer="0.511811023622047"/>
  <pageSetup paperSize="9" orientation="portrait" horizontalDpi="300" verticalDpi="300" r:id="rId4"/>
  <drawing r:id="rId5"/>
  <extLst>
    <ext xmlns:x14="http://schemas.microsoft.com/office/spreadsheetml/2009/9/main" uri="{CCE6A557-97BC-4b89-ADB6-D9C93CAAB3DF}">
      <x14:dataValidations xmlns:xm="http://schemas.microsoft.com/office/excel/2006/main" count="26">
        <x14:dataValidation type="list" allowBlank="1" showInputMessage="1" showErrorMessage="1">
          <x14:formula1>
            <xm:f>'Parametre Sayfası'!$M$14:$M$15</xm:f>
          </x14:formula1>
          <x14:formula2>
            <xm:f>0</xm:f>
          </x14:formula2>
          <xm:sqref>C28</xm:sqref>
        </x14:dataValidation>
        <x14:dataValidation type="list" allowBlank="1" showInputMessage="1" showErrorMessage="1">
          <x14:formula1>
            <xm:f>'Parametre Sayfası'!$M$3:$M$7</xm:f>
          </x14:formula1>
          <x14:formula2>
            <xm:f>0</xm:f>
          </x14:formula2>
          <xm:sqref>C25</xm:sqref>
        </x14:dataValidation>
        <x14:dataValidation type="list" allowBlank="1" showInputMessage="1" showErrorMessage="1">
          <x14:formula1>
            <xm:f>'Parametre Sayfası'!$H$14:$H$17</xm:f>
          </x14:formula1>
          <x14:formula2>
            <xm:f>0</xm:f>
          </x14:formula2>
          <xm:sqref>C26</xm:sqref>
        </x14:dataValidation>
        <x14:dataValidation type="list" allowBlank="1" showInputMessage="1" showErrorMessage="1">
          <x14:formula1>
            <xm:f>'Parametre Sayfası'!$F$3:$F$8</xm:f>
          </x14:formula1>
          <x14:formula2>
            <xm:f>0</xm:f>
          </x14:formula2>
          <xm:sqref>F20</xm:sqref>
        </x14:dataValidation>
        <x14:dataValidation type="list" allowBlank="1" showInputMessage="1" showErrorMessage="1">
          <x14:formula1>
            <xm:f>'Parametre Sayfası'!$I$3:$I$7</xm:f>
          </x14:formula1>
          <x14:formula2>
            <xm:f>0</xm:f>
          </x14:formula2>
          <xm:sqref>F22:G22</xm:sqref>
        </x14:dataValidation>
        <x14:dataValidation type="list" allowBlank="1" showInputMessage="1" showErrorMessage="1">
          <x14:formula1>
            <xm:f>'Parametre Sayfası'!$K$3:$K$7</xm:f>
          </x14:formula1>
          <x14:formula2>
            <xm:f>0</xm:f>
          </x14:formula2>
          <xm:sqref>F23:G23</xm:sqref>
        </x14:dataValidation>
        <x14:dataValidation type="list" allowBlank="1" showInputMessage="1" showErrorMessage="1">
          <x14:formula1>
            <xm:f>'Parametre Sayfası'!$O$3:$O$7</xm:f>
          </x14:formula1>
          <x14:formula2>
            <xm:f>0</xm:f>
          </x14:formula2>
          <xm:sqref>G24</xm:sqref>
        </x14:dataValidation>
        <x14:dataValidation type="list" allowBlank="1" showInputMessage="1" showErrorMessage="1">
          <x14:formula1>
            <xm:f>'Parametre Sayfası'!$R$3:$R$7</xm:f>
          </x14:formula1>
          <x14:formula2>
            <xm:f>0</xm:f>
          </x14:formula2>
          <xm:sqref>G25</xm:sqref>
        </x14:dataValidation>
        <x14:dataValidation type="list" allowBlank="1" showInputMessage="1" showErrorMessage="1">
          <x14:formula1>
            <xm:f>'Parametre Sayfası'!$J$14:$J$17</xm:f>
          </x14:formula1>
          <x14:formula2>
            <xm:f>0</xm:f>
          </x14:formula2>
          <xm:sqref>G26</xm:sqref>
        </x14:dataValidation>
        <x14:dataValidation type="list" allowBlank="1" showInputMessage="1" showErrorMessage="1">
          <x14:formula1>
            <xm:f>'Parametre Sayfası'!$O$14:$O$15</xm:f>
          </x14:formula1>
          <x14:formula2>
            <xm:f>0</xm:f>
          </x14:formula2>
          <xm:sqref>F28:G28</xm:sqref>
        </x14:dataValidation>
        <x14:dataValidation type="list" allowBlank="1" showInputMessage="1" showErrorMessage="1">
          <x14:formula1>
            <xm:f>'Parametre Sayfası'!$M$14:$M$16</xm:f>
          </x14:formula1>
          <x14:formula2>
            <xm:f>0</xm:f>
          </x14:formula2>
          <xm:sqref>C27</xm:sqref>
        </x14:dataValidation>
        <x14:dataValidation type="list" allowBlank="1" showInputMessage="1" showErrorMessage="1">
          <x14:formula1>
            <xm:f>'Parametre Sayfası'!$O$14:$O$16</xm:f>
          </x14:formula1>
          <x14:formula2>
            <xm:f>0</xm:f>
          </x14:formula2>
          <xm:sqref>F27:G27</xm:sqref>
        </x14:dataValidation>
        <x14:dataValidation type="list" allowBlank="1" showInputMessage="1" showErrorMessage="1">
          <x14:formula1>
            <xm:f>'Parametre Sayfası'!$T$3:$T$6</xm:f>
          </x14:formula1>
          <x14:formula2>
            <xm:f>0</xm:f>
          </x14:formula2>
          <xm:sqref>G15</xm:sqref>
        </x14:dataValidation>
        <x14:dataValidation type="list" allowBlank="1" showInputMessage="1" showErrorMessage="1">
          <x14:formula1>
            <xm:f>'Parametre Sayfası'!$E$14:$E$25</xm:f>
          </x14:formula1>
          <x14:formula2>
            <xm:f>0</xm:f>
          </x14:formula2>
          <xm:sqref>F12:G12</xm:sqref>
        </x14:dataValidation>
        <x14:dataValidation type="list" allowBlank="1" showInputMessage="1" showErrorMessage="1">
          <x14:formula1>
            <xm:f>'Parametre Sayfası'!$D$14:$D$17</xm:f>
          </x14:formula1>
          <x14:formula2>
            <xm:f>0</xm:f>
          </x14:formula2>
          <xm:sqref>C14</xm:sqref>
        </x14:dataValidation>
        <x14:dataValidation type="list" allowBlank="1" showInputMessage="1" showErrorMessage="1">
          <x14:formula1>
            <xm:f>'Parametre Sayfası'!$B$3:$B$6</xm:f>
          </x14:formula1>
          <x14:formula2>
            <xm:f>0</xm:f>
          </x14:formula2>
          <xm:sqref>C20</xm:sqref>
        </x14:dataValidation>
        <x14:dataValidation type="list" allowBlank="1" showInputMessage="1" showErrorMessage="1">
          <x14:formula1>
            <xm:f>'Parametre Sayfası'!$Q$3</xm:f>
          </x14:formula1>
          <x14:formula2>
            <xm:f>0</xm:f>
          </x14:formula2>
          <xm:sqref>C23</xm:sqref>
        </x14:dataValidation>
        <x14:dataValidation type="list" allowBlank="1" showInputMessage="1" showErrorMessage="1">
          <x14:formula1>
            <xm:f>'Parametre Sayfası'!$P$3:$P$4</xm:f>
          </x14:formula1>
          <x14:formula2>
            <xm:f>0</xm:f>
          </x14:formula2>
          <xm:sqref>C24</xm:sqref>
        </x14:dataValidation>
        <x14:dataValidation type="list" allowBlank="1" showInputMessage="1" showErrorMessage="1">
          <x14:formula1>
            <xm:f>'Parametre Sayfası'!$O$3:$O$5</xm:f>
          </x14:formula1>
          <x14:formula2>
            <xm:f>0</xm:f>
          </x14:formula2>
          <xm:sqref>F24</xm:sqref>
        </x14:dataValidation>
        <x14:dataValidation type="list" allowBlank="1" showInputMessage="1" showErrorMessage="1">
          <x14:formula1>
            <xm:f>'Parametre Sayfası'!$R$3:$R$5</xm:f>
          </x14:formula1>
          <x14:formula2>
            <xm:f>0</xm:f>
          </x14:formula2>
          <xm:sqref>F25</xm:sqref>
        </x14:dataValidation>
        <x14:dataValidation type="list" allowBlank="1" showInputMessage="1" showErrorMessage="1">
          <x14:formula1>
            <xm:f>'Parametre Sayfası'!$F$14:$F$15</xm:f>
          </x14:formula1>
          <x14:formula2>
            <xm:f>0</xm:f>
          </x14:formula2>
          <xm:sqref>C17</xm:sqref>
        </x14:dataValidation>
        <x14:dataValidation type="list" allowBlank="1" showInputMessage="1" showErrorMessage="1">
          <x14:formula1>
            <xm:f>'Parametre Sayfası'!$J$14:$J$15</xm:f>
          </x14:formula1>
          <x14:formula2>
            <xm:f>0</xm:f>
          </x14:formula2>
          <xm:sqref>F26</xm:sqref>
        </x14:dataValidation>
        <x14:dataValidation type="list" allowBlank="1" showInputMessage="1" showErrorMessage="1">
          <x14:formula1>
            <xm:f>'Parametre Sayfası'!$T$2:$T$5</xm:f>
          </x14:formula1>
          <x14:formula2>
            <xm:f>0</xm:f>
          </x14:formula2>
          <xm:sqref>F15</xm:sqref>
        </x14:dataValidation>
        <x14:dataValidation type="list" allowBlank="1" showInputMessage="1" showErrorMessage="1">
          <x14:formula1>
            <xm:f>'Parametre Sayfası'!$C$3:$C$11</xm:f>
          </x14:formula1>
          <x14:formula2>
            <xm:f>0</xm:f>
          </x14:formula2>
          <xm:sqref>C21</xm:sqref>
        </x14:dataValidation>
        <x14:dataValidation type="list" allowBlank="1" showInputMessage="1" showErrorMessage="1">
          <x14:formula1>
            <xm:f>'Parametre Sayfası'!$L$14:$L$17</xm:f>
          </x14:formula1>
          <x14:formula2>
            <xm:f>0</xm:f>
          </x14:formula2>
          <xm:sqref>C11</xm:sqref>
        </x14:dataValidation>
        <x14:dataValidation type="list" allowBlank="1" showInputMessage="1" showErrorMessage="1">
          <x14:formula1>
            <xm:f>'Parametre Sayfası'!$L$14:$L$15</xm:f>
          </x14:formula1>
          <x14:formula2>
            <xm:f>0</xm:f>
          </x14:formula2>
          <xm:sqref>C16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6"/>
  <sheetViews>
    <sheetView showGridLines="0" view="pageBreakPreview" topLeftCell="A13" zoomScale="95" zoomScaleNormal="100" zoomScalePageLayoutView="95" workbookViewId="0">
      <selection activeCell="C49" sqref="C49"/>
    </sheetView>
  </sheetViews>
  <sheetFormatPr defaultColWidth="8.7109375" defaultRowHeight="15"/>
  <cols>
    <col min="1" max="3" width="10.7109375" style="67" customWidth="1"/>
    <col min="4" max="4" width="9.85546875" style="67" customWidth="1"/>
    <col min="5" max="5" width="11.7109375" style="67" customWidth="1"/>
    <col min="6" max="10" width="10.7109375" style="67" customWidth="1"/>
    <col min="11" max="11" width="9.140625" style="67" customWidth="1"/>
  </cols>
  <sheetData>
    <row r="1" spans="2:10" ht="15" customHeight="1"/>
    <row r="2" spans="2:10" ht="15" customHeight="1"/>
    <row r="3" spans="2:10" ht="15" customHeight="1">
      <c r="F3" s="68"/>
      <c r="G3" s="300" t="s">
        <v>162</v>
      </c>
      <c r="H3" s="300"/>
      <c r="I3" s="300"/>
      <c r="J3" s="300"/>
    </row>
    <row r="4" spans="2:10" ht="15" customHeight="1">
      <c r="F4" s="68"/>
      <c r="G4" s="300"/>
      <c r="H4" s="300"/>
      <c r="I4" s="300"/>
      <c r="J4" s="300"/>
    </row>
    <row r="5" spans="2:10" ht="15" customHeight="1">
      <c r="G5" s="69"/>
      <c r="H5" s="69"/>
      <c r="I5" s="70" t="s">
        <v>163</v>
      </c>
      <c r="J5" s="71">
        <f>'Bilgi Giriş Sayfası'!C13</f>
        <v>5003</v>
      </c>
    </row>
    <row r="6" spans="2:10" ht="15" customHeight="1">
      <c r="B6" s="72"/>
      <c r="C6" s="72"/>
      <c r="D6" s="72"/>
      <c r="E6" s="72"/>
      <c r="F6" s="72"/>
      <c r="G6" s="73"/>
      <c r="H6" s="73"/>
      <c r="I6" s="73"/>
      <c r="J6" s="73"/>
    </row>
    <row r="7" spans="2:10" ht="15" customHeight="1">
      <c r="B7" s="74" t="s">
        <v>164</v>
      </c>
      <c r="C7" s="72"/>
      <c r="D7" s="72"/>
      <c r="E7" s="72"/>
      <c r="F7" s="72"/>
      <c r="G7" s="71" t="s">
        <v>165</v>
      </c>
      <c r="H7" s="72"/>
      <c r="I7" s="72"/>
      <c r="J7" s="72"/>
    </row>
    <row r="8" spans="2:10" ht="15" customHeight="1">
      <c r="B8" s="72" t="s">
        <v>166</v>
      </c>
      <c r="C8" s="72"/>
      <c r="D8" s="72"/>
      <c r="E8" s="72"/>
      <c r="F8" s="72"/>
      <c r="G8" s="75" t="s">
        <v>167</v>
      </c>
      <c r="H8" s="303" t="str">
        <f>'Bilgi Giriş Sayfası'!C2</f>
        <v>Aygen Mekatronik San.Ve Tic.Ltd.Şti</v>
      </c>
      <c r="I8" s="303"/>
      <c r="J8" s="303"/>
    </row>
    <row r="9" spans="2:10" ht="15" customHeight="1">
      <c r="B9" s="72" t="s">
        <v>168</v>
      </c>
      <c r="C9" s="72"/>
      <c r="D9" s="72" t="s">
        <v>169</v>
      </c>
      <c r="E9" s="72"/>
      <c r="F9" s="72"/>
      <c r="G9" s="75" t="s">
        <v>170</v>
      </c>
      <c r="H9" s="303" t="str">
        <f>'Bilgi Giriş Sayfası'!C4:C4</f>
        <v>Hatay</v>
      </c>
      <c r="I9" s="303"/>
      <c r="J9" s="303"/>
    </row>
    <row r="10" spans="2:10" ht="15" customHeight="1">
      <c r="B10" s="72"/>
      <c r="C10" s="72"/>
      <c r="D10" s="72"/>
      <c r="E10" s="72"/>
      <c r="F10" s="72"/>
      <c r="G10" s="75" t="s">
        <v>171</v>
      </c>
      <c r="H10" s="303" t="str">
        <f>'Bilgi Giriş Sayfası'!C7</f>
        <v>+90 535 237 58 21</v>
      </c>
      <c r="I10" s="303"/>
      <c r="J10" s="303"/>
    </row>
    <row r="11" spans="2:10" ht="15" customHeight="1">
      <c r="B11" s="72"/>
      <c r="C11" s="72"/>
      <c r="D11" s="72"/>
      <c r="E11" s="72"/>
      <c r="F11" s="72"/>
      <c r="G11" s="75" t="s">
        <v>172</v>
      </c>
      <c r="H11" s="303" t="str">
        <f>'Bilgi Giriş Sayfası'!C9</f>
        <v>-</v>
      </c>
      <c r="I11" s="303"/>
      <c r="J11" s="303"/>
    </row>
    <row r="12" spans="2:10" ht="15" customHeight="1">
      <c r="B12" s="72"/>
      <c r="C12" s="72"/>
      <c r="D12" s="72"/>
      <c r="E12" s="72"/>
      <c r="F12" s="72"/>
      <c r="G12" s="75" t="s">
        <v>173</v>
      </c>
      <c r="H12" s="303" t="str">
        <f>'Bilgi Giriş Sayfası'!C3</f>
        <v>Koray Aygen</v>
      </c>
      <c r="I12" s="303"/>
      <c r="J12" s="303"/>
    </row>
    <row r="13" spans="2:10" ht="15" customHeight="1">
      <c r="B13" s="72"/>
      <c r="C13" s="72"/>
      <c r="D13" s="72"/>
      <c r="E13" s="72"/>
      <c r="F13" s="72"/>
      <c r="G13" s="75" t="s">
        <v>174</v>
      </c>
      <c r="H13" s="76" t="str">
        <f>'Bilgi Giriş Sayfası'!C8</f>
        <v>-</v>
      </c>
      <c r="I13" s="77"/>
      <c r="J13" s="77"/>
    </row>
    <row r="14" spans="2:10" ht="15" customHeight="1">
      <c r="B14" s="72"/>
      <c r="C14" s="72"/>
      <c r="D14" s="72"/>
      <c r="E14" s="72"/>
      <c r="F14" s="72"/>
      <c r="G14" s="75" t="s">
        <v>175</v>
      </c>
      <c r="H14" s="76" t="str">
        <f>'Bilgi Giriş Sayfası'!C10</f>
        <v>-</v>
      </c>
      <c r="I14" s="72"/>
      <c r="J14" s="72"/>
    </row>
    <row r="15" spans="2:10" ht="15" customHeight="1">
      <c r="B15" s="72"/>
      <c r="C15" s="72"/>
      <c r="D15" s="72"/>
      <c r="E15" s="72"/>
      <c r="F15" s="72"/>
      <c r="G15" s="78"/>
      <c r="H15" s="78"/>
      <c r="I15" s="78"/>
      <c r="J15" s="78"/>
    </row>
    <row r="16" spans="2:10" ht="15" customHeight="1">
      <c r="B16" s="72"/>
      <c r="C16" s="72"/>
      <c r="D16" s="72"/>
      <c r="E16" s="72"/>
      <c r="F16" s="72"/>
      <c r="G16" s="73"/>
      <c r="H16" s="73"/>
      <c r="I16" s="73"/>
      <c r="J16" s="73"/>
    </row>
    <row r="17" spans="2:10" ht="15" customHeight="1">
      <c r="B17" s="72"/>
      <c r="C17" s="72"/>
      <c r="D17" s="72"/>
      <c r="E17" s="72"/>
      <c r="F17" s="72"/>
      <c r="G17" s="71" t="s">
        <v>176</v>
      </c>
      <c r="H17" s="72"/>
      <c r="I17" s="304">
        <f ca="1">'Bilgi Giriş Sayfası'!F16</f>
        <v>44587</v>
      </c>
      <c r="J17" s="304"/>
    </row>
    <row r="18" spans="2:10" ht="15" customHeight="1">
      <c r="B18" s="72"/>
      <c r="C18" s="72"/>
      <c r="D18" s="72"/>
      <c r="E18" s="72"/>
      <c r="F18" s="72"/>
      <c r="G18" s="71" t="s">
        <v>177</v>
      </c>
      <c r="H18" s="80"/>
      <c r="I18" s="80" t="s">
        <v>178</v>
      </c>
      <c r="J18" s="80"/>
    </row>
    <row r="19" spans="2:10" ht="15" customHeight="1">
      <c r="B19" s="72"/>
      <c r="C19" s="72"/>
      <c r="D19" s="72"/>
      <c r="E19" s="72"/>
      <c r="F19" s="72"/>
      <c r="G19" s="78"/>
      <c r="H19" s="78"/>
      <c r="I19" s="78"/>
      <c r="J19" s="78"/>
    </row>
    <row r="20" spans="2:10" ht="15" customHeight="1">
      <c r="B20" s="72"/>
      <c r="C20" s="72"/>
      <c r="D20" s="72"/>
      <c r="E20" s="72"/>
      <c r="F20" s="72"/>
      <c r="G20" s="73"/>
      <c r="H20" s="73"/>
      <c r="I20" s="73"/>
      <c r="J20" s="73"/>
    </row>
    <row r="21" spans="2:10" ht="15" customHeight="1">
      <c r="B21" s="72"/>
      <c r="C21" s="72"/>
      <c r="D21" s="72"/>
      <c r="E21" s="72"/>
      <c r="F21" s="72"/>
      <c r="G21" s="72"/>
      <c r="H21" s="72"/>
      <c r="I21" s="72"/>
      <c r="J21" s="72"/>
    </row>
    <row r="22" spans="2:10" ht="15" customHeight="1">
      <c r="B22" s="81" t="s">
        <v>179</v>
      </c>
      <c r="C22" s="81"/>
      <c r="D22" s="81"/>
      <c r="E22" s="81"/>
      <c r="F22" s="72"/>
      <c r="G22" s="82" t="s">
        <v>180</v>
      </c>
      <c r="H22" s="82" t="s">
        <v>181</v>
      </c>
      <c r="I22" s="82" t="s">
        <v>130</v>
      </c>
      <c r="J22" s="82" t="s">
        <v>182</v>
      </c>
    </row>
    <row r="23" spans="2:10" ht="15" customHeight="1">
      <c r="B23" s="83"/>
      <c r="C23" s="83"/>
      <c r="D23" s="83"/>
      <c r="E23" s="83"/>
      <c r="F23" s="83"/>
      <c r="G23" s="84"/>
      <c r="H23" s="85" t="s">
        <v>183</v>
      </c>
      <c r="I23" s="86">
        <v>0.18</v>
      </c>
      <c r="J23" s="85"/>
    </row>
    <row r="24" spans="2:10" ht="15" customHeight="1"/>
    <row r="25" spans="2:10" ht="15" customHeight="1"/>
    <row r="26" spans="2:10" ht="15" customHeight="1">
      <c r="B26" s="302" t="str">
        <f>"ROBOCUT "&amp;'Bilgi Giriş Sayfası'!C20&amp;" CNC PLAZMA KESİM MAKİNESİ"</f>
        <v>ROBOCUT RED LİNE CNC PLAZMA KESİM MAKİNESİ</v>
      </c>
      <c r="C26" s="302"/>
      <c r="D26" s="302"/>
      <c r="E26" s="302"/>
      <c r="F26" s="302"/>
      <c r="G26" s="87">
        <v>1</v>
      </c>
      <c r="H26" s="88">
        <f>'Bilgi Giriş Sayfası'!F3*'Bilgi Giriş Sayfası'!G3</f>
        <v>217000</v>
      </c>
      <c r="I26" s="88">
        <f>H26*18%</f>
        <v>39060</v>
      </c>
      <c r="J26" s="88">
        <f>(H26)+(H26*18%)</f>
        <v>256060</v>
      </c>
    </row>
    <row r="27" spans="2:10" ht="15" customHeight="1">
      <c r="B27" s="79"/>
      <c r="C27" s="79"/>
      <c r="D27" s="79"/>
      <c r="E27" s="79"/>
      <c r="F27" s="79"/>
      <c r="G27" s="89"/>
      <c r="H27" s="90"/>
      <c r="I27" s="90"/>
      <c r="J27" s="90"/>
    </row>
    <row r="28" spans="2:10" ht="15" customHeight="1">
      <c r="B28" s="72"/>
      <c r="C28" s="91" t="str">
        <f>'Bilgi Giriş Sayfası'!F20&amp;" Kesim Alanı"</f>
        <v>1500 x 3000 mm Kesim Alanı</v>
      </c>
      <c r="D28" s="92"/>
      <c r="E28" s="92"/>
      <c r="F28" s="92"/>
      <c r="G28" s="72"/>
      <c r="H28" s="72"/>
      <c r="I28" s="72"/>
      <c r="J28" s="72"/>
    </row>
    <row r="29" spans="2:10" ht="15" customHeight="1">
      <c r="B29" s="72"/>
      <c r="C29" s="91" t="str">
        <f>'Bilgi Giriş Sayfası'!F21&amp;" Tezgah Ölçüleri"</f>
        <v>2300 x 4000 mm Tezgah Ölçüleri</v>
      </c>
      <c r="D29" s="92"/>
      <c r="E29" s="92"/>
      <c r="F29" s="92"/>
      <c r="G29" s="72"/>
      <c r="H29" s="72"/>
      <c r="I29" s="72"/>
      <c r="J29" s="72"/>
    </row>
    <row r="30" spans="2:10" ht="15" customHeight="1">
      <c r="B30" s="72"/>
      <c r="C30" s="91" t="str">
        <f>'Bilgi Giriş Sayfası'!C21  &amp;  " Plazma Kesim Ünitesi"</f>
        <v>Hypertherm Powermax 105 Plazma Kesim Ünitesi</v>
      </c>
      <c r="D30" s="92"/>
      <c r="E30" s="92"/>
      <c r="F30" s="92"/>
      <c r="G30" s="72"/>
      <c r="H30" s="72"/>
      <c r="I30" s="72"/>
      <c r="J30" s="72"/>
    </row>
    <row r="31" spans="2:10" ht="15" customHeight="1">
      <c r="B31" s="72"/>
      <c r="C31" s="91" t="str">
        <f>"Dünyanın En İyi Kesim Teknolojisi İle  (Siyah Saç) Kalınlık "&amp;'Bilgi Giriş Sayfası'!C22</f>
        <v>Dünyanın En İyi Kesim Teknolojisi İle  (Siyah Saç) Kalınlık 1 mm - 22 mm</v>
      </c>
      <c r="D31" s="92"/>
      <c r="E31" s="92"/>
      <c r="F31" s="92"/>
      <c r="G31" s="72"/>
      <c r="H31" s="72"/>
      <c r="I31" s="72"/>
      <c r="J31" s="72"/>
    </row>
    <row r="32" spans="2:10" ht="15" customHeight="1">
      <c r="B32" s="72"/>
      <c r="C32" s="91" t="s">
        <v>184</v>
      </c>
      <c r="D32" s="92"/>
      <c r="E32" s="92"/>
      <c r="F32" s="92"/>
      <c r="G32" s="72"/>
      <c r="H32" s="72"/>
      <c r="I32" s="72"/>
      <c r="J32" s="72"/>
    </row>
    <row r="33" spans="2:14" ht="15" customHeight="1">
      <c r="B33" s="72"/>
      <c r="C33" s="91" t="str">
        <f>'Bilgi Giriş Sayfası'!F23&amp;" Yükseklik Kontrol Cihazı"</f>
        <v>Kapasitif Yükseklik Kontrol Cihazı</v>
      </c>
      <c r="D33" s="92"/>
      <c r="E33" s="92"/>
      <c r="F33" s="92"/>
      <c r="G33" s="72"/>
      <c r="H33" s="72"/>
      <c r="I33" s="72"/>
      <c r="J33" s="72"/>
    </row>
    <row r="34" spans="2:14" ht="15" customHeight="1">
      <c r="B34" s="72"/>
      <c r="C34" s="91" t="s">
        <v>185</v>
      </c>
      <c r="D34" s="92"/>
      <c r="E34" s="92"/>
      <c r="F34" s="92"/>
      <c r="G34" s="72"/>
      <c r="H34" s="72"/>
      <c r="I34" s="72"/>
      <c r="J34" s="72"/>
    </row>
    <row r="35" spans="2:14" ht="15" customHeight="1">
      <c r="B35" s="72"/>
      <c r="C35" s="91" t="s">
        <v>186</v>
      </c>
      <c r="D35" s="92"/>
      <c r="E35" s="92"/>
      <c r="F35" s="92"/>
      <c r="G35" s="72"/>
      <c r="H35" s="72"/>
      <c r="I35" s="72"/>
      <c r="J35" s="72"/>
    </row>
    <row r="36" spans="2:14" ht="15" customHeight="1">
      <c r="B36" s="72"/>
      <c r="C36" s="91" t="str">
        <f>"Hassas Taşlanmış "&amp; 'Bilgi Giriş Sayfası'!C23 &amp; " 'larda Hareket"</f>
        <v>Hassas Taşlanmış Hassas Lineer Ray 'larda Hareket</v>
      </c>
      <c r="D36" s="92"/>
      <c r="E36" s="92"/>
      <c r="F36" s="92"/>
      <c r="G36" s="72"/>
      <c r="H36" s="72"/>
      <c r="I36" s="72"/>
      <c r="J36" s="72"/>
    </row>
    <row r="37" spans="2:14" ht="15" customHeight="1">
      <c r="B37" s="72"/>
      <c r="C37" s="91" t="str">
        <f>"Hassas Taşlanmış "&amp;'Bilgi Giriş Sayfası'!C24&amp;" Tahrik Sistemi Sayesinde Titreşimsiz Hareket"</f>
        <v>Hassas Taşlanmış Hassas Helis Kremayer Tahrik Sistemi Sayesinde Titreşimsiz Hareket</v>
      </c>
      <c r="D37" s="92"/>
      <c r="E37" s="92"/>
      <c r="F37" s="92"/>
      <c r="G37" s="72"/>
      <c r="H37" s="72"/>
      <c r="I37" s="72"/>
      <c r="J37" s="72"/>
      <c r="N37" s="93"/>
    </row>
    <row r="38" spans="2:14" ht="15" customHeight="1">
      <c r="B38" s="72"/>
      <c r="C38" s="91" t="str">
        <f>'Bilgi Giriş Sayfası'!C25&amp;" Motorlar ve Sürücüler"</f>
        <v>8,5 Nm Leadshine Digital Stepper Motorlar ve Sürücüler</v>
      </c>
      <c r="D38" s="92"/>
      <c r="E38" s="92"/>
      <c r="F38" s="92"/>
      <c r="G38" s="72"/>
      <c r="H38" s="72"/>
      <c r="I38" s="72"/>
      <c r="J38" s="72"/>
    </row>
    <row r="39" spans="2:14" ht="15" customHeight="1">
      <c r="B39" s="72"/>
      <c r="C39" s="91" t="str">
        <f>'Bilgi Giriş Sayfası'!F22&amp;" Cnc Kontrol Ünitesi "</f>
        <v xml:space="preserve">Windows Cnc Kontrol Ünitesi </v>
      </c>
      <c r="D39" s="92"/>
      <c r="E39" s="92"/>
      <c r="F39" s="92"/>
      <c r="G39" s="72"/>
      <c r="H39" s="72"/>
      <c r="I39" s="72"/>
      <c r="J39" s="72"/>
    </row>
    <row r="40" spans="2:14" ht="15" customHeight="1">
      <c r="B40" s="72"/>
      <c r="C40" s="91" t="s">
        <v>187</v>
      </c>
      <c r="D40" s="92"/>
      <c r="E40" s="92"/>
      <c r="F40" s="92"/>
      <c r="G40" s="72"/>
      <c r="H40" s="72"/>
      <c r="I40" s="72"/>
      <c r="J40" s="72"/>
    </row>
    <row r="41" spans="2:14" ht="15" customHeight="1">
      <c r="B41" s="72"/>
      <c r="C41" s="91" t="s">
        <v>188</v>
      </c>
      <c r="D41" s="92"/>
      <c r="E41" s="92"/>
      <c r="F41" s="92"/>
      <c r="G41" s="72"/>
      <c r="H41" s="72"/>
      <c r="I41" s="72"/>
      <c r="J41" s="72"/>
    </row>
    <row r="42" spans="2:14" ht="15" customHeight="1">
      <c r="B42" s="72"/>
      <c r="C42" s="91" t="s">
        <v>189</v>
      </c>
      <c r="D42" s="92"/>
      <c r="E42" s="92"/>
      <c r="F42" s="92"/>
      <c r="G42" s="72"/>
      <c r="H42" s="72"/>
      <c r="I42" s="72"/>
      <c r="J42" s="72"/>
    </row>
    <row r="43" spans="2:14" ht="15" customHeight="1">
      <c r="B43" s="72"/>
      <c r="C43" s="91" t="s">
        <v>190</v>
      </c>
      <c r="D43" s="92"/>
      <c r="E43" s="92"/>
      <c r="F43" s="92"/>
      <c r="G43" s="72"/>
      <c r="H43" s="72"/>
      <c r="I43" s="72"/>
      <c r="J43" s="72"/>
    </row>
    <row r="44" spans="2:14" ht="15" customHeight="1">
      <c r="B44" s="72"/>
      <c r="C44" s="91" t="s">
        <v>191</v>
      </c>
      <c r="D44" s="92"/>
      <c r="E44" s="92"/>
      <c r="F44" s="92"/>
      <c r="G44" s="72"/>
      <c r="H44" s="72"/>
      <c r="I44" s="72"/>
      <c r="J44" s="72"/>
    </row>
    <row r="45" spans="2:14" ht="15" customHeight="1">
      <c r="B45" s="72"/>
      <c r="C45" s="91" t="s">
        <v>192</v>
      </c>
      <c r="D45" s="92"/>
      <c r="E45" s="92"/>
      <c r="F45" s="92"/>
      <c r="G45" s="72"/>
      <c r="H45" s="72"/>
      <c r="I45" s="72"/>
      <c r="J45" s="72"/>
    </row>
    <row r="46" spans="2:14" ht="15" customHeight="1">
      <c r="B46" s="72"/>
      <c r="C46" s="91" t="s">
        <v>193</v>
      </c>
      <c r="D46" s="92"/>
      <c r="E46" s="92"/>
      <c r="F46" s="92"/>
      <c r="G46" s="72"/>
      <c r="H46" s="72"/>
      <c r="I46" s="72"/>
      <c r="J46" s="72"/>
    </row>
    <row r="47" spans="2:14" ht="15" customHeight="1">
      <c r="B47" s="72"/>
      <c r="C47" s="91" t="s">
        <v>194</v>
      </c>
      <c r="D47" s="92"/>
      <c r="E47" s="92"/>
      <c r="F47" s="92"/>
      <c r="G47" s="72"/>
      <c r="H47" s="72"/>
      <c r="I47" s="72"/>
      <c r="J47" s="72"/>
    </row>
    <row r="48" spans="2:14" ht="15" customHeight="1">
      <c r="B48" s="72"/>
      <c r="C48" s="91" t="s">
        <v>195</v>
      </c>
      <c r="D48" s="92"/>
      <c r="E48" s="92"/>
      <c r="F48" s="92"/>
      <c r="G48" s="72"/>
      <c r="H48" s="72"/>
      <c r="I48" s="72"/>
      <c r="J48" s="72"/>
    </row>
    <row r="49" spans="2:10" ht="15" customHeight="1">
      <c r="B49" s="72"/>
      <c r="C49" s="91" t="s">
        <v>196</v>
      </c>
      <c r="D49" s="92"/>
      <c r="E49" s="92"/>
      <c r="F49" s="92"/>
      <c r="G49" s="72"/>
      <c r="H49" s="72"/>
      <c r="I49" s="72"/>
      <c r="J49" s="72"/>
    </row>
    <row r="50" spans="2:10" ht="15" customHeight="1">
      <c r="B50" s="72"/>
      <c r="C50" s="91"/>
      <c r="D50" s="92"/>
      <c r="E50" s="92"/>
      <c r="F50" s="81"/>
      <c r="G50" s="72"/>
      <c r="H50" s="72"/>
      <c r="I50" s="72"/>
      <c r="J50" s="72"/>
    </row>
    <row r="51" spans="2:10" ht="15" customHeight="1">
      <c r="B51" s="72"/>
      <c r="C51" s="91"/>
      <c r="D51" s="92"/>
      <c r="E51" s="92"/>
      <c r="F51" s="91"/>
      <c r="G51" s="72"/>
      <c r="H51" s="72"/>
      <c r="I51" s="72"/>
      <c r="J51" s="72"/>
    </row>
    <row r="52" spans="2:10" ht="15" customHeight="1">
      <c r="B52" s="72"/>
      <c r="C52" s="91"/>
      <c r="D52" s="92"/>
      <c r="E52" s="92"/>
      <c r="F52" s="91"/>
      <c r="G52" s="72"/>
      <c r="H52" s="72"/>
      <c r="I52" s="72"/>
      <c r="J52" s="72"/>
    </row>
    <row r="53" spans="2:10" ht="15" customHeight="1">
      <c r="B53" s="72"/>
      <c r="C53" s="91"/>
      <c r="D53" s="92"/>
      <c r="E53" s="92"/>
      <c r="F53" s="91"/>
      <c r="G53" s="72"/>
      <c r="H53" s="72"/>
      <c r="I53" s="72"/>
      <c r="J53" s="72"/>
    </row>
    <row r="54" spans="2:10" ht="15" customHeight="1">
      <c r="B54" s="72"/>
      <c r="C54" s="91"/>
      <c r="D54" s="92"/>
      <c r="E54" s="92"/>
      <c r="F54" s="91"/>
      <c r="G54" s="72"/>
      <c r="H54" s="72"/>
      <c r="I54" s="72"/>
      <c r="J54" s="72"/>
    </row>
    <row r="55" spans="2:10" ht="15" customHeight="1">
      <c r="B55" s="94" t="s">
        <v>197</v>
      </c>
      <c r="C55" s="95"/>
      <c r="D55" s="95"/>
      <c r="E55" s="95"/>
      <c r="F55" s="95"/>
      <c r="G55" s="83"/>
      <c r="H55" s="83"/>
      <c r="I55" s="83"/>
      <c r="J55" s="83"/>
    </row>
    <row r="56" spans="2:10" ht="15" customHeight="1">
      <c r="B56" s="72"/>
      <c r="C56" s="72"/>
      <c r="D56" s="72"/>
      <c r="E56" s="72"/>
      <c r="F56" s="72"/>
      <c r="G56" s="72"/>
      <c r="H56" s="72"/>
      <c r="I56" s="72"/>
      <c r="J56" s="72"/>
    </row>
    <row r="57" spans="2:10" ht="15" customHeight="1">
      <c r="C57" s="72"/>
      <c r="D57" s="72"/>
      <c r="E57" s="72"/>
      <c r="F57" s="72"/>
      <c r="G57" s="78" t="s">
        <v>198</v>
      </c>
      <c r="H57" s="78"/>
      <c r="I57" s="305">
        <f>H26</f>
        <v>217000</v>
      </c>
      <c r="J57" s="305"/>
    </row>
    <row r="58" spans="2:10" ht="15" customHeight="1">
      <c r="B58" s="72"/>
      <c r="C58" s="72"/>
      <c r="D58" s="72"/>
      <c r="E58" s="72"/>
      <c r="F58" s="72"/>
      <c r="G58" s="96" t="s">
        <v>130</v>
      </c>
      <c r="H58" s="96"/>
      <c r="I58" s="306">
        <f>I26</f>
        <v>39060</v>
      </c>
      <c r="J58" s="306"/>
    </row>
    <row r="59" spans="2:10" ht="15" customHeight="1">
      <c r="B59" s="72"/>
      <c r="C59" s="72"/>
      <c r="D59" s="72"/>
      <c r="E59" s="72"/>
      <c r="F59" s="72"/>
      <c r="G59" s="96" t="s">
        <v>199</v>
      </c>
      <c r="H59" s="96"/>
      <c r="I59" s="299">
        <f>I57+I58</f>
        <v>256060</v>
      </c>
      <c r="J59" s="299"/>
    </row>
    <row r="60" spans="2:10" ht="15" customHeight="1">
      <c r="B60" s="72"/>
      <c r="C60" s="72"/>
      <c r="D60" s="72"/>
      <c r="E60" s="72"/>
      <c r="F60" s="72"/>
      <c r="G60" s="72"/>
      <c r="H60" s="72"/>
      <c r="I60" s="72"/>
      <c r="J60" s="72"/>
    </row>
    <row r="61" spans="2:10" ht="15" customHeight="1">
      <c r="B61" s="80"/>
      <c r="C61" s="72"/>
      <c r="D61" s="80"/>
      <c r="E61" s="80"/>
      <c r="F61" s="80"/>
      <c r="G61" s="80"/>
      <c r="H61" s="97"/>
      <c r="I61" s="97"/>
      <c r="J61" s="98" t="s">
        <v>200</v>
      </c>
    </row>
    <row r="62" spans="2:10" ht="15" customHeight="1"/>
    <row r="63" spans="2:10" ht="15" customHeight="1"/>
    <row r="64" spans="2:10" ht="15" customHeight="1"/>
    <row r="65" spans="2:10" ht="15" customHeight="1">
      <c r="F65" s="68"/>
      <c r="G65" s="300" t="s">
        <v>201</v>
      </c>
      <c r="H65" s="300"/>
      <c r="I65" s="300"/>
      <c r="J65" s="300"/>
    </row>
    <row r="66" spans="2:10" ht="15" customHeight="1">
      <c r="F66" s="68"/>
      <c r="G66" s="300"/>
      <c r="H66" s="300"/>
      <c r="I66" s="300"/>
      <c r="J66" s="300"/>
    </row>
    <row r="67" spans="2:10" ht="15" customHeight="1">
      <c r="G67" s="69"/>
      <c r="H67" s="69"/>
      <c r="I67" s="99" t="s">
        <v>163</v>
      </c>
      <c r="J67" s="100">
        <f>'Bilgi Giriş Sayfası'!C13</f>
        <v>5003</v>
      </c>
    </row>
    <row r="68" spans="2:10" ht="15" customHeight="1">
      <c r="B68" s="101"/>
      <c r="C68" s="101"/>
      <c r="D68" s="101"/>
      <c r="E68" s="101"/>
      <c r="F68" s="101"/>
      <c r="G68" s="102"/>
      <c r="H68" s="102"/>
      <c r="I68" s="102"/>
      <c r="J68" s="102"/>
    </row>
    <row r="69" spans="2:10" ht="15" customHeight="1">
      <c r="B69" s="103" t="s">
        <v>164</v>
      </c>
      <c r="C69" s="101"/>
      <c r="D69" s="101"/>
      <c r="E69" s="101"/>
      <c r="F69" s="101"/>
      <c r="G69" s="104" t="s">
        <v>202</v>
      </c>
      <c r="H69" s="101"/>
      <c r="I69" s="101"/>
      <c r="J69" s="101"/>
    </row>
    <row r="70" spans="2:10" ht="15" customHeight="1">
      <c r="B70" s="101" t="s">
        <v>166</v>
      </c>
      <c r="C70" s="101"/>
      <c r="D70" s="101"/>
      <c r="E70" s="101"/>
      <c r="F70" s="101"/>
      <c r="G70" s="105" t="s">
        <v>167</v>
      </c>
      <c r="H70" s="301" t="str">
        <f>'Bilgi Giriş Sayfası'!C11</f>
        <v>Kamil Şentürk</v>
      </c>
      <c r="I70" s="301"/>
      <c r="J70" s="301"/>
    </row>
    <row r="71" spans="2:10" ht="15" customHeight="1">
      <c r="B71" s="101" t="s">
        <v>168</v>
      </c>
      <c r="C71" s="101"/>
      <c r="D71" s="101" t="s">
        <v>169</v>
      </c>
      <c r="E71" s="101"/>
      <c r="F71" s="101"/>
      <c r="G71" s="105" t="s">
        <v>203</v>
      </c>
      <c r="H71" s="302">
        <f ca="1">'Bilgi Giriş Sayfası'!F16+'Bilgi Giriş Sayfası'!F2</f>
        <v>44590</v>
      </c>
      <c r="I71" s="302"/>
      <c r="J71" s="302"/>
    </row>
    <row r="72" spans="2:10" ht="15" customHeight="1">
      <c r="C72" s="101"/>
      <c r="D72" s="101"/>
      <c r="E72" s="101"/>
      <c r="F72" s="101"/>
      <c r="G72" s="106" t="s">
        <v>204</v>
      </c>
      <c r="H72" s="301" t="str">
        <f>'Bilgi Giriş Sayfası'!C17</f>
        <v>Konya Robocut Fabrikası</v>
      </c>
      <c r="I72" s="301"/>
      <c r="J72" s="301"/>
    </row>
    <row r="73" spans="2:10" ht="15" customHeight="1">
      <c r="B73" s="101"/>
      <c r="C73" s="101"/>
      <c r="D73" s="101"/>
      <c r="E73" s="101"/>
      <c r="F73" s="101"/>
      <c r="G73" s="107"/>
      <c r="H73" s="107"/>
      <c r="I73" s="107"/>
      <c r="J73" s="107"/>
    </row>
    <row r="74" spans="2:10" ht="15" customHeight="1">
      <c r="B74" s="101"/>
      <c r="C74" s="101"/>
      <c r="D74" s="101"/>
      <c r="E74" s="101"/>
      <c r="F74" s="101"/>
      <c r="G74" s="102"/>
      <c r="H74" s="102"/>
      <c r="I74" s="102"/>
      <c r="J74" s="102"/>
    </row>
    <row r="75" spans="2:10" ht="15" customHeight="1"/>
    <row r="76" spans="2:10" ht="15" customHeight="1">
      <c r="B76" s="289" t="s">
        <v>205</v>
      </c>
      <c r="C76" s="289"/>
      <c r="D76" s="289"/>
      <c r="E76" s="289"/>
      <c r="F76" s="101"/>
      <c r="G76" s="295" t="s">
        <v>206</v>
      </c>
      <c r="H76" s="295"/>
      <c r="I76" s="295"/>
      <c r="J76" s="295"/>
    </row>
    <row r="77" spans="2:10" ht="15" customHeight="1">
      <c r="B77" s="107"/>
      <c r="C77" s="107"/>
      <c r="D77" s="107"/>
      <c r="E77" s="107"/>
      <c r="G77" s="107"/>
      <c r="H77" s="107"/>
      <c r="I77" s="107"/>
      <c r="J77" s="107"/>
    </row>
    <row r="78" spans="2:10" ht="15" customHeight="1">
      <c r="B78" s="102"/>
      <c r="C78" s="102"/>
      <c r="D78" s="102"/>
      <c r="E78" s="102"/>
      <c r="G78" s="102"/>
      <c r="H78" s="102"/>
      <c r="I78" s="102"/>
      <c r="J78" s="102"/>
    </row>
    <row r="79" spans="2:10" ht="15" customHeight="1">
      <c r="B79" s="105" t="s">
        <v>207</v>
      </c>
      <c r="D79" s="293">
        <f>'Bilgi Giriş Sayfası'!F3*'Bilgi Giriş Sayfası'!G3</f>
        <v>217000</v>
      </c>
      <c r="E79" s="293"/>
      <c r="G79" s="75" t="s">
        <v>81</v>
      </c>
      <c r="I79" s="298">
        <f>'Bilgi Giriş Sayfası'!F12</f>
        <v>1</v>
      </c>
      <c r="J79" s="298"/>
    </row>
    <row r="80" spans="2:10" ht="15" customHeight="1">
      <c r="B80" s="105" t="s">
        <v>160</v>
      </c>
      <c r="D80" s="293">
        <f>'Bilgi Giriş Sayfası'!F4*'Bilgi Giriş Sayfası'!G4</f>
        <v>0</v>
      </c>
      <c r="E80" s="293"/>
      <c r="G80" s="75" t="s">
        <v>208</v>
      </c>
      <c r="I80" s="296">
        <f>D85*1.18</f>
        <v>256060</v>
      </c>
      <c r="J80" s="296"/>
    </row>
    <row r="81" spans="2:22" ht="15" customHeight="1">
      <c r="B81" s="105" t="s">
        <v>158</v>
      </c>
      <c r="D81" s="293">
        <f>'Bilgi Giriş Sayfası'!F5*'Bilgi Giriş Sayfası'!G5</f>
        <v>0</v>
      </c>
      <c r="E81" s="293"/>
      <c r="G81" s="75" t="s">
        <v>209</v>
      </c>
      <c r="I81" s="296">
        <f>'Bilgi Giriş Sayfası'!F11</f>
        <v>108500</v>
      </c>
      <c r="J81" s="296"/>
    </row>
    <row r="82" spans="2:22" ht="15" customHeight="1">
      <c r="B82" s="105" t="s">
        <v>210</v>
      </c>
      <c r="D82" s="293">
        <f>'Bilgi Giriş Sayfası'!F6*'Bilgi Giriş Sayfası'!G6</f>
        <v>0</v>
      </c>
      <c r="E82" s="293"/>
      <c r="G82" s="108" t="s">
        <v>211</v>
      </c>
      <c r="I82" s="296" t="str">
        <f>'Bilgi Giriş Sayfası'!F15</f>
        <v>Peşin</v>
      </c>
      <c r="J82" s="296"/>
    </row>
    <row r="83" spans="2:22" ht="15" customHeight="1">
      <c r="B83" s="105" t="s">
        <v>161</v>
      </c>
      <c r="D83" s="293">
        <f>'Bilgi Giriş Sayfası'!F7*'Bilgi Giriş Sayfası'!G7</f>
        <v>0</v>
      </c>
      <c r="E83" s="293"/>
      <c r="G83" s="75" t="s">
        <v>212</v>
      </c>
      <c r="I83" s="297">
        <f ca="1">'Bilgi Giriş Sayfası'!G14</f>
        <v>44598</v>
      </c>
      <c r="J83" s="297"/>
    </row>
    <row r="84" spans="2:22" ht="15" customHeight="1">
      <c r="B84" s="105" t="s">
        <v>213</v>
      </c>
      <c r="D84" s="293">
        <v>0</v>
      </c>
      <c r="E84" s="293"/>
      <c r="G84" s="109" t="s">
        <v>214</v>
      </c>
      <c r="H84" s="110"/>
      <c r="I84" s="294">
        <f>I80-I81</f>
        <v>147560</v>
      </c>
      <c r="J84" s="294"/>
    </row>
    <row r="85" spans="2:22" ht="15" customHeight="1">
      <c r="B85" s="111" t="s">
        <v>215</v>
      </c>
      <c r="C85" s="112"/>
      <c r="D85" s="294">
        <f>D79+D80+D81+D82+D83+D84</f>
        <v>217000</v>
      </c>
      <c r="E85" s="294"/>
    </row>
    <row r="86" spans="2:22" ht="15" customHeight="1">
      <c r="B86" s="107"/>
      <c r="C86" s="107"/>
      <c r="D86" s="107"/>
      <c r="E86" s="107"/>
      <c r="G86" s="69"/>
      <c r="H86" s="69"/>
      <c r="I86" s="69"/>
      <c r="J86" s="69"/>
    </row>
    <row r="87" spans="2:22" ht="15" customHeight="1">
      <c r="B87" s="113"/>
      <c r="C87" s="113"/>
      <c r="D87" s="113"/>
      <c r="E87" s="113"/>
      <c r="G87" s="102"/>
      <c r="H87" s="102"/>
      <c r="I87" s="102"/>
      <c r="J87" s="102"/>
      <c r="O87" s="114"/>
      <c r="P87" s="114"/>
      <c r="Q87" s="114"/>
      <c r="R87" s="114"/>
      <c r="S87" s="114"/>
      <c r="T87" s="114"/>
      <c r="U87" s="114"/>
      <c r="V87" s="114"/>
    </row>
    <row r="88" spans="2:22" ht="15" customHeight="1">
      <c r="O88" s="114"/>
      <c r="P88" s="114"/>
      <c r="Q88" s="114"/>
      <c r="R88" s="114"/>
      <c r="S88" s="114"/>
      <c r="T88" s="114"/>
      <c r="U88" s="114"/>
      <c r="V88" s="114"/>
    </row>
    <row r="89" spans="2:22" ht="15" customHeight="1">
      <c r="O89" s="114"/>
      <c r="P89" s="114"/>
      <c r="Q89" s="114"/>
      <c r="R89" s="114"/>
      <c r="S89" s="114"/>
      <c r="T89" s="114"/>
      <c r="U89" s="114"/>
      <c r="V89" s="114"/>
    </row>
    <row r="90" spans="2:22" ht="15" customHeight="1">
      <c r="B90" s="295" t="s">
        <v>216</v>
      </c>
      <c r="C90" s="295"/>
      <c r="D90" s="295"/>
      <c r="E90" s="295"/>
      <c r="F90" s="295"/>
      <c r="G90" s="295"/>
      <c r="H90" s="295"/>
      <c r="I90" s="295"/>
      <c r="J90" s="295"/>
      <c r="O90" s="114"/>
      <c r="P90" s="114"/>
      <c r="Q90" s="114"/>
      <c r="R90" s="114"/>
      <c r="S90" s="114"/>
      <c r="T90" s="114"/>
      <c r="U90" s="114"/>
      <c r="V90" s="114"/>
    </row>
    <row r="91" spans="2:22" ht="15" customHeight="1">
      <c r="B91" s="107"/>
      <c r="C91" s="107"/>
      <c r="D91" s="107"/>
      <c r="E91" s="107"/>
      <c r="F91" s="107"/>
      <c r="G91" s="101"/>
      <c r="H91" s="101"/>
      <c r="I91" s="101"/>
      <c r="J91" s="101"/>
      <c r="O91" s="114"/>
      <c r="P91" s="114"/>
      <c r="Q91" s="114"/>
      <c r="R91" s="114"/>
      <c r="S91" s="114"/>
      <c r="T91" s="114"/>
      <c r="U91" s="114"/>
      <c r="V91" s="114"/>
    </row>
    <row r="92" spans="2:22" ht="15" customHeight="1">
      <c r="B92" s="102"/>
      <c r="C92" s="102"/>
      <c r="D92" s="102"/>
      <c r="E92" s="102"/>
      <c r="F92" s="115"/>
      <c r="G92" s="102"/>
      <c r="H92" s="102"/>
      <c r="I92" s="102"/>
      <c r="J92" s="102"/>
      <c r="O92" s="114"/>
      <c r="P92" s="114"/>
      <c r="Q92" s="114"/>
      <c r="R92" s="114"/>
      <c r="S92" s="114"/>
      <c r="T92" s="114"/>
      <c r="U92" s="114"/>
      <c r="V92" s="114"/>
    </row>
    <row r="93" spans="2:22" ht="15" customHeight="1">
      <c r="B93" s="116" t="str">
        <f>IF(I79&gt;=1,"1.Taksit","")</f>
        <v>1.Taksit</v>
      </c>
      <c r="C93" s="290">
        <f ca="1">IF(I79&gt;=1,I83+31,"")</f>
        <v>44629</v>
      </c>
      <c r="D93" s="290"/>
      <c r="E93" s="117">
        <f>IF(I79&gt;=1,I84/I79,"  ")</f>
        <v>147560</v>
      </c>
      <c r="F93" s="118"/>
      <c r="G93" s="119" t="str">
        <f>IF(I79&gt;=7,"7.Taksit","")</f>
        <v/>
      </c>
      <c r="H93" s="291" t="str">
        <f>IF(I79&gt;=7,C98+31,"")</f>
        <v/>
      </c>
      <c r="I93" s="291"/>
      <c r="J93" s="120" t="str">
        <f>IF(I79&gt;=7,I84/I79,"  ")</f>
        <v xml:space="preserve">  </v>
      </c>
      <c r="K93" s="121"/>
      <c r="O93" s="114"/>
      <c r="P93" s="114"/>
      <c r="Q93" s="122"/>
      <c r="R93" s="123" t="str">
        <f>IF(N83&gt;=7,"7.Taksit","")</f>
        <v/>
      </c>
      <c r="S93" s="292" t="str">
        <f>IF(N83&gt;=7,T91/N83,"  ")</f>
        <v xml:space="preserve">  </v>
      </c>
      <c r="T93" s="292"/>
      <c r="U93" s="124" t="str">
        <f>IF(N83&gt;=7,D98+31,"")</f>
        <v/>
      </c>
      <c r="V93" s="114"/>
    </row>
    <row r="94" spans="2:22" ht="15" customHeight="1">
      <c r="B94" s="116" t="str">
        <f>IF(I79&gt;=2,"2.Taksit","  ")</f>
        <v xml:space="preserve">  </v>
      </c>
      <c r="C94" s="290" t="str">
        <f>IF(I79&gt;=2,C93+31,"")</f>
        <v/>
      </c>
      <c r="D94" s="290"/>
      <c r="E94" s="117" t="str">
        <f>IF(I79&gt;=2,I84/I79,"  ")</f>
        <v xml:space="preserve">  </v>
      </c>
      <c r="F94" s="118"/>
      <c r="G94" s="119" t="str">
        <f>IF(I79&gt;=8,"8.Taksit","")</f>
        <v/>
      </c>
      <c r="H94" s="291" t="str">
        <f>IF(I79&gt;=8,H93+31,"")</f>
        <v/>
      </c>
      <c r="I94" s="291"/>
      <c r="J94" s="120" t="str">
        <f>IF(I79&gt;=8,I84/I79,"  ")</f>
        <v xml:space="preserve">  </v>
      </c>
      <c r="O94" s="114"/>
      <c r="P94" s="114"/>
      <c r="Q94" s="122"/>
      <c r="R94" s="123" t="str">
        <f>IF(N83&gt;=8,"8.Taksit","")</f>
        <v/>
      </c>
      <c r="S94" s="292" t="str">
        <f>IF(N83&gt;=8,T91/N83,"  ")</f>
        <v xml:space="preserve">  </v>
      </c>
      <c r="T94" s="292"/>
      <c r="U94" s="124" t="str">
        <f>IF(N83&gt;=8,U93+31,"")</f>
        <v/>
      </c>
      <c r="V94" s="114"/>
    </row>
    <row r="95" spans="2:22" ht="15" customHeight="1">
      <c r="B95" s="116" t="str">
        <f>IF(I79&gt;=3,"3.Taksit","  ")</f>
        <v xml:space="preserve">  </v>
      </c>
      <c r="C95" s="290" t="str">
        <f>IF(I79&gt;=3,C94+31,"")</f>
        <v/>
      </c>
      <c r="D95" s="290"/>
      <c r="E95" s="117" t="str">
        <f>IF(I79&gt;=3,I84/I79,"  ")</f>
        <v xml:space="preserve">  </v>
      </c>
      <c r="F95" s="118"/>
      <c r="G95" s="119" t="str">
        <f>IF(I79&gt;=9,"9.Taksit","")</f>
        <v/>
      </c>
      <c r="H95" s="291" t="str">
        <f>IF(I79&gt;=9,H94+31,"")</f>
        <v/>
      </c>
      <c r="I95" s="291"/>
      <c r="J95" s="120" t="str">
        <f>IF(I79&gt;=9,I84/I79,"  ")</f>
        <v xml:space="preserve">  </v>
      </c>
      <c r="O95" s="114"/>
      <c r="P95" s="114"/>
      <c r="Q95" s="122"/>
      <c r="R95" s="123" t="str">
        <f>IF(N83&gt;=9,"9.Taksit","")</f>
        <v/>
      </c>
      <c r="S95" s="292" t="str">
        <f>IF(N83&gt;=9,T91/N83,"  ")</f>
        <v xml:space="preserve">  </v>
      </c>
      <c r="T95" s="292"/>
      <c r="U95" s="124" t="str">
        <f>IF(N83&gt;=9,U94+31,"")</f>
        <v/>
      </c>
      <c r="V95" s="114"/>
    </row>
    <row r="96" spans="2:22" ht="15" customHeight="1">
      <c r="B96" s="116" t="str">
        <f>IF(I79&gt;=4,"4.Taksit","")</f>
        <v/>
      </c>
      <c r="C96" s="290" t="str">
        <f>IF(I79&gt;=4,C95+31,"")</f>
        <v/>
      </c>
      <c r="D96" s="290"/>
      <c r="E96" s="117" t="str">
        <f>IF(I79&gt;=4,I84/I79,"  ")</f>
        <v xml:space="preserve">  </v>
      </c>
      <c r="F96" s="118"/>
      <c r="G96" s="119" t="str">
        <f>IF(I79&gt;=10,"10.Taksit","")</f>
        <v/>
      </c>
      <c r="H96" s="291" t="str">
        <f>IF(I79&gt;=10,H95+31,"")</f>
        <v/>
      </c>
      <c r="I96" s="291"/>
      <c r="J96" s="120" t="str">
        <f>IF(I79&gt;=10,I84/I79,"  ")</f>
        <v xml:space="preserve">  </v>
      </c>
      <c r="O96" s="114"/>
      <c r="P96" s="114"/>
      <c r="Q96" s="122"/>
      <c r="R96" s="123" t="str">
        <f>IF(N83&gt;=10,"10.Taksit","")</f>
        <v/>
      </c>
      <c r="S96" s="292" t="str">
        <f>IF(N83&gt;=10,T91/N83,"  ")</f>
        <v xml:space="preserve">  </v>
      </c>
      <c r="T96" s="292"/>
      <c r="U96" s="124" t="str">
        <f>IF(N83&gt;=10,U95+31,"")</f>
        <v/>
      </c>
      <c r="V96" s="114"/>
    </row>
    <row r="97" spans="1:22" ht="15" customHeight="1">
      <c r="B97" s="116" t="str">
        <f>IF(I79&gt;=5,"5.Taksit","")</f>
        <v/>
      </c>
      <c r="C97" s="290" t="str">
        <f>IF(I79&gt;=5,C96+31,"")</f>
        <v/>
      </c>
      <c r="D97" s="290"/>
      <c r="E97" s="117" t="str">
        <f>IF(I79&gt;=5,I84/I79,"  ")</f>
        <v xml:space="preserve">  </v>
      </c>
      <c r="F97" s="118"/>
      <c r="G97" s="119" t="str">
        <f>IF(I79&gt;=11,"11.Taksit","")</f>
        <v/>
      </c>
      <c r="H97" s="291" t="str">
        <f>IF(I79&gt;=11,H96+31,"")</f>
        <v/>
      </c>
      <c r="I97" s="291"/>
      <c r="J97" s="120" t="str">
        <f>IF(I79&gt;=11,I84/I79,"  ")</f>
        <v xml:space="preserve">  </v>
      </c>
      <c r="O97" s="114"/>
      <c r="P97" s="114"/>
      <c r="Q97" s="122"/>
      <c r="R97" s="123" t="str">
        <f>IF(N83&gt;=11,"11.Taksit","")</f>
        <v/>
      </c>
      <c r="S97" s="292" t="str">
        <f>IF(N83&gt;=11,T91/N83,"  ")</f>
        <v xml:space="preserve">  </v>
      </c>
      <c r="T97" s="292"/>
      <c r="U97" s="124" t="str">
        <f>IF(N83&gt;=11,U96+31,"")</f>
        <v/>
      </c>
      <c r="V97" s="114"/>
    </row>
    <row r="98" spans="1:22" ht="15" customHeight="1">
      <c r="B98" s="116" t="str">
        <f>IF(I79&gt;=6,"6.Taksit","")</f>
        <v/>
      </c>
      <c r="C98" s="290" t="str">
        <f>IF(I79&gt;=6,C97+31,"")</f>
        <v/>
      </c>
      <c r="D98" s="290"/>
      <c r="E98" s="117" t="str">
        <f>IF(I79&gt;=6,I84/I79,"  ")</f>
        <v xml:space="preserve">  </v>
      </c>
      <c r="F98" s="118"/>
      <c r="G98" s="119" t="str">
        <f>IF(I79&gt;=12,"12.Taksit","")</f>
        <v/>
      </c>
      <c r="H98" s="291" t="str">
        <f>IF(I79&gt;=12,H97+31,"")</f>
        <v/>
      </c>
      <c r="I98" s="291"/>
      <c r="J98" s="120" t="str">
        <f>IF(I79&gt;=12,I84/I79,"  ")</f>
        <v xml:space="preserve">  </v>
      </c>
      <c r="O98" s="114"/>
      <c r="P98" s="114"/>
      <c r="Q98" s="122"/>
      <c r="R98" s="123" t="str">
        <f>IF(N83&gt;=12,"12.Taksit","")</f>
        <v/>
      </c>
      <c r="S98" s="292" t="str">
        <f>IF(N83&gt;=12,T91/N83,"  ")</f>
        <v xml:space="preserve">  </v>
      </c>
      <c r="T98" s="292"/>
      <c r="U98" s="124" t="str">
        <f>IF(N83&gt;=12,U97+31,"")</f>
        <v/>
      </c>
      <c r="V98" s="114"/>
    </row>
    <row r="99" spans="1:22" ht="15" customHeight="1">
      <c r="B99" s="119"/>
      <c r="C99" s="291"/>
      <c r="D99" s="291"/>
      <c r="E99" s="120"/>
      <c r="F99" s="115"/>
      <c r="G99" s="119"/>
      <c r="H99" s="291"/>
      <c r="I99" s="291"/>
      <c r="J99" s="120"/>
      <c r="O99" s="114"/>
      <c r="P99" s="114"/>
      <c r="Q99" s="114"/>
      <c r="R99" s="114"/>
      <c r="S99" s="114"/>
      <c r="T99" s="114"/>
      <c r="U99" s="114"/>
      <c r="V99" s="114"/>
    </row>
    <row r="100" spans="1:22" ht="15" customHeight="1">
      <c r="A100" s="288" t="s">
        <v>217</v>
      </c>
      <c r="B100" s="288"/>
      <c r="C100" s="288"/>
      <c r="D100" s="288"/>
      <c r="E100" s="288"/>
      <c r="F100" s="288"/>
      <c r="G100" s="288"/>
      <c r="H100" s="288"/>
      <c r="I100" s="288"/>
      <c r="J100" s="288"/>
      <c r="K100" s="288"/>
      <c r="O100" s="114"/>
      <c r="P100" s="114"/>
      <c r="Q100" s="114"/>
      <c r="R100" s="114"/>
      <c r="S100" s="114"/>
      <c r="T100" s="114"/>
      <c r="U100" s="114"/>
      <c r="V100" s="114"/>
    </row>
    <row r="101" spans="1:22" ht="15" customHeight="1">
      <c r="A101" s="288" t="str">
        <f>IF('Bilgi Giriş Sayfası'!C14='Parametre Sayfası'!D14,'Parametre Sayfası'!B33,IF('Bilgi Giriş Sayfası'!C14='Parametre Sayfası'!D15,'Parametre Sayfası'!B34,IF('Bilgi Giriş Sayfası'!C14='Parametre Sayfası'!D16,'Parametre Sayfası'!B35,IF('Bilgi Giriş Sayfası'!C14='Parametre Sayfası'!D17,'Parametre Sayfası'!B36))))</f>
        <v>Makine Fiyatımız İhraç Kayıtlı Olduğu için Kdv İlave Edilmemiştir.</v>
      </c>
      <c r="B101" s="288"/>
      <c r="C101" s="288"/>
      <c r="D101" s="288"/>
      <c r="E101" s="288"/>
      <c r="F101" s="288"/>
      <c r="G101" s="288"/>
      <c r="H101" s="288"/>
      <c r="I101" s="288"/>
      <c r="J101" s="288"/>
      <c r="K101" s="288"/>
      <c r="O101" s="114"/>
      <c r="P101" s="114"/>
      <c r="Q101" s="114"/>
      <c r="R101" s="114"/>
      <c r="S101" s="114"/>
      <c r="T101" s="114"/>
      <c r="U101" s="114"/>
      <c r="V101" s="114"/>
    </row>
    <row r="102" spans="1:22" ht="15" customHeight="1">
      <c r="A102" s="288" t="s">
        <v>218</v>
      </c>
      <c r="B102" s="288"/>
      <c r="C102" s="288"/>
      <c r="D102" s="288"/>
      <c r="E102" s="288"/>
      <c r="F102" s="288"/>
      <c r="G102" s="288"/>
      <c r="H102" s="288"/>
      <c r="I102" s="288"/>
      <c r="J102" s="288"/>
      <c r="K102" s="288"/>
      <c r="O102" s="114"/>
      <c r="P102" s="114"/>
      <c r="Q102" s="114"/>
      <c r="R102" s="114"/>
      <c r="S102" s="114"/>
      <c r="T102" s="114"/>
      <c r="U102" s="114"/>
      <c r="V102" s="114"/>
    </row>
    <row r="103" spans="1:22" ht="15" customHeight="1">
      <c r="A103" s="288"/>
      <c r="B103" s="288"/>
      <c r="C103" s="288"/>
      <c r="D103" s="288"/>
      <c r="E103" s="288"/>
      <c r="F103" s="288"/>
      <c r="G103" s="288"/>
      <c r="H103" s="288"/>
      <c r="I103" s="288"/>
      <c r="J103" s="288"/>
      <c r="K103" s="288"/>
    </row>
    <row r="104" spans="1:22" ht="15" customHeight="1">
      <c r="A104" s="125"/>
      <c r="B104" s="125"/>
      <c r="C104" s="125"/>
      <c r="D104" s="125"/>
      <c r="E104" s="125"/>
      <c r="F104" s="125"/>
      <c r="G104" s="125"/>
      <c r="H104" s="125"/>
      <c r="I104" s="125"/>
      <c r="J104" s="125"/>
      <c r="K104" s="125"/>
    </row>
    <row r="105" spans="1:22" ht="15" customHeight="1">
      <c r="A105" s="125"/>
      <c r="B105" s="125"/>
      <c r="C105" s="125"/>
      <c r="D105" s="125"/>
      <c r="E105" s="125"/>
      <c r="F105" s="125"/>
      <c r="G105" s="125"/>
      <c r="H105" s="125"/>
      <c r="I105" s="125"/>
      <c r="J105" s="125"/>
      <c r="K105" s="125"/>
    </row>
    <row r="106" spans="1:22" ht="15" customHeight="1"/>
    <row r="107" spans="1:22" ht="15" customHeight="1">
      <c r="B107" s="102"/>
      <c r="C107" s="102"/>
      <c r="D107" s="102"/>
      <c r="E107" s="102"/>
      <c r="G107" s="102"/>
      <c r="H107" s="102"/>
      <c r="I107" s="102"/>
      <c r="J107" s="102"/>
      <c r="K107" s="126"/>
    </row>
    <row r="108" spans="1:22" ht="15" customHeight="1">
      <c r="K108" s="126"/>
    </row>
    <row r="109" spans="1:22" ht="15" customHeight="1">
      <c r="K109" s="126"/>
    </row>
    <row r="110" spans="1:22" ht="15" customHeight="1">
      <c r="K110" s="126"/>
    </row>
    <row r="111" spans="1:22" ht="15" customHeight="1">
      <c r="B111" s="107"/>
      <c r="C111" s="107"/>
      <c r="D111" s="107"/>
      <c r="E111" s="107"/>
      <c r="F111" s="101"/>
      <c r="G111" s="107"/>
      <c r="H111" s="107"/>
      <c r="I111" s="107"/>
      <c r="J111" s="107"/>
      <c r="K111" s="126"/>
    </row>
    <row r="112" spans="1:22" ht="15" customHeight="1">
      <c r="B112" s="102"/>
      <c r="C112" s="102"/>
      <c r="D112" s="102"/>
      <c r="E112" s="102"/>
      <c r="F112" s="127"/>
      <c r="G112" s="102"/>
      <c r="H112" s="102"/>
      <c r="I112" s="102"/>
      <c r="J112" s="102"/>
      <c r="K112" s="126"/>
    </row>
    <row r="113" spans="2:11" ht="15" customHeight="1">
      <c r="B113" s="289" t="s">
        <v>219</v>
      </c>
      <c r="C113" s="289"/>
      <c r="D113" s="289"/>
      <c r="E113" s="289"/>
      <c r="F113" s="127"/>
      <c r="G113" s="289" t="s">
        <v>220</v>
      </c>
      <c r="H113" s="289"/>
      <c r="I113" s="289"/>
      <c r="J113" s="289"/>
      <c r="K113" s="126"/>
    </row>
    <row r="114" spans="2:11" ht="15" customHeight="1">
      <c r="B114" s="113"/>
      <c r="C114" s="113"/>
      <c r="D114" s="113"/>
      <c r="E114" s="113"/>
      <c r="F114" s="127"/>
      <c r="G114" s="113"/>
      <c r="H114" s="113"/>
      <c r="I114" s="113"/>
      <c r="J114" s="113"/>
      <c r="K114" s="126"/>
    </row>
    <row r="115" spans="2:11" ht="15" customHeight="1">
      <c r="B115" s="113"/>
      <c r="C115" s="113"/>
      <c r="D115" s="113"/>
      <c r="E115" s="113"/>
      <c r="F115" s="127"/>
      <c r="G115" s="113"/>
      <c r="H115" s="113"/>
      <c r="I115" s="113"/>
      <c r="J115" s="113"/>
      <c r="K115" s="126"/>
    </row>
    <row r="116" spans="2:11" ht="15" customHeight="1">
      <c r="B116" s="113"/>
      <c r="C116" s="113"/>
      <c r="D116" s="113"/>
      <c r="E116" s="113"/>
      <c r="F116" s="127"/>
      <c r="G116" s="113"/>
      <c r="H116" s="113"/>
      <c r="I116" s="113"/>
      <c r="J116" s="113"/>
      <c r="K116" s="126"/>
    </row>
    <row r="117" spans="2:11" ht="15" customHeight="1">
      <c r="B117" s="113"/>
      <c r="C117" s="113"/>
      <c r="D117" s="113"/>
      <c r="E117" s="113"/>
      <c r="F117" s="127"/>
      <c r="G117" s="113"/>
      <c r="H117" s="113"/>
      <c r="I117" s="113"/>
      <c r="J117" s="113"/>
      <c r="K117" s="126"/>
    </row>
    <row r="118" spans="2:11" ht="15" customHeight="1">
      <c r="B118" s="113"/>
      <c r="C118" s="113"/>
      <c r="D118" s="113"/>
      <c r="E118" s="113"/>
      <c r="F118" s="127"/>
      <c r="G118" s="113"/>
      <c r="H118" s="113"/>
      <c r="I118" s="113"/>
      <c r="J118" s="113"/>
      <c r="K118" s="126"/>
    </row>
    <row r="119" spans="2:11" ht="15" customHeight="1">
      <c r="B119" s="113"/>
      <c r="C119" s="113"/>
      <c r="D119" s="113"/>
      <c r="E119" s="113"/>
      <c r="F119" s="127"/>
      <c r="G119" s="113"/>
      <c r="H119" s="113"/>
      <c r="I119" s="113"/>
      <c r="J119" s="113"/>
      <c r="K119" s="126"/>
    </row>
    <row r="120" spans="2:11" ht="15" customHeight="1">
      <c r="B120" s="113"/>
      <c r="C120" s="113"/>
      <c r="D120" s="113"/>
      <c r="E120" s="113"/>
      <c r="F120" s="127"/>
      <c r="G120" s="113"/>
      <c r="H120" s="113"/>
      <c r="I120" s="113"/>
      <c r="J120" s="113"/>
      <c r="K120" s="126"/>
    </row>
    <row r="121" spans="2:11" ht="15" customHeight="1">
      <c r="B121" s="113"/>
      <c r="C121" s="113"/>
      <c r="D121" s="113"/>
      <c r="E121" s="113"/>
      <c r="F121" s="127"/>
      <c r="G121" s="113"/>
      <c r="H121" s="113"/>
      <c r="I121" s="113"/>
      <c r="J121" s="113"/>
      <c r="K121" s="126"/>
    </row>
    <row r="122" spans="2:11" ht="15" customHeight="1">
      <c r="B122" s="113"/>
      <c r="C122" s="113"/>
      <c r="D122" s="113"/>
      <c r="E122" s="113"/>
      <c r="F122" s="127"/>
      <c r="G122" s="113"/>
      <c r="H122" s="113"/>
      <c r="I122" s="113"/>
      <c r="J122" s="113"/>
      <c r="K122" s="126"/>
    </row>
    <row r="123" spans="2:11" ht="15" customHeight="1">
      <c r="B123" s="104"/>
      <c r="C123" s="101"/>
      <c r="D123" s="287"/>
      <c r="E123" s="287"/>
      <c r="F123" s="92"/>
      <c r="G123" s="104"/>
      <c r="H123" s="101"/>
      <c r="I123" s="287"/>
      <c r="J123" s="287"/>
      <c r="K123" s="126"/>
    </row>
    <row r="124" spans="2:11" ht="15" customHeight="1">
      <c r="B124" s="107"/>
      <c r="C124" s="107"/>
      <c r="D124" s="107"/>
      <c r="E124" s="107"/>
      <c r="F124" s="92"/>
      <c r="G124" s="107"/>
      <c r="H124" s="107"/>
      <c r="I124" s="107"/>
      <c r="J124" s="107"/>
      <c r="K124" s="126"/>
    </row>
    <row r="125" spans="2:11" ht="15" customHeight="1">
      <c r="B125" s="113"/>
      <c r="C125" s="113"/>
      <c r="D125" s="113"/>
      <c r="E125" s="113"/>
      <c r="F125" s="113"/>
      <c r="G125" s="113"/>
      <c r="H125" s="113"/>
      <c r="I125" s="113"/>
      <c r="J125" s="113"/>
      <c r="K125" s="126"/>
    </row>
    <row r="126" spans="2:11" ht="15" customHeight="1">
      <c r="B126" s="113"/>
      <c r="C126" s="113"/>
      <c r="D126" s="113"/>
      <c r="E126" s="113"/>
      <c r="F126" s="113"/>
      <c r="G126" s="113"/>
      <c r="H126" s="127"/>
      <c r="I126" s="127"/>
      <c r="J126" s="127"/>
      <c r="K126" s="126"/>
    </row>
    <row r="127" spans="2:11" ht="15" customHeight="1">
      <c r="B127" s="113"/>
      <c r="C127" s="113"/>
      <c r="D127" s="113"/>
      <c r="E127" s="113"/>
      <c r="F127" s="113"/>
      <c r="G127" s="113"/>
      <c r="H127" s="113"/>
      <c r="I127" s="113"/>
      <c r="J127" s="113"/>
      <c r="K127" s="126"/>
    </row>
    <row r="128" spans="2:11" ht="12.6" customHeight="1">
      <c r="B128" s="113"/>
      <c r="C128" s="113"/>
      <c r="D128" s="113"/>
      <c r="E128" s="113"/>
      <c r="F128" s="113"/>
      <c r="G128" s="113"/>
      <c r="H128" s="127"/>
      <c r="I128" s="127"/>
      <c r="J128" s="127"/>
      <c r="K128" s="126"/>
    </row>
    <row r="129" spans="2:11" ht="12.6" customHeight="1">
      <c r="B129" s="113"/>
      <c r="C129" s="113"/>
      <c r="D129" s="113"/>
      <c r="E129" s="113"/>
      <c r="F129" s="113"/>
      <c r="G129" s="113"/>
      <c r="H129" s="113"/>
      <c r="I129" s="113"/>
      <c r="J129" s="113"/>
      <c r="K129" s="126"/>
    </row>
    <row r="130" spans="2:11" ht="12.6" customHeight="1">
      <c r="B130" s="113"/>
      <c r="C130" s="126"/>
      <c r="D130" s="113"/>
      <c r="E130" s="113"/>
      <c r="F130" s="113"/>
      <c r="G130" s="113"/>
      <c r="H130" s="113"/>
      <c r="I130" s="113"/>
      <c r="J130" s="98"/>
      <c r="K130" s="126"/>
    </row>
    <row r="131" spans="2:11" ht="12.6" customHeight="1">
      <c r="B131" s="126"/>
      <c r="C131" s="126"/>
      <c r="D131" s="126"/>
      <c r="E131" s="126"/>
      <c r="F131" s="126"/>
      <c r="G131" s="126"/>
      <c r="H131" s="126"/>
      <c r="I131" s="126"/>
      <c r="J131" s="126"/>
      <c r="K131" s="126"/>
    </row>
    <row r="132" spans="2:11" ht="12.6" customHeight="1">
      <c r="B132" s="126"/>
      <c r="C132" s="126"/>
      <c r="D132" s="126"/>
      <c r="E132" s="126"/>
      <c r="F132" s="126"/>
      <c r="G132" s="126"/>
      <c r="H132" s="126"/>
      <c r="I132" s="126"/>
      <c r="J132" s="126"/>
      <c r="K132" s="126"/>
    </row>
    <row r="133" spans="2:11" ht="12.6" customHeight="1"/>
    <row r="134" spans="2:11" ht="12.6" customHeight="1"/>
    <row r="135" spans="2:11" ht="12.6" customHeight="1"/>
    <row r="136" spans="2:11" ht="12.6" customHeight="1"/>
  </sheetData>
  <mergeCells count="59">
    <mergeCell ref="G3:J4"/>
    <mergeCell ref="H8:J8"/>
    <mergeCell ref="H9:J9"/>
    <mergeCell ref="H10:J10"/>
    <mergeCell ref="H11:J11"/>
    <mergeCell ref="H12:J12"/>
    <mergeCell ref="I17:J17"/>
    <mergeCell ref="B26:F26"/>
    <mergeCell ref="I57:J57"/>
    <mergeCell ref="I58:J58"/>
    <mergeCell ref="I59:J59"/>
    <mergeCell ref="G65:J66"/>
    <mergeCell ref="H70:J70"/>
    <mergeCell ref="H71:J71"/>
    <mergeCell ref="H72:J72"/>
    <mergeCell ref="B76:E76"/>
    <mergeCell ref="G76:J76"/>
    <mergeCell ref="D79:E79"/>
    <mergeCell ref="I79:J79"/>
    <mergeCell ref="D80:E80"/>
    <mergeCell ref="I80:J80"/>
    <mergeCell ref="D81:E81"/>
    <mergeCell ref="I81:J81"/>
    <mergeCell ref="D82:E82"/>
    <mergeCell ref="I82:J82"/>
    <mergeCell ref="D83:E83"/>
    <mergeCell ref="I83:J83"/>
    <mergeCell ref="D84:E84"/>
    <mergeCell ref="I84:J84"/>
    <mergeCell ref="D85:E85"/>
    <mergeCell ref="B90:J90"/>
    <mergeCell ref="C93:D93"/>
    <mergeCell ref="H93:I93"/>
    <mergeCell ref="S93:T93"/>
    <mergeCell ref="C94:D94"/>
    <mergeCell ref="H94:I94"/>
    <mergeCell ref="S94:T94"/>
    <mergeCell ref="C95:D95"/>
    <mergeCell ref="H95:I95"/>
    <mergeCell ref="S95:T95"/>
    <mergeCell ref="C96:D96"/>
    <mergeCell ref="H96:I96"/>
    <mergeCell ref="S96:T96"/>
    <mergeCell ref="C97:D97"/>
    <mergeCell ref="H97:I97"/>
    <mergeCell ref="S97:T97"/>
    <mergeCell ref="C98:D98"/>
    <mergeCell ref="H98:I98"/>
    <mergeCell ref="S98:T98"/>
    <mergeCell ref="C99:D99"/>
    <mergeCell ref="H99:I99"/>
    <mergeCell ref="D123:E123"/>
    <mergeCell ref="I123:J123"/>
    <mergeCell ref="A100:K100"/>
    <mergeCell ref="A101:K101"/>
    <mergeCell ref="A102:K102"/>
    <mergeCell ref="A103:K103"/>
    <mergeCell ref="B113:E113"/>
    <mergeCell ref="G113:J113"/>
  </mergeCells>
  <printOptions horizontalCentered="1" verticalCentered="1"/>
  <pageMargins left="0.196527777777778" right="0.196527777777778" top="0.196527777777778" bottom="0.196527777777778" header="0.511811023622047" footer="0.511811023622047"/>
  <pageSetup paperSize="9" scale="86" orientation="portrait" horizontalDpi="300" verticalDpi="300" r:id="rId1"/>
  <rowBreaks count="1" manualBreakCount="1">
    <brk id="62"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6"/>
  <sheetViews>
    <sheetView showGridLines="0" view="pageBreakPreview" topLeftCell="A91" zoomScale="95" zoomScaleNormal="100" zoomScalePageLayoutView="95" workbookViewId="0">
      <selection activeCell="B90" sqref="B90:J90"/>
    </sheetView>
  </sheetViews>
  <sheetFormatPr defaultColWidth="9.140625" defaultRowHeight="15"/>
  <cols>
    <col min="1" max="3" width="10.7109375" style="67" customWidth="1"/>
    <col min="4" max="4" width="7.7109375" style="67" customWidth="1"/>
    <col min="5" max="5" width="14" style="67" customWidth="1"/>
    <col min="6" max="9" width="10.7109375" style="67" customWidth="1"/>
    <col min="10" max="10" width="12" style="67" customWidth="1"/>
    <col min="11" max="11" width="7.5703125" style="67" customWidth="1"/>
  </cols>
  <sheetData>
    <row r="1" spans="2:10" ht="15" customHeight="1"/>
    <row r="2" spans="2:10" ht="15" customHeight="1"/>
    <row r="3" spans="2:10" ht="15" customHeight="1">
      <c r="F3" s="68"/>
      <c r="G3" s="300" t="s">
        <v>162</v>
      </c>
      <c r="H3" s="300"/>
      <c r="I3" s="300"/>
      <c r="J3" s="300"/>
    </row>
    <row r="4" spans="2:10" ht="15" customHeight="1">
      <c r="F4" s="68"/>
      <c r="G4" s="300"/>
      <c r="H4" s="300"/>
      <c r="I4" s="300"/>
      <c r="J4" s="300"/>
    </row>
    <row r="5" spans="2:10" ht="15" customHeight="1">
      <c r="G5" s="69"/>
      <c r="H5" s="69"/>
      <c r="I5" s="70" t="s">
        <v>163</v>
      </c>
      <c r="J5" s="71">
        <f>'Bilgi Giriş Sayfası'!C13</f>
        <v>5003</v>
      </c>
    </row>
    <row r="6" spans="2:10" ht="15" customHeight="1">
      <c r="B6" s="72"/>
      <c r="C6" s="72"/>
      <c r="D6" s="72"/>
      <c r="E6" s="72"/>
      <c r="F6" s="72"/>
      <c r="G6" s="73"/>
      <c r="H6" s="73"/>
      <c r="I6" s="73"/>
      <c r="J6" s="73"/>
    </row>
    <row r="7" spans="2:10" ht="15" customHeight="1">
      <c r="B7" s="74" t="s">
        <v>164</v>
      </c>
      <c r="C7" s="72"/>
      <c r="D7" s="72"/>
      <c r="E7" s="72"/>
      <c r="F7" s="72"/>
      <c r="G7" s="71" t="s">
        <v>165</v>
      </c>
      <c r="H7" s="72"/>
      <c r="I7" s="72"/>
      <c r="J7" s="72"/>
    </row>
    <row r="8" spans="2:10" ht="15" customHeight="1">
      <c r="B8" s="72" t="s">
        <v>166</v>
      </c>
      <c r="C8" s="72"/>
      <c r="D8" s="72"/>
      <c r="E8" s="72"/>
      <c r="F8" s="72"/>
      <c r="G8" s="75" t="s">
        <v>167</v>
      </c>
      <c r="H8" s="303" t="str">
        <f>'Bilgi Giriş Sayfası'!C2</f>
        <v>Aygen Mekatronik San.Ve Tic.Ltd.Şti</v>
      </c>
      <c r="I8" s="303"/>
      <c r="J8" s="303"/>
    </row>
    <row r="9" spans="2:10" ht="15" customHeight="1">
      <c r="B9" s="72" t="s">
        <v>168</v>
      </c>
      <c r="C9" s="72"/>
      <c r="D9" s="72" t="s">
        <v>169</v>
      </c>
      <c r="E9" s="72"/>
      <c r="F9" s="72"/>
      <c r="G9" s="75" t="s">
        <v>170</v>
      </c>
      <c r="H9" s="303" t="str">
        <f>'Bilgi Giriş Sayfası'!C4:C4</f>
        <v>Hatay</v>
      </c>
      <c r="I9" s="303"/>
      <c r="J9" s="303"/>
    </row>
    <row r="10" spans="2:10" ht="15" customHeight="1">
      <c r="B10" s="72"/>
      <c r="C10" s="72"/>
      <c r="D10" s="72"/>
      <c r="E10" s="72"/>
      <c r="F10" s="72"/>
      <c r="G10" s="75" t="s">
        <v>171</v>
      </c>
      <c r="H10" s="303" t="str">
        <f>'Bilgi Giriş Sayfası'!C7</f>
        <v>+90 535 237 58 21</v>
      </c>
      <c r="I10" s="303"/>
      <c r="J10" s="303"/>
    </row>
    <row r="11" spans="2:10" ht="15" customHeight="1">
      <c r="B11" s="72"/>
      <c r="C11" s="72"/>
      <c r="D11" s="72"/>
      <c r="E11" s="72"/>
      <c r="F11" s="72"/>
      <c r="G11" s="75" t="s">
        <v>172</v>
      </c>
      <c r="H11" s="303" t="str">
        <f>'Bilgi Giriş Sayfası'!C9</f>
        <v>-</v>
      </c>
      <c r="I11" s="303"/>
      <c r="J11" s="303"/>
    </row>
    <row r="12" spans="2:10" ht="15" customHeight="1">
      <c r="B12" s="72"/>
      <c r="C12" s="72"/>
      <c r="D12" s="72"/>
      <c r="E12" s="72"/>
      <c r="F12" s="72"/>
      <c r="G12" s="75" t="s">
        <v>173</v>
      </c>
      <c r="H12" s="303" t="str">
        <f>'Bilgi Giriş Sayfası'!C3</f>
        <v>Koray Aygen</v>
      </c>
      <c r="I12" s="303"/>
      <c r="J12" s="303"/>
    </row>
    <row r="13" spans="2:10" ht="15" customHeight="1">
      <c r="B13" s="72"/>
      <c r="C13" s="72"/>
      <c r="D13" s="72"/>
      <c r="E13" s="72"/>
      <c r="F13" s="72"/>
      <c r="G13" s="75" t="s">
        <v>174</v>
      </c>
      <c r="H13" s="76" t="str">
        <f>'Bilgi Giriş Sayfası'!C8</f>
        <v>-</v>
      </c>
      <c r="I13" s="77"/>
      <c r="J13" s="77"/>
    </row>
    <row r="14" spans="2:10" ht="15" customHeight="1">
      <c r="B14" s="72"/>
      <c r="C14" s="72"/>
      <c r="D14" s="72"/>
      <c r="E14" s="72"/>
      <c r="F14" s="72"/>
      <c r="G14" s="75" t="s">
        <v>175</v>
      </c>
      <c r="H14" s="76" t="str">
        <f>'Bilgi Giriş Sayfası'!C10</f>
        <v>-</v>
      </c>
      <c r="I14" s="72"/>
      <c r="J14" s="72"/>
    </row>
    <row r="15" spans="2:10" ht="15" customHeight="1">
      <c r="B15" s="72"/>
      <c r="C15" s="72"/>
      <c r="D15" s="72"/>
      <c r="E15" s="72"/>
      <c r="F15" s="72"/>
      <c r="G15" s="78"/>
      <c r="H15" s="78"/>
      <c r="I15" s="78"/>
      <c r="J15" s="78"/>
    </row>
    <row r="16" spans="2:10" ht="15" customHeight="1">
      <c r="B16" s="72"/>
      <c r="C16" s="72"/>
      <c r="D16" s="72"/>
      <c r="E16" s="72"/>
      <c r="F16" s="72"/>
      <c r="G16" s="73"/>
      <c r="H16" s="73"/>
      <c r="I16" s="73"/>
      <c r="J16" s="73"/>
    </row>
    <row r="17" spans="2:10" ht="15" customHeight="1">
      <c r="B17" s="72"/>
      <c r="C17" s="72"/>
      <c r="D17" s="72"/>
      <c r="E17" s="72"/>
      <c r="F17" s="72"/>
      <c r="G17" s="71" t="s">
        <v>176</v>
      </c>
      <c r="H17" s="72"/>
      <c r="I17" s="304">
        <f ca="1">'Bilgi Giriş Sayfası'!F16</f>
        <v>44587</v>
      </c>
      <c r="J17" s="304"/>
    </row>
    <row r="18" spans="2:10" ht="15" customHeight="1">
      <c r="B18" s="72"/>
      <c r="C18" s="72"/>
      <c r="D18" s="72"/>
      <c r="E18" s="72"/>
      <c r="F18" s="72"/>
      <c r="G18" s="71" t="s">
        <v>177</v>
      </c>
      <c r="H18" s="80"/>
      <c r="I18" s="80" t="s">
        <v>178</v>
      </c>
      <c r="J18" s="80"/>
    </row>
    <row r="19" spans="2:10" ht="15" customHeight="1">
      <c r="B19" s="72"/>
      <c r="C19" s="72"/>
      <c r="D19" s="72"/>
      <c r="E19" s="72"/>
      <c r="F19" s="72"/>
      <c r="G19" s="78"/>
      <c r="H19" s="78"/>
      <c r="I19" s="78"/>
      <c r="J19" s="78"/>
    </row>
    <row r="20" spans="2:10" ht="15" customHeight="1">
      <c r="B20" s="72"/>
      <c r="C20" s="72"/>
      <c r="D20" s="72"/>
      <c r="E20" s="72"/>
      <c r="F20" s="72"/>
      <c r="G20" s="73"/>
      <c r="H20" s="73"/>
      <c r="I20" s="73"/>
      <c r="J20" s="73"/>
    </row>
    <row r="21" spans="2:10" ht="15" customHeight="1">
      <c r="B21" s="72"/>
      <c r="C21" s="72"/>
      <c r="D21" s="72"/>
      <c r="E21" s="72"/>
      <c r="F21" s="72"/>
      <c r="G21" s="72"/>
      <c r="H21" s="72"/>
      <c r="I21" s="72"/>
      <c r="J21" s="72"/>
    </row>
    <row r="22" spans="2:10" ht="15" customHeight="1">
      <c r="B22" s="81" t="s">
        <v>179</v>
      </c>
      <c r="C22" s="81"/>
      <c r="D22" s="81"/>
      <c r="E22" s="81"/>
      <c r="F22" s="72"/>
      <c r="G22" s="82" t="s">
        <v>180</v>
      </c>
      <c r="H22" s="82" t="s">
        <v>181</v>
      </c>
      <c r="I22" s="82" t="s">
        <v>130</v>
      </c>
      <c r="J22" s="82" t="s">
        <v>182</v>
      </c>
    </row>
    <row r="23" spans="2:10" ht="15" customHeight="1">
      <c r="B23" s="83"/>
      <c r="C23" s="83"/>
      <c r="D23" s="83"/>
      <c r="E23" s="83"/>
      <c r="F23" s="83"/>
      <c r="G23" s="84"/>
      <c r="H23" s="85" t="s">
        <v>183</v>
      </c>
      <c r="I23" s="86">
        <v>0.18</v>
      </c>
      <c r="J23" s="85"/>
    </row>
    <row r="24" spans="2:10" ht="15" customHeight="1"/>
    <row r="25" spans="2:10" ht="15" customHeight="1"/>
    <row r="26" spans="2:10" ht="15" customHeight="1">
      <c r="B26" s="302" t="str">
        <f>"ROBOCUT "&amp;'Bilgi Giriş Sayfası'!C20&amp;" CNC PLAZMA KESİM MAKİNESİ"</f>
        <v>ROBOCUT RED LİNE CNC PLAZMA KESİM MAKİNESİ</v>
      </c>
      <c r="C26" s="302"/>
      <c r="D26" s="302"/>
      <c r="E26" s="302"/>
      <c r="F26" s="302"/>
      <c r="G26" s="87">
        <v>1</v>
      </c>
      <c r="H26" s="88">
        <f>'Bilgi Giriş Sayfası'!F3*'Bilgi Giriş Sayfası'!G3</f>
        <v>217000</v>
      </c>
      <c r="I26" s="88">
        <f>H26*18%</f>
        <v>39060</v>
      </c>
      <c r="J26" s="88">
        <f>(H26)+(H26*18%)</f>
        <v>256060</v>
      </c>
    </row>
    <row r="27" spans="2:10" ht="15" customHeight="1">
      <c r="B27" s="79"/>
      <c r="C27" s="79"/>
      <c r="D27" s="79"/>
      <c r="E27" s="79"/>
      <c r="F27" s="79"/>
      <c r="G27" s="89"/>
      <c r="H27" s="90"/>
      <c r="I27" s="90"/>
      <c r="J27" s="90"/>
    </row>
    <row r="28" spans="2:10" ht="15" customHeight="1">
      <c r="B28" s="72"/>
      <c r="C28" s="91" t="str">
        <f>'Bilgi Giriş Sayfası'!F20&amp;" Kesim Alanı"</f>
        <v>1500 x 3000 mm Kesim Alanı</v>
      </c>
      <c r="D28" s="92"/>
      <c r="E28" s="92"/>
      <c r="F28" s="92"/>
      <c r="G28" s="72"/>
      <c r="H28" s="72"/>
      <c r="I28" s="72"/>
      <c r="J28" s="72"/>
    </row>
    <row r="29" spans="2:10" ht="15" customHeight="1">
      <c r="B29" s="72"/>
      <c r="C29" s="91" t="str">
        <f>'Bilgi Giriş Sayfası'!F21&amp;" Tezgah Ölçüleri"</f>
        <v>2300 x 4000 mm Tezgah Ölçüleri</v>
      </c>
      <c r="D29" s="92"/>
      <c r="E29" s="92"/>
      <c r="F29" s="92"/>
      <c r="G29" s="72"/>
      <c r="H29" s="72"/>
      <c r="I29" s="72"/>
      <c r="J29" s="72"/>
    </row>
    <row r="30" spans="2:10" ht="15" customHeight="1">
      <c r="B30" s="72"/>
      <c r="C30" s="91" t="str">
        <f>'Bilgi Giriş Sayfası'!C21  &amp;  " Plazma Kesim Ünitesi"</f>
        <v>Hypertherm Powermax 105 Plazma Kesim Ünitesi</v>
      </c>
      <c r="D30" s="92"/>
      <c r="E30" s="92"/>
      <c r="F30" s="92"/>
      <c r="G30" s="72"/>
      <c r="H30" s="72"/>
      <c r="I30" s="72"/>
      <c r="J30" s="72"/>
    </row>
    <row r="31" spans="2:10" ht="15" customHeight="1">
      <c r="B31" s="72"/>
      <c r="C31" s="91" t="str">
        <f>"Dünyanın En İyi Kesim Teknolojisi İle  (Siyah Saç) Kalınlık "&amp;'Bilgi Giriş Sayfası'!C22</f>
        <v>Dünyanın En İyi Kesim Teknolojisi İle  (Siyah Saç) Kalınlık 1 mm - 22 mm</v>
      </c>
      <c r="D31" s="92"/>
      <c r="E31" s="92"/>
      <c r="F31" s="92"/>
      <c r="G31" s="72"/>
      <c r="H31" s="72"/>
      <c r="I31" s="72"/>
      <c r="J31" s="72"/>
    </row>
    <row r="32" spans="2:10" ht="15" customHeight="1">
      <c r="B32" s="72"/>
      <c r="C32" s="91" t="s">
        <v>184</v>
      </c>
      <c r="D32" s="92"/>
      <c r="E32" s="92"/>
      <c r="F32" s="92"/>
      <c r="G32" s="72"/>
      <c r="H32" s="72"/>
      <c r="I32" s="72"/>
      <c r="J32" s="72"/>
    </row>
    <row r="33" spans="2:14" ht="15" customHeight="1">
      <c r="B33" s="72"/>
      <c r="C33" s="91" t="str">
        <f>'Bilgi Giriş Sayfası'!F23&amp;" Yükseklik Kontrol Cihazı"</f>
        <v>Kapasitif Yükseklik Kontrol Cihazı</v>
      </c>
      <c r="D33" s="92"/>
      <c r="E33" s="92"/>
      <c r="F33" s="92"/>
      <c r="G33" s="72"/>
      <c r="H33" s="72"/>
      <c r="I33" s="72"/>
      <c r="J33" s="72"/>
    </row>
    <row r="34" spans="2:14" ht="15" customHeight="1">
      <c r="B34" s="72"/>
      <c r="C34" s="91" t="s">
        <v>185</v>
      </c>
      <c r="D34" s="92"/>
      <c r="E34" s="92"/>
      <c r="F34" s="92"/>
      <c r="G34" s="72"/>
      <c r="H34" s="72"/>
      <c r="I34" s="72"/>
      <c r="J34" s="72"/>
    </row>
    <row r="35" spans="2:14" ht="15" customHeight="1">
      <c r="B35" s="72"/>
      <c r="C35" s="91" t="s">
        <v>186</v>
      </c>
      <c r="D35" s="92"/>
      <c r="E35" s="92"/>
      <c r="F35" s="92"/>
      <c r="G35" s="72"/>
      <c r="H35" s="72"/>
      <c r="I35" s="72"/>
      <c r="J35" s="72"/>
    </row>
    <row r="36" spans="2:14" ht="15" customHeight="1">
      <c r="B36" s="72"/>
      <c r="C36" s="91" t="str">
        <f>"Hassas Taşlanmış "&amp; 'Bilgi Giriş Sayfası'!C23 &amp; " 'larda Hareket"</f>
        <v>Hassas Taşlanmış Hassas Lineer Ray 'larda Hareket</v>
      </c>
      <c r="D36" s="92"/>
      <c r="E36" s="92"/>
      <c r="F36" s="92"/>
      <c r="G36" s="72"/>
      <c r="H36" s="72"/>
      <c r="I36" s="72"/>
      <c r="J36" s="72"/>
    </row>
    <row r="37" spans="2:14" ht="15" customHeight="1">
      <c r="B37" s="72"/>
      <c r="C37" s="91" t="str">
        <f>"Hassas Taşlanmış "&amp;'Bilgi Giriş Sayfası'!C24&amp;" Tahrik Sistemi Sayesinde Titreşimsiz Hareket"</f>
        <v>Hassas Taşlanmış Hassas Helis Kremayer Tahrik Sistemi Sayesinde Titreşimsiz Hareket</v>
      </c>
      <c r="D37" s="92"/>
      <c r="E37" s="92"/>
      <c r="F37" s="92"/>
      <c r="G37" s="72"/>
      <c r="H37" s="72"/>
      <c r="I37" s="72"/>
      <c r="J37" s="72"/>
      <c r="N37" s="93"/>
    </row>
    <row r="38" spans="2:14" ht="15" customHeight="1">
      <c r="B38" s="72"/>
      <c r="C38" s="91" t="str">
        <f>'Bilgi Giriş Sayfası'!C25&amp;" Motorlar ve Sürücüler"</f>
        <v>8,5 Nm Leadshine Digital Stepper Motorlar ve Sürücüler</v>
      </c>
      <c r="D38" s="92"/>
      <c r="E38" s="92"/>
      <c r="F38" s="92"/>
      <c r="G38" s="72"/>
      <c r="H38" s="72"/>
      <c r="I38" s="72"/>
      <c r="J38" s="72"/>
    </row>
    <row r="39" spans="2:14" ht="15" customHeight="1">
      <c r="B39" s="72"/>
      <c r="C39" s="91" t="str">
        <f>'Bilgi Giriş Sayfası'!F22&amp;" Cnc Kontrol Ünitesi "</f>
        <v xml:space="preserve">Windows Cnc Kontrol Ünitesi </v>
      </c>
      <c r="D39" s="92"/>
      <c r="E39" s="92"/>
      <c r="F39" s="92"/>
      <c r="G39" s="72"/>
      <c r="H39" s="72"/>
      <c r="I39" s="72"/>
      <c r="J39" s="72"/>
    </row>
    <row r="40" spans="2:14" ht="15" customHeight="1">
      <c r="B40" s="72"/>
      <c r="C40" s="91" t="s">
        <v>187</v>
      </c>
      <c r="D40" s="92"/>
      <c r="E40" s="92"/>
      <c r="F40" s="92"/>
      <c r="G40" s="72"/>
      <c r="H40" s="72"/>
      <c r="I40" s="72"/>
      <c r="J40" s="72"/>
    </row>
    <row r="41" spans="2:14" ht="15" customHeight="1">
      <c r="B41" s="72"/>
      <c r="C41" s="91" t="s">
        <v>188</v>
      </c>
      <c r="D41" s="92"/>
      <c r="E41" s="92"/>
      <c r="F41" s="92"/>
      <c r="G41" s="72"/>
      <c r="H41" s="72"/>
      <c r="I41" s="72"/>
      <c r="J41" s="72"/>
    </row>
    <row r="42" spans="2:14" ht="15" customHeight="1">
      <c r="B42" s="72"/>
      <c r="C42" s="91" t="s">
        <v>189</v>
      </c>
      <c r="D42" s="92"/>
      <c r="E42" s="92"/>
      <c r="F42" s="92"/>
      <c r="G42" s="72"/>
      <c r="H42" s="72"/>
      <c r="I42" s="72"/>
      <c r="J42" s="72"/>
    </row>
    <row r="43" spans="2:14" ht="15" customHeight="1">
      <c r="B43" s="72"/>
      <c r="C43" s="91" t="s">
        <v>190</v>
      </c>
      <c r="D43" s="92"/>
      <c r="E43" s="92"/>
      <c r="F43" s="92"/>
      <c r="G43" s="72"/>
      <c r="H43" s="72"/>
      <c r="I43" s="72"/>
      <c r="J43" s="72"/>
    </row>
    <row r="44" spans="2:14" ht="15" customHeight="1">
      <c r="B44" s="72"/>
      <c r="C44" s="91" t="s">
        <v>191</v>
      </c>
      <c r="D44" s="92"/>
      <c r="E44" s="92"/>
      <c r="F44" s="92"/>
      <c r="G44" s="72"/>
      <c r="H44" s="72"/>
      <c r="I44" s="72"/>
      <c r="J44" s="72"/>
    </row>
    <row r="45" spans="2:14" ht="15" customHeight="1">
      <c r="B45" s="72"/>
      <c r="C45" s="91" t="s">
        <v>192</v>
      </c>
      <c r="D45" s="92"/>
      <c r="E45" s="92"/>
      <c r="F45" s="92"/>
      <c r="G45" s="72"/>
      <c r="H45" s="72"/>
      <c r="I45" s="72"/>
      <c r="J45" s="72"/>
    </row>
    <row r="46" spans="2:14" ht="15" customHeight="1">
      <c r="B46" s="72"/>
      <c r="C46" s="91" t="s">
        <v>193</v>
      </c>
      <c r="D46" s="92"/>
      <c r="E46" s="92"/>
      <c r="F46" s="92"/>
      <c r="G46" s="72"/>
      <c r="H46" s="72"/>
      <c r="I46" s="72"/>
      <c r="J46" s="72"/>
    </row>
    <row r="47" spans="2:14" ht="15" customHeight="1">
      <c r="B47" s="72"/>
      <c r="C47" s="91" t="s">
        <v>194</v>
      </c>
      <c r="D47" s="92"/>
      <c r="E47" s="92"/>
      <c r="F47" s="92"/>
      <c r="G47" s="72"/>
      <c r="H47" s="72"/>
      <c r="I47" s="72"/>
      <c r="J47" s="72"/>
    </row>
    <row r="48" spans="2:14" ht="15" customHeight="1">
      <c r="B48" s="72"/>
      <c r="C48" s="91" t="s">
        <v>195</v>
      </c>
      <c r="D48" s="92"/>
      <c r="E48" s="92"/>
      <c r="F48" s="92"/>
      <c r="G48" s="72"/>
      <c r="H48" s="72"/>
      <c r="I48" s="72"/>
      <c r="J48" s="72"/>
    </row>
    <row r="49" spans="2:10" ht="15" customHeight="1">
      <c r="B49" s="72"/>
      <c r="C49" s="91" t="s">
        <v>196</v>
      </c>
      <c r="D49" s="92"/>
      <c r="E49" s="92"/>
      <c r="F49" s="92"/>
      <c r="G49" s="72"/>
      <c r="H49" s="72"/>
      <c r="I49" s="72"/>
      <c r="J49" s="72"/>
    </row>
    <row r="50" spans="2:10" ht="15" customHeight="1">
      <c r="B50" s="72"/>
      <c r="C50" s="91"/>
      <c r="D50" s="92"/>
      <c r="E50" s="92"/>
      <c r="F50" s="81"/>
      <c r="G50" s="72"/>
      <c r="H50" s="72"/>
      <c r="I50" s="72"/>
      <c r="J50" s="72"/>
    </row>
    <row r="51" spans="2:10" ht="15" customHeight="1">
      <c r="B51" s="72"/>
      <c r="C51" s="91"/>
      <c r="D51" s="92"/>
      <c r="E51" s="92"/>
      <c r="F51" s="91"/>
      <c r="G51" s="72"/>
      <c r="H51" s="72"/>
      <c r="I51" s="72"/>
      <c r="J51" s="72"/>
    </row>
    <row r="52" spans="2:10" ht="15" customHeight="1">
      <c r="B52" s="72"/>
      <c r="C52" s="91"/>
      <c r="D52" s="92"/>
      <c r="E52" s="92"/>
      <c r="F52" s="91"/>
      <c r="G52" s="72"/>
      <c r="H52" s="72"/>
      <c r="I52" s="72"/>
      <c r="J52" s="72"/>
    </row>
    <row r="53" spans="2:10" ht="15" customHeight="1">
      <c r="B53" s="72"/>
      <c r="C53" s="91"/>
      <c r="D53" s="92"/>
      <c r="E53" s="92"/>
      <c r="F53" s="91"/>
      <c r="G53" s="72"/>
      <c r="H53" s="72"/>
      <c r="I53" s="72"/>
      <c r="J53" s="72"/>
    </row>
    <row r="54" spans="2:10" ht="15" customHeight="1">
      <c r="B54" s="72"/>
      <c r="C54" s="91"/>
      <c r="D54" s="92"/>
      <c r="E54" s="92"/>
      <c r="F54" s="91"/>
      <c r="G54" s="72"/>
      <c r="H54" s="72"/>
      <c r="I54" s="72"/>
      <c r="J54" s="72"/>
    </row>
    <row r="55" spans="2:10" ht="15" customHeight="1">
      <c r="B55" s="94" t="s">
        <v>197</v>
      </c>
      <c r="C55" s="95"/>
      <c r="D55" s="95"/>
      <c r="E55" s="95"/>
      <c r="F55" s="95"/>
      <c r="G55" s="83"/>
      <c r="H55" s="83"/>
      <c r="I55" s="83"/>
      <c r="J55" s="83"/>
    </row>
    <row r="56" spans="2:10" ht="15" customHeight="1">
      <c r="B56" s="72"/>
      <c r="C56" s="72"/>
      <c r="D56" s="72"/>
      <c r="E56" s="72"/>
      <c r="F56" s="72"/>
      <c r="G56" s="72"/>
      <c r="H56" s="72"/>
      <c r="I56" s="72"/>
      <c r="J56" s="72"/>
    </row>
    <row r="57" spans="2:10" ht="15" customHeight="1">
      <c r="C57" s="72"/>
      <c r="D57" s="72"/>
      <c r="E57" s="72"/>
      <c r="F57" s="72"/>
      <c r="G57" s="78" t="s">
        <v>198</v>
      </c>
      <c r="H57" s="78"/>
      <c r="I57" s="314">
        <f>'Bilgi Giriş Sayfası'!J3</f>
        <v>21700</v>
      </c>
      <c r="J57" s="314"/>
    </row>
    <row r="58" spans="2:10" ht="15" customHeight="1">
      <c r="B58" s="72"/>
      <c r="C58" s="72"/>
      <c r="D58" s="72"/>
      <c r="E58" s="72"/>
      <c r="F58" s="72"/>
      <c r="G58" s="96" t="s">
        <v>130</v>
      </c>
      <c r="H58" s="96"/>
      <c r="I58" s="315">
        <f>'Bilgi Giriş Sayfası'!J9</f>
        <v>0</v>
      </c>
      <c r="J58" s="315"/>
    </row>
    <row r="59" spans="2:10" ht="15" customHeight="1">
      <c r="B59" s="72"/>
      <c r="C59" s="72"/>
      <c r="D59" s="72"/>
      <c r="E59" s="72"/>
      <c r="F59" s="72"/>
      <c r="G59" s="96" t="s">
        <v>199</v>
      </c>
      <c r="H59" s="96"/>
      <c r="I59" s="313">
        <f>I57+I58</f>
        <v>21700</v>
      </c>
      <c r="J59" s="313"/>
    </row>
    <row r="60" spans="2:10" ht="15" customHeight="1">
      <c r="B60" s="72"/>
      <c r="C60" s="72"/>
      <c r="D60" s="72"/>
      <c r="E60" s="72"/>
      <c r="F60" s="72"/>
      <c r="G60" s="72"/>
      <c r="H60" s="72"/>
      <c r="I60" s="72"/>
      <c r="J60" s="72"/>
    </row>
    <row r="61" spans="2:10" ht="15" customHeight="1">
      <c r="B61" s="80"/>
      <c r="C61" s="72"/>
      <c r="D61" s="80"/>
      <c r="E61" s="80"/>
      <c r="F61" s="80"/>
      <c r="G61" s="80"/>
      <c r="H61" s="97"/>
      <c r="I61" s="97"/>
      <c r="J61" s="98" t="s">
        <v>200</v>
      </c>
    </row>
    <row r="62" spans="2:10" ht="15" customHeight="1"/>
    <row r="63" spans="2:10" ht="15" customHeight="1"/>
    <row r="64" spans="2:10" ht="15" customHeight="1"/>
    <row r="65" spans="2:10" ht="15" customHeight="1">
      <c r="F65" s="68"/>
      <c r="G65" s="300" t="s">
        <v>201</v>
      </c>
      <c r="H65" s="300"/>
      <c r="I65" s="300"/>
      <c r="J65" s="300"/>
    </row>
    <row r="66" spans="2:10" ht="15" customHeight="1">
      <c r="F66" s="68"/>
      <c r="G66" s="300"/>
      <c r="H66" s="300"/>
      <c r="I66" s="300"/>
      <c r="J66" s="300"/>
    </row>
    <row r="67" spans="2:10" ht="15" customHeight="1">
      <c r="G67" s="69"/>
      <c r="H67" s="69"/>
      <c r="I67" s="99" t="s">
        <v>163</v>
      </c>
      <c r="J67" s="100">
        <f>'Bilgi Giriş Sayfası'!C13</f>
        <v>5003</v>
      </c>
    </row>
    <row r="68" spans="2:10" ht="15" customHeight="1">
      <c r="B68" s="101"/>
      <c r="C68" s="101"/>
      <c r="D68" s="101"/>
      <c r="E68" s="101"/>
      <c r="F68" s="101"/>
      <c r="G68" s="102"/>
      <c r="H68" s="102"/>
      <c r="I68" s="102"/>
      <c r="J68" s="102"/>
    </row>
    <row r="69" spans="2:10" ht="15" customHeight="1">
      <c r="B69" s="103" t="s">
        <v>164</v>
      </c>
      <c r="C69" s="101"/>
      <c r="D69" s="101"/>
      <c r="E69" s="101"/>
      <c r="F69" s="101"/>
      <c r="G69" s="104" t="s">
        <v>202</v>
      </c>
      <c r="H69" s="101"/>
      <c r="I69" s="101"/>
      <c r="J69" s="101"/>
    </row>
    <row r="70" spans="2:10" ht="15" customHeight="1">
      <c r="B70" s="101" t="s">
        <v>166</v>
      </c>
      <c r="C70" s="101"/>
      <c r="D70" s="101"/>
      <c r="E70" s="101"/>
      <c r="F70" s="101"/>
      <c r="G70" s="105" t="s">
        <v>167</v>
      </c>
      <c r="H70" s="301" t="str">
        <f>'Bilgi Giriş Sayfası'!C11</f>
        <v>Kamil Şentürk</v>
      </c>
      <c r="I70" s="301"/>
      <c r="J70" s="301"/>
    </row>
    <row r="71" spans="2:10" ht="15" customHeight="1">
      <c r="B71" s="101" t="s">
        <v>168</v>
      </c>
      <c r="C71" s="101"/>
      <c r="D71" s="101" t="s">
        <v>169</v>
      </c>
      <c r="E71" s="101"/>
      <c r="F71" s="101"/>
      <c r="G71" s="105" t="s">
        <v>203</v>
      </c>
      <c r="H71" s="302">
        <f ca="1">'Bilgi Giriş Sayfası'!F16+'Bilgi Giriş Sayfası'!F2</f>
        <v>44590</v>
      </c>
      <c r="I71" s="302"/>
      <c r="J71" s="302"/>
    </row>
    <row r="72" spans="2:10" ht="15" customHeight="1">
      <c r="C72" s="101"/>
      <c r="D72" s="101"/>
      <c r="E72" s="101"/>
      <c r="F72" s="101"/>
      <c r="G72" s="106" t="s">
        <v>204</v>
      </c>
      <c r="H72" s="301" t="str">
        <f>'Bilgi Giriş Sayfası'!C17</f>
        <v>Konya Robocut Fabrikası</v>
      </c>
      <c r="I72" s="301"/>
      <c r="J72" s="301"/>
    </row>
    <row r="73" spans="2:10" ht="15" customHeight="1">
      <c r="B73" s="101"/>
      <c r="C73" s="101"/>
      <c r="D73" s="101"/>
      <c r="E73" s="101"/>
      <c r="F73" s="101"/>
      <c r="G73" s="107"/>
      <c r="H73" s="107"/>
      <c r="I73" s="107"/>
      <c r="J73" s="107"/>
    </row>
    <row r="74" spans="2:10" ht="15" customHeight="1">
      <c r="B74" s="101"/>
      <c r="C74" s="101"/>
      <c r="D74" s="101"/>
      <c r="E74" s="101"/>
      <c r="F74" s="101"/>
      <c r="G74" s="102"/>
      <c r="H74" s="102"/>
      <c r="I74" s="102"/>
      <c r="J74" s="102"/>
    </row>
    <row r="75" spans="2:10" ht="15" customHeight="1"/>
    <row r="76" spans="2:10" ht="15" customHeight="1">
      <c r="B76" s="289" t="s">
        <v>205</v>
      </c>
      <c r="C76" s="289"/>
      <c r="D76" s="289"/>
      <c r="E76" s="289"/>
      <c r="F76" s="101"/>
      <c r="G76" s="295" t="s">
        <v>206</v>
      </c>
      <c r="H76" s="295"/>
      <c r="I76" s="295"/>
      <c r="J76" s="295"/>
    </row>
    <row r="77" spans="2:10" ht="15" customHeight="1">
      <c r="B77" s="107"/>
      <c r="C77" s="107"/>
      <c r="D77" s="107"/>
      <c r="E77" s="107"/>
      <c r="G77" s="107"/>
      <c r="H77" s="107"/>
      <c r="I77" s="107"/>
      <c r="J77" s="107"/>
    </row>
    <row r="78" spans="2:10" ht="15" customHeight="1">
      <c r="B78" s="102"/>
      <c r="C78" s="102"/>
      <c r="D78" s="102"/>
      <c r="E78" s="102"/>
      <c r="G78" s="102"/>
      <c r="H78" s="102"/>
      <c r="I78" s="102"/>
      <c r="J78" s="102"/>
    </row>
    <row r="79" spans="2:10" ht="15" customHeight="1">
      <c r="B79" s="105" t="s">
        <v>207</v>
      </c>
      <c r="D79" s="310">
        <f>'Bilgi Giriş Sayfası'!J3</f>
        <v>21700</v>
      </c>
      <c r="E79" s="310"/>
      <c r="G79" s="75" t="s">
        <v>81</v>
      </c>
      <c r="I79" s="298">
        <f>'Bilgi Giriş Sayfası'!F12</f>
        <v>1</v>
      </c>
      <c r="J79" s="298"/>
    </row>
    <row r="80" spans="2:10" ht="15" customHeight="1">
      <c r="B80" s="105" t="s">
        <v>160</v>
      </c>
      <c r="D80" s="310">
        <f>'Bilgi Giriş Sayfası'!J4</f>
        <v>0</v>
      </c>
      <c r="E80" s="310"/>
      <c r="G80" s="75" t="s">
        <v>208</v>
      </c>
      <c r="I80" s="312">
        <f>'Bilgi Giriş Sayfası'!J15</f>
        <v>21700</v>
      </c>
      <c r="J80" s="312"/>
    </row>
    <row r="81" spans="2:22" ht="15" customHeight="1">
      <c r="B81" s="105" t="s">
        <v>158</v>
      </c>
      <c r="D81" s="310">
        <f>'Bilgi Giriş Sayfası'!J5</f>
        <v>0</v>
      </c>
      <c r="E81" s="310"/>
      <c r="G81" s="75" t="s">
        <v>209</v>
      </c>
      <c r="I81" s="312">
        <f>'Bilgi Giriş Sayfası'!J18</f>
        <v>10850</v>
      </c>
      <c r="J81" s="312"/>
    </row>
    <row r="82" spans="2:22" ht="15" customHeight="1">
      <c r="B82" s="105" t="s">
        <v>210</v>
      </c>
      <c r="D82" s="310">
        <f>'Bilgi Giriş Sayfası'!J6</f>
        <v>0</v>
      </c>
      <c r="E82" s="310"/>
      <c r="G82" s="108" t="s">
        <v>211</v>
      </c>
      <c r="I82" s="296" t="str">
        <f>'Bilgi Giriş Sayfası'!F15</f>
        <v>Peşin</v>
      </c>
      <c r="J82" s="296"/>
    </row>
    <row r="83" spans="2:22" ht="15" customHeight="1">
      <c r="B83" s="105" t="s">
        <v>161</v>
      </c>
      <c r="D83" s="310">
        <f>'Bilgi Giriş Sayfası'!J7</f>
        <v>0</v>
      </c>
      <c r="E83" s="310"/>
      <c r="G83" s="75" t="s">
        <v>212</v>
      </c>
      <c r="I83" s="297">
        <f ca="1">'Bilgi Giriş Sayfası'!G14</f>
        <v>44598</v>
      </c>
      <c r="J83" s="297"/>
    </row>
    <row r="84" spans="2:22" ht="15" customHeight="1">
      <c r="B84" s="105" t="s">
        <v>213</v>
      </c>
      <c r="D84" s="310">
        <v>0</v>
      </c>
      <c r="E84" s="310"/>
      <c r="G84" s="109" t="s">
        <v>214</v>
      </c>
      <c r="H84" s="110"/>
      <c r="I84" s="311">
        <f>I80-I81</f>
        <v>10850</v>
      </c>
      <c r="J84" s="311"/>
    </row>
    <row r="85" spans="2:22" ht="15" customHeight="1">
      <c r="B85" s="111" t="s">
        <v>215</v>
      </c>
      <c r="C85" s="112"/>
      <c r="D85" s="311">
        <f>D79+D80+D81+D82+D83+D84</f>
        <v>21700</v>
      </c>
      <c r="E85" s="311"/>
    </row>
    <row r="86" spans="2:22" ht="15" customHeight="1">
      <c r="B86" s="107"/>
      <c r="C86" s="107"/>
      <c r="D86" s="107"/>
      <c r="E86" s="107"/>
      <c r="G86" s="69"/>
      <c r="H86" s="69"/>
      <c r="I86" s="69"/>
      <c r="J86" s="69"/>
    </row>
    <row r="87" spans="2:22" ht="15" customHeight="1">
      <c r="B87" s="113"/>
      <c r="C87" s="113"/>
      <c r="D87" s="113"/>
      <c r="E87" s="113"/>
      <c r="G87" s="102"/>
      <c r="H87" s="102"/>
      <c r="I87" s="102"/>
      <c r="J87" s="102"/>
    </row>
    <row r="88" spans="2:22" ht="15" customHeight="1"/>
    <row r="89" spans="2:22" ht="15" customHeight="1"/>
    <row r="90" spans="2:22" ht="15" customHeight="1">
      <c r="B90" s="295" t="s">
        <v>216</v>
      </c>
      <c r="C90" s="295"/>
      <c r="D90" s="295"/>
      <c r="E90" s="295"/>
      <c r="F90" s="295"/>
      <c r="G90" s="295"/>
      <c r="H90" s="295"/>
      <c r="I90" s="295"/>
      <c r="J90" s="295"/>
    </row>
    <row r="91" spans="2:22" ht="15" customHeight="1">
      <c r="B91" s="107"/>
      <c r="C91" s="107"/>
      <c r="D91" s="107"/>
      <c r="E91" s="107"/>
      <c r="F91" s="107"/>
      <c r="G91" s="101"/>
      <c r="H91" s="101"/>
      <c r="I91" s="101"/>
      <c r="J91" s="101"/>
      <c r="Q91" s="114"/>
      <c r="R91" s="114"/>
      <c r="S91" s="114"/>
      <c r="T91" s="114"/>
      <c r="U91" s="114"/>
      <c r="V91" s="114"/>
    </row>
    <row r="92" spans="2:22" ht="15" customHeight="1">
      <c r="B92" s="102"/>
      <c r="C92" s="102"/>
      <c r="D92" s="102"/>
      <c r="E92" s="102"/>
      <c r="F92" s="115"/>
      <c r="G92" s="102"/>
      <c r="H92" s="102"/>
      <c r="I92" s="102"/>
      <c r="J92" s="102"/>
      <c r="Q92" s="114"/>
      <c r="R92" s="114"/>
      <c r="S92" s="114"/>
      <c r="T92" s="114"/>
      <c r="U92" s="114"/>
      <c r="V92" s="114"/>
    </row>
    <row r="93" spans="2:22" ht="15" customHeight="1">
      <c r="B93" s="128" t="str">
        <f>IF(I79&gt;=1,"1.Taksit","")</f>
        <v>1.Taksit</v>
      </c>
      <c r="C93" s="309">
        <f ca="1">IF(I79&gt;=1,I83+31,"")</f>
        <v>44629</v>
      </c>
      <c r="D93" s="309"/>
      <c r="E93" s="129">
        <f>IF(I79&gt;=1,I84/I79,"  ")</f>
        <v>10850</v>
      </c>
      <c r="F93" s="130"/>
      <c r="G93" s="128" t="str">
        <f>IF(I79&gt;=7,"7.Taksit","")</f>
        <v/>
      </c>
      <c r="H93" s="309" t="str">
        <f>IF(I79&gt;=7,C98+31,"")</f>
        <v/>
      </c>
      <c r="I93" s="309"/>
      <c r="J93" s="129" t="str">
        <f>IF(I79&gt;=7,I84/I79,"  ")</f>
        <v xml:space="preserve">  </v>
      </c>
      <c r="K93" s="121"/>
      <c r="Q93" s="122"/>
      <c r="R93" s="123" t="str">
        <f>IF(N83&gt;=7,"7.Taksit","")</f>
        <v/>
      </c>
      <c r="S93" s="292" t="str">
        <f>IF(N83&gt;=7,T91/N83,"  ")</f>
        <v xml:space="preserve">  </v>
      </c>
      <c r="T93" s="292"/>
      <c r="U93" s="124" t="str">
        <f>IF(N83&gt;=7,D98+31,"")</f>
        <v/>
      </c>
      <c r="V93" s="114"/>
    </row>
    <row r="94" spans="2:22" ht="15" customHeight="1">
      <c r="B94" s="128" t="str">
        <f>IF(I79&gt;=2,"2.Taksit","  ")</f>
        <v xml:space="preserve">  </v>
      </c>
      <c r="C94" s="309" t="str">
        <f>IF(I79&gt;=2,C93+31,"")</f>
        <v/>
      </c>
      <c r="D94" s="309"/>
      <c r="E94" s="129" t="str">
        <f>IF(I79&gt;=2,I84/I79,"  ")</f>
        <v xml:space="preserve">  </v>
      </c>
      <c r="F94" s="130"/>
      <c r="G94" s="128" t="str">
        <f>IF(I79&gt;=8,"8.Taksit","")</f>
        <v/>
      </c>
      <c r="H94" s="309" t="str">
        <f>IF(I79&gt;=8,H93+31,"")</f>
        <v/>
      </c>
      <c r="I94" s="309"/>
      <c r="J94" s="129" t="str">
        <f>IF(I79&gt;=8,I84/I79,"  ")</f>
        <v xml:space="preserve">  </v>
      </c>
      <c r="Q94" s="122"/>
      <c r="R94" s="123" t="str">
        <f>IF(N83&gt;=8,"8.Taksit","")</f>
        <v/>
      </c>
      <c r="S94" s="292" t="str">
        <f>IF(N83&gt;=8,T91/N83,"  ")</f>
        <v xml:space="preserve">  </v>
      </c>
      <c r="T94" s="292"/>
      <c r="U94" s="124" t="str">
        <f>IF(N83&gt;=8,U93+31,"")</f>
        <v/>
      </c>
      <c r="V94" s="114"/>
    </row>
    <row r="95" spans="2:22" ht="15" customHeight="1">
      <c r="B95" s="128" t="str">
        <f>IF(I79&gt;=3,"3.Taksit","  ")</f>
        <v xml:space="preserve">  </v>
      </c>
      <c r="C95" s="309" t="str">
        <f>IF(I79&gt;=3,C94+31,"")</f>
        <v/>
      </c>
      <c r="D95" s="309"/>
      <c r="E95" s="129" t="str">
        <f>IF(I79&gt;=3,I84/I79,"  ")</f>
        <v xml:space="preserve">  </v>
      </c>
      <c r="F95" s="130"/>
      <c r="G95" s="128" t="str">
        <f>IF(I79&gt;=9,"9.Taksit","")</f>
        <v/>
      </c>
      <c r="H95" s="309" t="str">
        <f>IF(I79&gt;=9,H94+31,"")</f>
        <v/>
      </c>
      <c r="I95" s="309"/>
      <c r="J95" s="129" t="str">
        <f>IF(I79&gt;=9,I84/I79,"  ")</f>
        <v xml:space="preserve">  </v>
      </c>
      <c r="Q95" s="122"/>
      <c r="R95" s="123" t="str">
        <f>IF(N83&gt;=9,"9.Taksit","")</f>
        <v/>
      </c>
      <c r="S95" s="292" t="str">
        <f>IF(N83&gt;=9,T91/N83,"  ")</f>
        <v xml:space="preserve">  </v>
      </c>
      <c r="T95" s="292"/>
      <c r="U95" s="124" t="str">
        <f>IF(N83&gt;=9,U94+31,"")</f>
        <v/>
      </c>
      <c r="V95" s="114"/>
    </row>
    <row r="96" spans="2:22" ht="15" customHeight="1">
      <c r="B96" s="128" t="str">
        <f>IF(I79&gt;=4,"4.Taksit","")</f>
        <v/>
      </c>
      <c r="C96" s="309" t="str">
        <f>IF(I79&gt;=4,C95+31,"")</f>
        <v/>
      </c>
      <c r="D96" s="309"/>
      <c r="E96" s="129" t="str">
        <f>IF(I79&gt;=4,I84/I79,"  ")</f>
        <v xml:space="preserve">  </v>
      </c>
      <c r="F96" s="130"/>
      <c r="G96" s="128" t="str">
        <f>IF(I79&gt;=10,"10.Taksit","")</f>
        <v/>
      </c>
      <c r="H96" s="309" t="str">
        <f>IF(I79&gt;=10,H95+31,"")</f>
        <v/>
      </c>
      <c r="I96" s="309"/>
      <c r="J96" s="129" t="str">
        <f>IF(I79&gt;=10,I84/I79,"  ")</f>
        <v xml:space="preserve">  </v>
      </c>
      <c r="Q96" s="122"/>
      <c r="R96" s="123" t="str">
        <f>IF(N83&gt;=10,"10.Taksit","")</f>
        <v/>
      </c>
      <c r="S96" s="292" t="str">
        <f>IF(N83&gt;=10,T91/N83,"  ")</f>
        <v xml:space="preserve">  </v>
      </c>
      <c r="T96" s="292"/>
      <c r="U96" s="124" t="str">
        <f>IF(N83&gt;=10,U95+31,"")</f>
        <v/>
      </c>
      <c r="V96" s="114"/>
    </row>
    <row r="97" spans="1:22" ht="15" customHeight="1">
      <c r="B97" s="128" t="str">
        <f>IF(I79&gt;=5,"5.Taksit","")</f>
        <v/>
      </c>
      <c r="C97" s="309" t="str">
        <f>IF(I79&gt;=5,C96+31,"")</f>
        <v/>
      </c>
      <c r="D97" s="309"/>
      <c r="E97" s="129" t="str">
        <f>IF(I79&gt;=5,I84/I79,"  ")</f>
        <v xml:space="preserve">  </v>
      </c>
      <c r="F97" s="130"/>
      <c r="G97" s="128" t="str">
        <f>IF(I79&gt;=11,"11.Taksit","")</f>
        <v/>
      </c>
      <c r="H97" s="309" t="str">
        <f>IF(I79&gt;=11,H96+31,"")</f>
        <v/>
      </c>
      <c r="I97" s="309"/>
      <c r="J97" s="129" t="str">
        <f>IF(I79&gt;=11,I84/I79,"  ")</f>
        <v xml:space="preserve">  </v>
      </c>
      <c r="Q97" s="122"/>
      <c r="R97" s="123" t="str">
        <f>IF(N83&gt;=11,"11.Taksit","")</f>
        <v/>
      </c>
      <c r="S97" s="292" t="str">
        <f>IF(N83&gt;=11,T91/N83,"  ")</f>
        <v xml:space="preserve">  </v>
      </c>
      <c r="T97" s="292"/>
      <c r="U97" s="124" t="str">
        <f>IF(N83&gt;=11,U96+31,"")</f>
        <v/>
      </c>
      <c r="V97" s="114"/>
    </row>
    <row r="98" spans="1:22" ht="15" customHeight="1">
      <c r="B98" s="128" t="str">
        <f>IF(I79&gt;=6,"6.Taksit","")</f>
        <v/>
      </c>
      <c r="C98" s="309" t="str">
        <f>IF(I79&gt;=6,C97+31,"")</f>
        <v/>
      </c>
      <c r="D98" s="309"/>
      <c r="E98" s="129" t="str">
        <f>IF(I79&gt;=6,I84/I79,"  ")</f>
        <v xml:space="preserve">  </v>
      </c>
      <c r="F98" s="130"/>
      <c r="G98" s="128" t="str">
        <f>IF(I79&gt;=12,"12.Taksit","")</f>
        <v/>
      </c>
      <c r="H98" s="309" t="str">
        <f>IF(I79&gt;=12,H97+31,"")</f>
        <v/>
      </c>
      <c r="I98" s="309"/>
      <c r="J98" s="129" t="str">
        <f>IF(I79&gt;=12,I84/I79,"  ")</f>
        <v xml:space="preserve">  </v>
      </c>
      <c r="Q98" s="122"/>
      <c r="R98" s="123" t="str">
        <f>IF(N83&gt;=12,"12.Taksit","")</f>
        <v/>
      </c>
      <c r="S98" s="292" t="str">
        <f>IF(N83&gt;=12,T91/N83,"  ")</f>
        <v xml:space="preserve">  </v>
      </c>
      <c r="T98" s="292"/>
      <c r="U98" s="124" t="str">
        <f>IF(N83&gt;=12,U97+31,"")</f>
        <v/>
      </c>
      <c r="V98" s="114"/>
    </row>
    <row r="99" spans="1:22" ht="15" customHeight="1">
      <c r="B99" s="119"/>
      <c r="C99" s="291"/>
      <c r="D99" s="291"/>
      <c r="E99" s="120"/>
      <c r="F99" s="115"/>
      <c r="G99" s="119"/>
      <c r="H99" s="291"/>
      <c r="I99" s="291"/>
      <c r="J99" s="120"/>
      <c r="Q99" s="114"/>
      <c r="R99" s="114"/>
      <c r="S99" s="114"/>
      <c r="T99" s="114"/>
      <c r="U99" s="114"/>
      <c r="V99" s="114"/>
    </row>
    <row r="100" spans="1:22" ht="15" customHeight="1">
      <c r="A100" s="288" t="s">
        <v>217</v>
      </c>
      <c r="B100" s="288"/>
      <c r="C100" s="288"/>
      <c r="D100" s="288"/>
      <c r="E100" s="288"/>
      <c r="F100" s="288"/>
      <c r="G100" s="288"/>
      <c r="H100" s="288"/>
      <c r="I100" s="288"/>
      <c r="J100" s="288"/>
      <c r="K100" s="288"/>
    </row>
    <row r="101" spans="1:22" ht="15" customHeight="1">
      <c r="A101" s="308" t="str">
        <f>IF('Bilgi Giriş Sayfası'!C14='Parametre Sayfası'!D14,'Parametre Sayfası'!B33,IF('Bilgi Giriş Sayfası'!C14='Parametre Sayfası'!D15,'Parametre Sayfası'!B34,IF('Bilgi Giriş Sayfası'!C14='Parametre Sayfası'!D16,'Parametre Sayfası'!B35,IF('Bilgi Giriş Sayfası'!C14='Parametre Sayfası'!D17,'Parametre Sayfası'!B36))))</f>
        <v>Makine Fiyatımız İhraç Kayıtlı Olduğu için Kdv İlave Edilmemiştir.</v>
      </c>
      <c r="B101" s="308"/>
      <c r="C101" s="308"/>
      <c r="D101" s="308"/>
      <c r="E101" s="308"/>
      <c r="F101" s="308"/>
      <c r="G101" s="308"/>
      <c r="H101" s="308"/>
      <c r="I101" s="308"/>
      <c r="J101" s="308"/>
      <c r="K101" s="308"/>
    </row>
    <row r="102" spans="1:22" ht="15" customHeight="1">
      <c r="A102" s="288" t="s">
        <v>221</v>
      </c>
      <c r="B102" s="288"/>
      <c r="C102" s="288"/>
      <c r="D102" s="288"/>
      <c r="E102" s="288"/>
      <c r="F102" s="288"/>
      <c r="G102" s="288"/>
      <c r="H102" s="288"/>
      <c r="I102" s="288"/>
      <c r="J102" s="288"/>
      <c r="K102" s="288"/>
    </row>
    <row r="103" spans="1:22" ht="15" customHeight="1">
      <c r="A103" s="307"/>
      <c r="B103" s="307"/>
      <c r="C103" s="307"/>
      <c r="D103" s="307"/>
      <c r="E103" s="307"/>
      <c r="F103" s="307"/>
      <c r="G103" s="307"/>
      <c r="H103" s="307"/>
      <c r="I103" s="307"/>
      <c r="J103" s="307"/>
      <c r="K103" s="307"/>
    </row>
    <row r="104" spans="1:22" ht="15" customHeight="1">
      <c r="A104" s="307"/>
      <c r="B104" s="307"/>
      <c r="C104" s="307"/>
      <c r="D104" s="307"/>
      <c r="E104" s="307"/>
      <c r="F104" s="307"/>
      <c r="G104" s="307"/>
      <c r="H104" s="307"/>
      <c r="I104" s="307"/>
      <c r="J104" s="307"/>
      <c r="K104" s="307"/>
    </row>
    <row r="105" spans="1:22" ht="15" customHeight="1">
      <c r="A105" s="307"/>
      <c r="B105" s="307"/>
      <c r="C105" s="307"/>
      <c r="D105" s="307"/>
      <c r="E105" s="307"/>
      <c r="F105" s="307"/>
      <c r="G105" s="307"/>
      <c r="H105" s="307"/>
      <c r="I105" s="307"/>
      <c r="J105" s="307"/>
      <c r="K105" s="307"/>
    </row>
    <row r="106" spans="1:22" ht="15" customHeight="1"/>
    <row r="107" spans="1:22" ht="15" customHeight="1">
      <c r="B107" s="102"/>
      <c r="C107" s="102"/>
      <c r="D107" s="102"/>
      <c r="E107" s="102"/>
      <c r="G107" s="102"/>
      <c r="H107" s="102"/>
      <c r="I107" s="102"/>
      <c r="J107" s="102"/>
      <c r="K107" s="126"/>
    </row>
    <row r="108" spans="1:22" ht="15" customHeight="1">
      <c r="K108" s="126"/>
    </row>
    <row r="109" spans="1:22" ht="15" customHeight="1">
      <c r="K109" s="126"/>
    </row>
    <row r="110" spans="1:22" ht="15" customHeight="1">
      <c r="K110" s="126"/>
    </row>
    <row r="111" spans="1:22" ht="15" customHeight="1">
      <c r="B111" s="107"/>
      <c r="C111" s="107"/>
      <c r="D111" s="107"/>
      <c r="E111" s="107"/>
      <c r="F111" s="101"/>
      <c r="G111" s="107"/>
      <c r="H111" s="107"/>
      <c r="I111" s="107"/>
      <c r="J111" s="107"/>
      <c r="K111" s="126"/>
    </row>
    <row r="112" spans="1:22" ht="15" customHeight="1">
      <c r="B112" s="102"/>
      <c r="C112" s="102"/>
      <c r="D112" s="102"/>
      <c r="E112" s="102"/>
      <c r="F112" s="127"/>
      <c r="G112" s="102"/>
      <c r="H112" s="102"/>
      <c r="I112" s="102"/>
      <c r="J112" s="102"/>
      <c r="K112" s="126"/>
    </row>
    <row r="113" spans="2:11" ht="15" customHeight="1">
      <c r="B113" s="289" t="s">
        <v>219</v>
      </c>
      <c r="C113" s="289"/>
      <c r="D113" s="289"/>
      <c r="E113" s="289"/>
      <c r="F113" s="127"/>
      <c r="G113" s="289" t="s">
        <v>220</v>
      </c>
      <c r="H113" s="289"/>
      <c r="I113" s="289"/>
      <c r="J113" s="289"/>
      <c r="K113" s="126"/>
    </row>
    <row r="114" spans="2:11" ht="15" customHeight="1">
      <c r="B114" s="113"/>
      <c r="C114" s="113"/>
      <c r="D114" s="113"/>
      <c r="E114" s="113"/>
      <c r="F114" s="127"/>
      <c r="G114" s="113"/>
      <c r="H114" s="113"/>
      <c r="I114" s="113"/>
      <c r="J114" s="113"/>
      <c r="K114" s="126"/>
    </row>
    <row r="115" spans="2:11" ht="15" customHeight="1">
      <c r="B115" s="113"/>
      <c r="C115" s="113"/>
      <c r="D115" s="113"/>
      <c r="E115" s="113"/>
      <c r="F115" s="127"/>
      <c r="G115" s="113"/>
      <c r="H115" s="113"/>
      <c r="I115" s="113"/>
      <c r="J115" s="113"/>
      <c r="K115" s="126"/>
    </row>
    <row r="116" spans="2:11" ht="15" customHeight="1">
      <c r="B116" s="113"/>
      <c r="C116" s="113"/>
      <c r="D116" s="113"/>
      <c r="E116" s="113"/>
      <c r="F116" s="127"/>
      <c r="G116" s="113"/>
      <c r="H116" s="113"/>
      <c r="I116" s="113"/>
      <c r="J116" s="113"/>
      <c r="K116" s="126"/>
    </row>
    <row r="117" spans="2:11" ht="15" customHeight="1">
      <c r="B117" s="113"/>
      <c r="C117" s="113"/>
      <c r="D117" s="113"/>
      <c r="E117" s="113"/>
      <c r="F117" s="127"/>
      <c r="G117" s="113"/>
      <c r="H117" s="113"/>
      <c r="I117" s="113"/>
      <c r="J117" s="113"/>
      <c r="K117" s="126"/>
    </row>
    <row r="118" spans="2:11" ht="15" customHeight="1">
      <c r="B118" s="113"/>
      <c r="C118" s="113"/>
      <c r="D118" s="113"/>
      <c r="E118" s="113"/>
      <c r="F118" s="127"/>
      <c r="G118" s="113"/>
      <c r="H118" s="113"/>
      <c r="I118" s="113"/>
      <c r="J118" s="113"/>
      <c r="K118" s="126"/>
    </row>
    <row r="119" spans="2:11" ht="15" customHeight="1">
      <c r="B119" s="113"/>
      <c r="C119" s="113"/>
      <c r="D119" s="113"/>
      <c r="E119" s="113"/>
      <c r="F119" s="127"/>
      <c r="G119" s="113"/>
      <c r="H119" s="113"/>
      <c r="I119" s="113"/>
      <c r="J119" s="113"/>
      <c r="K119" s="126"/>
    </row>
    <row r="120" spans="2:11" ht="15" customHeight="1">
      <c r="B120" s="113"/>
      <c r="C120" s="113"/>
      <c r="D120" s="113"/>
      <c r="E120" s="113"/>
      <c r="F120" s="127"/>
      <c r="G120" s="113"/>
      <c r="H120" s="113"/>
      <c r="I120" s="113"/>
      <c r="J120" s="113"/>
      <c r="K120" s="126"/>
    </row>
    <row r="121" spans="2:11" ht="15" customHeight="1">
      <c r="B121" s="113"/>
      <c r="C121" s="113"/>
      <c r="D121" s="113"/>
      <c r="E121" s="113"/>
      <c r="F121" s="127"/>
      <c r="G121" s="113"/>
      <c r="H121" s="113"/>
      <c r="I121" s="113"/>
      <c r="J121" s="113"/>
      <c r="K121" s="126"/>
    </row>
    <row r="122" spans="2:11" ht="15" customHeight="1">
      <c r="B122" s="113"/>
      <c r="C122" s="113"/>
      <c r="D122" s="113"/>
      <c r="E122" s="113"/>
      <c r="F122" s="127"/>
      <c r="G122" s="113"/>
      <c r="H122" s="113"/>
      <c r="I122" s="113"/>
      <c r="J122" s="113"/>
      <c r="K122" s="126"/>
    </row>
    <row r="123" spans="2:11" ht="15" customHeight="1">
      <c r="B123" s="104"/>
      <c r="C123" s="101"/>
      <c r="D123" s="287"/>
      <c r="E123" s="287"/>
      <c r="F123" s="92"/>
      <c r="G123" s="104"/>
      <c r="H123" s="101"/>
      <c r="I123" s="287"/>
      <c r="J123" s="287"/>
      <c r="K123" s="126"/>
    </row>
    <row r="124" spans="2:11" ht="15" customHeight="1">
      <c r="B124" s="107"/>
      <c r="C124" s="107"/>
      <c r="D124" s="107"/>
      <c r="E124" s="107"/>
      <c r="F124" s="92"/>
      <c r="G124" s="107"/>
      <c r="H124" s="107"/>
      <c r="I124" s="107"/>
      <c r="J124" s="107"/>
      <c r="K124" s="126"/>
    </row>
    <row r="125" spans="2:11" ht="15" customHeight="1">
      <c r="B125" s="113"/>
      <c r="C125" s="113"/>
      <c r="D125" s="113"/>
      <c r="E125" s="113"/>
      <c r="F125" s="113"/>
      <c r="G125" s="113"/>
      <c r="H125" s="113"/>
      <c r="I125" s="113"/>
      <c r="J125" s="113"/>
      <c r="K125" s="126"/>
    </row>
    <row r="126" spans="2:11" ht="15" customHeight="1">
      <c r="B126" s="113"/>
      <c r="C126" s="113"/>
      <c r="D126" s="113"/>
      <c r="E126" s="113"/>
      <c r="F126" s="113"/>
      <c r="G126" s="113"/>
      <c r="H126" s="127"/>
      <c r="I126" s="127"/>
      <c r="J126" s="127"/>
      <c r="K126" s="126"/>
    </row>
    <row r="127" spans="2:11" ht="15" customHeight="1">
      <c r="B127" s="113"/>
      <c r="C127" s="113"/>
      <c r="D127" s="113"/>
      <c r="E127" s="113"/>
      <c r="F127" s="113"/>
      <c r="G127" s="113"/>
      <c r="H127" s="113"/>
      <c r="I127" s="113"/>
      <c r="J127" s="113"/>
      <c r="K127" s="126"/>
    </row>
    <row r="128" spans="2:11" ht="12.6" customHeight="1">
      <c r="B128" s="113"/>
      <c r="C128" s="113"/>
      <c r="D128" s="113"/>
      <c r="E128" s="113"/>
      <c r="F128" s="113"/>
      <c r="G128" s="113"/>
      <c r="H128" s="127"/>
      <c r="I128" s="127"/>
      <c r="J128" s="127"/>
      <c r="K128" s="126"/>
    </row>
    <row r="129" spans="2:11" ht="12.6" customHeight="1">
      <c r="B129" s="113"/>
      <c r="C129" s="113"/>
      <c r="D129" s="113"/>
      <c r="E129" s="113"/>
      <c r="F129" s="113"/>
      <c r="G129" s="113"/>
      <c r="H129" s="113"/>
      <c r="I129" s="113"/>
      <c r="J129" s="113"/>
      <c r="K129" s="126"/>
    </row>
    <row r="130" spans="2:11" ht="12.6" customHeight="1">
      <c r="B130" s="113"/>
      <c r="C130" s="126"/>
      <c r="D130" s="113"/>
      <c r="E130" s="113"/>
      <c r="F130" s="113"/>
      <c r="G130" s="113"/>
      <c r="H130" s="113"/>
      <c r="I130" s="113"/>
      <c r="J130" s="98"/>
      <c r="K130" s="126"/>
    </row>
    <row r="131" spans="2:11" ht="12.6" customHeight="1">
      <c r="B131" s="126"/>
      <c r="C131" s="126"/>
      <c r="D131" s="126"/>
      <c r="E131" s="126"/>
      <c r="F131" s="126"/>
      <c r="G131" s="126"/>
      <c r="H131" s="126"/>
      <c r="I131" s="126"/>
      <c r="J131" s="126"/>
      <c r="K131" s="126"/>
    </row>
    <row r="132" spans="2:11" ht="12.6" customHeight="1">
      <c r="B132" s="126"/>
      <c r="C132" s="126"/>
      <c r="D132" s="126"/>
      <c r="E132" s="126"/>
      <c r="F132" s="126"/>
      <c r="G132" s="126"/>
      <c r="H132" s="126"/>
      <c r="I132" s="126"/>
      <c r="J132" s="126"/>
      <c r="K132" s="126"/>
    </row>
    <row r="133" spans="2:11" ht="12.6" customHeight="1"/>
    <row r="134" spans="2:11" ht="12.6" customHeight="1"/>
    <row r="135" spans="2:11" ht="12.6" customHeight="1"/>
    <row r="136" spans="2:11" ht="12.6" customHeight="1"/>
  </sheetData>
  <mergeCells count="61">
    <mergeCell ref="G3:J4"/>
    <mergeCell ref="H8:J8"/>
    <mergeCell ref="H9:J9"/>
    <mergeCell ref="H10:J10"/>
    <mergeCell ref="H11:J11"/>
    <mergeCell ref="H12:J12"/>
    <mergeCell ref="I17:J17"/>
    <mergeCell ref="B26:F26"/>
    <mergeCell ref="I57:J57"/>
    <mergeCell ref="I58:J58"/>
    <mergeCell ref="I59:J59"/>
    <mergeCell ref="G65:J66"/>
    <mergeCell ref="H70:J70"/>
    <mergeCell ref="H71:J71"/>
    <mergeCell ref="H72:J72"/>
    <mergeCell ref="B76:E76"/>
    <mergeCell ref="G76:J76"/>
    <mergeCell ref="D79:E79"/>
    <mergeCell ref="I79:J79"/>
    <mergeCell ref="D80:E80"/>
    <mergeCell ref="I80:J80"/>
    <mergeCell ref="D81:E81"/>
    <mergeCell ref="I81:J81"/>
    <mergeCell ref="D82:E82"/>
    <mergeCell ref="I82:J82"/>
    <mergeCell ref="D83:E83"/>
    <mergeCell ref="I83:J83"/>
    <mergeCell ref="D84:E84"/>
    <mergeCell ref="I84:J84"/>
    <mergeCell ref="D85:E85"/>
    <mergeCell ref="B90:J90"/>
    <mergeCell ref="C93:D93"/>
    <mergeCell ref="H93:I93"/>
    <mergeCell ref="S93:T93"/>
    <mergeCell ref="C94:D94"/>
    <mergeCell ref="H94:I94"/>
    <mergeCell ref="S94:T94"/>
    <mergeCell ref="C95:D95"/>
    <mergeCell ref="H95:I95"/>
    <mergeCell ref="S95:T95"/>
    <mergeCell ref="C96:D96"/>
    <mergeCell ref="H96:I96"/>
    <mergeCell ref="S96:T96"/>
    <mergeCell ref="C97:D97"/>
    <mergeCell ref="H97:I97"/>
    <mergeCell ref="S97:T97"/>
    <mergeCell ref="C98:D98"/>
    <mergeCell ref="H98:I98"/>
    <mergeCell ref="S98:T98"/>
    <mergeCell ref="C99:D99"/>
    <mergeCell ref="H99:I99"/>
    <mergeCell ref="A100:K100"/>
    <mergeCell ref="A101:K101"/>
    <mergeCell ref="A102:K102"/>
    <mergeCell ref="A103:K103"/>
    <mergeCell ref="A104:K104"/>
    <mergeCell ref="A105:K105"/>
    <mergeCell ref="B113:E113"/>
    <mergeCell ref="G113:J113"/>
    <mergeCell ref="D123:E123"/>
    <mergeCell ref="I123:J123"/>
  </mergeCells>
  <printOptions horizontalCentered="1" verticalCentered="1"/>
  <pageMargins left="0.196527777777778" right="0.196527777777778" top="0.196527777777778" bottom="0.196527777777778" header="0.511811023622047" footer="0.511811023622047"/>
  <pageSetup paperSize="9" scale="86" orientation="portrait" horizontalDpi="300" verticalDpi="300" r:id="rId1"/>
  <rowBreaks count="1" manualBreakCount="1">
    <brk id="6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6"/>
  <sheetViews>
    <sheetView showGridLines="0" view="pageBreakPreview" topLeftCell="A22" zoomScale="95" zoomScaleNormal="100" zoomScalePageLayoutView="95" workbookViewId="0">
      <selection activeCell="R47" activeCellId="1" sqref="A100:K102 R47"/>
    </sheetView>
  </sheetViews>
  <sheetFormatPr defaultColWidth="9.140625" defaultRowHeight="15"/>
  <cols>
    <col min="1" max="3" width="10.7109375" style="67" customWidth="1"/>
    <col min="4" max="4" width="7.7109375" style="67" customWidth="1"/>
    <col min="5" max="5" width="14" style="67" customWidth="1"/>
    <col min="6" max="9" width="10.7109375" style="67" customWidth="1"/>
    <col min="10" max="10" width="12" style="67" customWidth="1"/>
    <col min="11" max="11" width="7.5703125" style="67" customWidth="1"/>
  </cols>
  <sheetData>
    <row r="1" spans="2:10" ht="15" customHeight="1"/>
    <row r="2" spans="2:10" ht="15" customHeight="1"/>
    <row r="3" spans="2:10" ht="15" customHeight="1">
      <c r="F3" s="68"/>
      <c r="G3" s="300" t="s">
        <v>162</v>
      </c>
      <c r="H3" s="300"/>
      <c r="I3" s="300"/>
      <c r="J3" s="300"/>
    </row>
    <row r="4" spans="2:10" ht="15" customHeight="1">
      <c r="F4" s="68"/>
      <c r="G4" s="300"/>
      <c r="H4" s="300"/>
      <c r="I4" s="300"/>
      <c r="J4" s="300"/>
    </row>
    <row r="5" spans="2:10" ht="15" customHeight="1">
      <c r="G5" s="69"/>
      <c r="H5" s="69"/>
      <c r="I5" s="70" t="s">
        <v>163</v>
      </c>
      <c r="J5" s="71">
        <f>'Bilgi Giriş Sayfası'!C13</f>
        <v>5003</v>
      </c>
    </row>
    <row r="6" spans="2:10" ht="15" customHeight="1">
      <c r="B6" s="72"/>
      <c r="C6" s="72"/>
      <c r="D6" s="72"/>
      <c r="E6" s="72"/>
      <c r="F6" s="72"/>
      <c r="G6" s="73"/>
      <c r="H6" s="73"/>
      <c r="I6" s="73"/>
      <c r="J6" s="73"/>
    </row>
    <row r="7" spans="2:10" ht="15" customHeight="1">
      <c r="B7" s="74" t="s">
        <v>164</v>
      </c>
      <c r="C7" s="72"/>
      <c r="D7" s="72"/>
      <c r="E7" s="72"/>
      <c r="F7" s="72"/>
      <c r="G7" s="71" t="s">
        <v>165</v>
      </c>
      <c r="H7" s="72"/>
      <c r="I7" s="72"/>
      <c r="J7" s="72"/>
    </row>
    <row r="8" spans="2:10" ht="15" customHeight="1">
      <c r="B8" s="72" t="s">
        <v>166</v>
      </c>
      <c r="C8" s="72"/>
      <c r="D8" s="72"/>
      <c r="E8" s="72"/>
      <c r="F8" s="72"/>
      <c r="G8" s="75" t="s">
        <v>167</v>
      </c>
      <c r="H8" s="303" t="str">
        <f>'Bilgi Giriş Sayfası'!C2</f>
        <v>Aygen Mekatronik San.Ve Tic.Ltd.Şti</v>
      </c>
      <c r="I8" s="303"/>
      <c r="J8" s="303"/>
    </row>
    <row r="9" spans="2:10" ht="15" customHeight="1">
      <c r="B9" s="72" t="s">
        <v>168</v>
      </c>
      <c r="C9" s="72"/>
      <c r="D9" s="72" t="s">
        <v>169</v>
      </c>
      <c r="E9" s="72"/>
      <c r="F9" s="72"/>
      <c r="G9" s="75" t="s">
        <v>170</v>
      </c>
      <c r="H9" s="303" t="str">
        <f>'Bilgi Giriş Sayfası'!C4:C4</f>
        <v>Hatay</v>
      </c>
      <c r="I9" s="303"/>
      <c r="J9" s="303"/>
    </row>
    <row r="10" spans="2:10" ht="15" customHeight="1">
      <c r="B10" s="72"/>
      <c r="C10" s="72"/>
      <c r="D10" s="72"/>
      <c r="E10" s="72"/>
      <c r="F10" s="72"/>
      <c r="G10" s="75" t="s">
        <v>171</v>
      </c>
      <c r="H10" s="303" t="str">
        <f>'Bilgi Giriş Sayfası'!C7</f>
        <v>+90 535 237 58 21</v>
      </c>
      <c r="I10" s="303"/>
      <c r="J10" s="303"/>
    </row>
    <row r="11" spans="2:10" ht="15" customHeight="1">
      <c r="B11" s="72"/>
      <c r="C11" s="72"/>
      <c r="D11" s="72"/>
      <c r="E11" s="72"/>
      <c r="F11" s="72"/>
      <c r="G11" s="75" t="s">
        <v>172</v>
      </c>
      <c r="H11" s="303" t="str">
        <f>'Bilgi Giriş Sayfası'!C9</f>
        <v>-</v>
      </c>
      <c r="I11" s="303"/>
      <c r="J11" s="303"/>
    </row>
    <row r="12" spans="2:10" ht="15" customHeight="1">
      <c r="B12" s="72"/>
      <c r="C12" s="72"/>
      <c r="D12" s="72"/>
      <c r="E12" s="72"/>
      <c r="F12" s="72"/>
      <c r="G12" s="75" t="s">
        <v>173</v>
      </c>
      <c r="H12" s="303" t="str">
        <f>'Bilgi Giriş Sayfası'!C3</f>
        <v>Koray Aygen</v>
      </c>
      <c r="I12" s="303"/>
      <c r="J12" s="303"/>
    </row>
    <row r="13" spans="2:10" ht="15" customHeight="1">
      <c r="B13" s="72"/>
      <c r="C13" s="72"/>
      <c r="D13" s="72"/>
      <c r="E13" s="72"/>
      <c r="F13" s="72"/>
      <c r="G13" s="75" t="s">
        <v>174</v>
      </c>
      <c r="H13" s="76" t="str">
        <f>'Bilgi Giriş Sayfası'!C8</f>
        <v>-</v>
      </c>
      <c r="I13" s="77"/>
      <c r="J13" s="77"/>
    </row>
    <row r="14" spans="2:10" ht="15" customHeight="1">
      <c r="B14" s="72"/>
      <c r="C14" s="72"/>
      <c r="D14" s="72"/>
      <c r="E14" s="72"/>
      <c r="F14" s="72"/>
      <c r="G14" s="75" t="s">
        <v>175</v>
      </c>
      <c r="H14" s="76" t="str">
        <f>'Bilgi Giriş Sayfası'!C10</f>
        <v>-</v>
      </c>
      <c r="I14" s="72"/>
      <c r="J14" s="72"/>
    </row>
    <row r="15" spans="2:10" ht="15" customHeight="1">
      <c r="B15" s="72"/>
      <c r="C15" s="72"/>
      <c r="D15" s="72"/>
      <c r="E15" s="72"/>
      <c r="F15" s="72"/>
      <c r="G15" s="78"/>
      <c r="H15" s="78"/>
      <c r="I15" s="78"/>
      <c r="J15" s="78"/>
    </row>
    <row r="16" spans="2:10" ht="15" customHeight="1">
      <c r="B16" s="72"/>
      <c r="C16" s="72"/>
      <c r="D16" s="72"/>
      <c r="E16" s="72"/>
      <c r="F16" s="72"/>
      <c r="G16" s="73"/>
      <c r="H16" s="73"/>
      <c r="I16" s="73"/>
      <c r="J16" s="73"/>
    </row>
    <row r="17" spans="2:10" ht="15" customHeight="1">
      <c r="B17" s="72"/>
      <c r="C17" s="72"/>
      <c r="D17" s="72"/>
      <c r="E17" s="72"/>
      <c r="F17" s="72"/>
      <c r="G17" s="71" t="s">
        <v>176</v>
      </c>
      <c r="H17" s="72"/>
      <c r="I17" s="304">
        <f ca="1">'Bilgi Giriş Sayfası'!F16</f>
        <v>44587</v>
      </c>
      <c r="J17" s="304"/>
    </row>
    <row r="18" spans="2:10" ht="15" customHeight="1">
      <c r="B18" s="72"/>
      <c r="C18" s="72"/>
      <c r="D18" s="72"/>
      <c r="E18" s="72"/>
      <c r="F18" s="72"/>
      <c r="G18" s="71" t="s">
        <v>177</v>
      </c>
      <c r="H18" s="80"/>
      <c r="I18" s="80" t="s">
        <v>178</v>
      </c>
      <c r="J18" s="80"/>
    </row>
    <row r="19" spans="2:10" ht="15" customHeight="1">
      <c r="B19" s="72"/>
      <c r="C19" s="72"/>
      <c r="D19" s="72"/>
      <c r="E19" s="72"/>
      <c r="F19" s="72"/>
      <c r="G19" s="78"/>
      <c r="H19" s="78"/>
      <c r="I19" s="78"/>
      <c r="J19" s="78"/>
    </row>
    <row r="20" spans="2:10" ht="15" customHeight="1">
      <c r="B20" s="72"/>
      <c r="C20" s="72"/>
      <c r="D20" s="72"/>
      <c r="E20" s="72"/>
      <c r="F20" s="72"/>
      <c r="G20" s="73"/>
      <c r="H20" s="73"/>
      <c r="I20" s="73"/>
      <c r="J20" s="73"/>
    </row>
    <row r="21" spans="2:10" ht="15" customHeight="1">
      <c r="B21" s="72"/>
      <c r="C21" s="72"/>
      <c r="D21" s="72"/>
      <c r="E21" s="72"/>
      <c r="F21" s="72"/>
      <c r="G21" s="72"/>
      <c r="H21" s="72"/>
      <c r="I21" s="72"/>
      <c r="J21" s="72"/>
    </row>
    <row r="22" spans="2:10" ht="15" customHeight="1">
      <c r="B22" s="81" t="s">
        <v>179</v>
      </c>
      <c r="C22" s="81"/>
      <c r="D22" s="81"/>
      <c r="E22" s="81"/>
      <c r="F22" s="72"/>
      <c r="G22" s="82" t="s">
        <v>180</v>
      </c>
      <c r="H22" s="82" t="s">
        <v>181</v>
      </c>
      <c r="I22" s="82" t="s">
        <v>130</v>
      </c>
      <c r="J22" s="82" t="s">
        <v>182</v>
      </c>
    </row>
    <row r="23" spans="2:10" ht="15" customHeight="1">
      <c r="B23" s="83"/>
      <c r="C23" s="83"/>
      <c r="D23" s="83"/>
      <c r="E23" s="83"/>
      <c r="F23" s="83"/>
      <c r="G23" s="84"/>
      <c r="H23" s="85" t="s">
        <v>183</v>
      </c>
      <c r="I23" s="86">
        <v>0.18</v>
      </c>
      <c r="J23" s="85"/>
    </row>
    <row r="24" spans="2:10" ht="15" customHeight="1"/>
    <row r="25" spans="2:10" ht="15" customHeight="1"/>
    <row r="26" spans="2:10" ht="15" customHeight="1">
      <c r="B26" s="302" t="str">
        <f>"ROBOCUT "&amp;'Bilgi Giriş Sayfası'!C20&amp;" CNC PLAZMA KESİM MAKİNESİ"</f>
        <v>ROBOCUT RED LİNE CNC PLAZMA KESİM MAKİNESİ</v>
      </c>
      <c r="C26" s="302"/>
      <c r="D26" s="302"/>
      <c r="E26" s="302"/>
      <c r="F26" s="302"/>
      <c r="G26" s="87">
        <v>1</v>
      </c>
      <c r="H26" s="88">
        <f>'Bilgi Giriş Sayfası'!F3*'Bilgi Giriş Sayfası'!G3</f>
        <v>217000</v>
      </c>
      <c r="I26" s="88">
        <f>H26*18%</f>
        <v>39060</v>
      </c>
      <c r="J26" s="88">
        <f>(H26)+(H26*18%)</f>
        <v>256060</v>
      </c>
    </row>
    <row r="27" spans="2:10" ht="15" customHeight="1">
      <c r="B27" s="79"/>
      <c r="C27" s="79"/>
      <c r="D27" s="79"/>
      <c r="E27" s="79"/>
      <c r="F27" s="79"/>
      <c r="G27" s="89"/>
      <c r="H27" s="90"/>
      <c r="I27" s="90"/>
      <c r="J27" s="90"/>
    </row>
    <row r="28" spans="2:10" ht="15" customHeight="1">
      <c r="B28" s="72"/>
      <c r="C28" s="91" t="str">
        <f>'Bilgi Giriş Sayfası'!F20&amp;" Kesim Alanı"</f>
        <v>1500 x 3000 mm Kesim Alanı</v>
      </c>
      <c r="D28" s="92"/>
      <c r="E28" s="92"/>
      <c r="F28" s="92"/>
      <c r="G28" s="72"/>
      <c r="H28" s="72"/>
      <c r="I28" s="72"/>
      <c r="J28" s="72"/>
    </row>
    <row r="29" spans="2:10" ht="15" customHeight="1">
      <c r="B29" s="72"/>
      <c r="C29" s="91" t="str">
        <f>'Bilgi Giriş Sayfası'!F21&amp;" Tezgah Ölçüleri"</f>
        <v>2300 x 4000 mm Tezgah Ölçüleri</v>
      </c>
      <c r="D29" s="92"/>
      <c r="E29" s="92"/>
      <c r="F29" s="92"/>
      <c r="G29" s="72"/>
      <c r="H29" s="72"/>
      <c r="I29" s="72"/>
      <c r="J29" s="72"/>
    </row>
    <row r="30" spans="2:10" ht="15" customHeight="1">
      <c r="B30" s="72"/>
      <c r="C30" s="91" t="str">
        <f>'Bilgi Giriş Sayfası'!C21  &amp;  " Plazma Kesim Ünitesi"</f>
        <v>Hypertherm Powermax 105 Plazma Kesim Ünitesi</v>
      </c>
      <c r="D30" s="92"/>
      <c r="E30" s="92"/>
      <c r="F30" s="92"/>
      <c r="G30" s="72"/>
      <c r="H30" s="72"/>
      <c r="I30" s="72"/>
      <c r="J30" s="72"/>
    </row>
    <row r="31" spans="2:10" ht="15" customHeight="1">
      <c r="B31" s="72"/>
      <c r="C31" s="91" t="str">
        <f>"Dünyanın En İyi Kesim Teknolojisi İle  (Siyah Saç) Kalınlık "&amp;'Bilgi Giriş Sayfası'!C22</f>
        <v>Dünyanın En İyi Kesim Teknolojisi İle  (Siyah Saç) Kalınlık 1 mm - 22 mm</v>
      </c>
      <c r="D31" s="92"/>
      <c r="E31" s="92"/>
      <c r="F31" s="92"/>
      <c r="G31" s="72"/>
      <c r="H31" s="72"/>
      <c r="I31" s="72"/>
      <c r="J31" s="72"/>
    </row>
    <row r="32" spans="2:10" ht="15" customHeight="1">
      <c r="B32" s="72"/>
      <c r="C32" s="91" t="s">
        <v>184</v>
      </c>
      <c r="D32" s="92"/>
      <c r="E32" s="92"/>
      <c r="F32" s="92"/>
      <c r="G32" s="72"/>
      <c r="H32" s="72"/>
      <c r="I32" s="72"/>
      <c r="J32" s="72"/>
    </row>
    <row r="33" spans="2:14" ht="15" customHeight="1">
      <c r="B33" s="72"/>
      <c r="C33" s="91" t="str">
        <f>'Bilgi Giriş Sayfası'!F23&amp;" Yükseklik Kontrol Cihazı"</f>
        <v>Kapasitif Yükseklik Kontrol Cihazı</v>
      </c>
      <c r="D33" s="92"/>
      <c r="E33" s="92"/>
      <c r="F33" s="92"/>
      <c r="G33" s="72"/>
      <c r="H33" s="72"/>
      <c r="I33" s="72"/>
      <c r="J33" s="72"/>
    </row>
    <row r="34" spans="2:14" ht="15" customHeight="1">
      <c r="B34" s="72"/>
      <c r="C34" s="91" t="s">
        <v>185</v>
      </c>
      <c r="D34" s="92"/>
      <c r="E34" s="92"/>
      <c r="F34" s="92"/>
      <c r="G34" s="72"/>
      <c r="H34" s="72"/>
      <c r="I34" s="72"/>
      <c r="J34" s="72"/>
    </row>
    <row r="35" spans="2:14" ht="15" customHeight="1">
      <c r="B35" s="72"/>
      <c r="C35" s="91" t="s">
        <v>186</v>
      </c>
      <c r="D35" s="92"/>
      <c r="E35" s="92"/>
      <c r="F35" s="92"/>
      <c r="G35" s="72"/>
      <c r="H35" s="72"/>
      <c r="I35" s="72"/>
      <c r="J35" s="72"/>
    </row>
    <row r="36" spans="2:14" ht="15" customHeight="1">
      <c r="B36" s="72"/>
      <c r="C36" s="91" t="str">
        <f>"Hassas Taşlanmış "&amp; 'Bilgi Giriş Sayfası'!C23 &amp; " 'larda Hareket"</f>
        <v>Hassas Taşlanmış Hassas Lineer Ray 'larda Hareket</v>
      </c>
      <c r="D36" s="92"/>
      <c r="E36" s="92"/>
      <c r="F36" s="92"/>
      <c r="G36" s="72"/>
      <c r="H36" s="72"/>
      <c r="I36" s="72"/>
      <c r="J36" s="72"/>
    </row>
    <row r="37" spans="2:14" ht="15" customHeight="1">
      <c r="B37" s="72"/>
      <c r="C37" s="91" t="str">
        <f>"Hassas Taşlanmış "&amp;'Bilgi Giriş Sayfası'!C24&amp;" Tahrik Sistemi Sayesinde Titreşimsiz Hareket"</f>
        <v>Hassas Taşlanmış Hassas Helis Kremayer Tahrik Sistemi Sayesinde Titreşimsiz Hareket</v>
      </c>
      <c r="D37" s="92"/>
      <c r="E37" s="92"/>
      <c r="F37" s="92"/>
      <c r="G37" s="72"/>
      <c r="H37" s="72"/>
      <c r="I37" s="72"/>
      <c r="J37" s="72"/>
      <c r="N37" s="93"/>
    </row>
    <row r="38" spans="2:14" ht="15" customHeight="1">
      <c r="B38" s="72"/>
      <c r="C38" s="91" t="str">
        <f>'Bilgi Giriş Sayfası'!C25&amp;" Motorlar ve Sürücüler"</f>
        <v>8,5 Nm Leadshine Digital Stepper Motorlar ve Sürücüler</v>
      </c>
      <c r="D38" s="92"/>
      <c r="E38" s="92"/>
      <c r="F38" s="92"/>
      <c r="G38" s="72"/>
      <c r="H38" s="72"/>
      <c r="I38" s="72"/>
      <c r="J38" s="72"/>
    </row>
    <row r="39" spans="2:14" ht="15" customHeight="1">
      <c r="B39" s="72"/>
      <c r="C39" s="91" t="str">
        <f>'Bilgi Giriş Sayfası'!F22&amp;" Cnc Kontrol Ünitesi "</f>
        <v xml:space="preserve">Windows Cnc Kontrol Ünitesi </v>
      </c>
      <c r="D39" s="92"/>
      <c r="E39" s="92"/>
      <c r="F39" s="92"/>
      <c r="G39" s="72"/>
      <c r="H39" s="72"/>
      <c r="I39" s="72"/>
      <c r="J39" s="72"/>
    </row>
    <row r="40" spans="2:14" ht="15" customHeight="1">
      <c r="B40" s="72"/>
      <c r="C40" s="91" t="s">
        <v>187</v>
      </c>
      <c r="D40" s="92"/>
      <c r="E40" s="92"/>
      <c r="F40" s="92"/>
      <c r="G40" s="72"/>
      <c r="H40" s="72"/>
      <c r="I40" s="72"/>
      <c r="J40" s="72"/>
    </row>
    <row r="41" spans="2:14" ht="15" customHeight="1">
      <c r="B41" s="72"/>
      <c r="C41" s="91" t="s">
        <v>188</v>
      </c>
      <c r="D41" s="92"/>
      <c r="E41" s="92"/>
      <c r="F41" s="92"/>
      <c r="G41" s="72"/>
      <c r="H41" s="72"/>
      <c r="I41" s="72"/>
      <c r="J41" s="72"/>
    </row>
    <row r="42" spans="2:14" ht="15" customHeight="1">
      <c r="B42" s="72"/>
      <c r="C42" s="91" t="s">
        <v>189</v>
      </c>
      <c r="D42" s="92"/>
      <c r="E42" s="92"/>
      <c r="F42" s="92"/>
      <c r="G42" s="72"/>
      <c r="H42" s="72"/>
      <c r="I42" s="72"/>
      <c r="J42" s="72"/>
    </row>
    <row r="43" spans="2:14" ht="15" customHeight="1">
      <c r="B43" s="72"/>
      <c r="C43" s="91" t="s">
        <v>190</v>
      </c>
      <c r="D43" s="92"/>
      <c r="E43" s="92"/>
      <c r="F43" s="92"/>
      <c r="G43" s="72"/>
      <c r="H43" s="72"/>
      <c r="I43" s="72"/>
      <c r="J43" s="72"/>
    </row>
    <row r="44" spans="2:14" ht="15" customHeight="1">
      <c r="B44" s="72"/>
      <c r="C44" s="91" t="s">
        <v>191</v>
      </c>
      <c r="D44" s="92"/>
      <c r="E44" s="92"/>
      <c r="F44" s="92"/>
      <c r="G44" s="72"/>
      <c r="H44" s="72"/>
      <c r="I44" s="72"/>
      <c r="J44" s="72"/>
    </row>
    <row r="45" spans="2:14" ht="15" customHeight="1">
      <c r="B45" s="72"/>
      <c r="C45" s="91" t="s">
        <v>192</v>
      </c>
      <c r="D45" s="92"/>
      <c r="E45" s="92"/>
      <c r="F45" s="92"/>
      <c r="G45" s="72"/>
      <c r="H45" s="72"/>
      <c r="I45" s="72"/>
      <c r="J45" s="72"/>
    </row>
    <row r="46" spans="2:14" ht="15" customHeight="1">
      <c r="B46" s="72"/>
      <c r="C46" s="91" t="s">
        <v>193</v>
      </c>
      <c r="D46" s="92"/>
      <c r="E46" s="92"/>
      <c r="F46" s="92"/>
      <c r="G46" s="72"/>
      <c r="H46" s="72"/>
      <c r="I46" s="72"/>
      <c r="J46" s="72"/>
    </row>
    <row r="47" spans="2:14" ht="15" customHeight="1">
      <c r="B47" s="72"/>
      <c r="C47" s="91" t="s">
        <v>194</v>
      </c>
      <c r="D47" s="92"/>
      <c r="E47" s="92"/>
      <c r="F47" s="92"/>
      <c r="G47" s="72"/>
      <c r="H47" s="72"/>
      <c r="I47" s="72"/>
      <c r="J47" s="72"/>
    </row>
    <row r="48" spans="2:14" ht="15" customHeight="1">
      <c r="B48" s="72"/>
      <c r="C48" s="91" t="s">
        <v>195</v>
      </c>
      <c r="D48" s="92"/>
      <c r="E48" s="92"/>
      <c r="F48" s="92"/>
      <c r="G48" s="72"/>
      <c r="H48" s="72"/>
      <c r="I48" s="72"/>
      <c r="J48" s="72"/>
    </row>
    <row r="49" spans="2:10" ht="15" customHeight="1">
      <c r="B49" s="72"/>
      <c r="C49" s="91" t="s">
        <v>196</v>
      </c>
      <c r="D49" s="92"/>
      <c r="E49" s="92"/>
      <c r="F49" s="92"/>
      <c r="G49" s="72"/>
      <c r="H49" s="72"/>
      <c r="I49" s="72"/>
      <c r="J49" s="72"/>
    </row>
    <row r="50" spans="2:10" ht="15" customHeight="1">
      <c r="B50" s="72"/>
      <c r="C50" s="91"/>
      <c r="D50" s="92"/>
      <c r="E50" s="92"/>
      <c r="F50" s="81"/>
      <c r="G50" s="72"/>
      <c r="H50" s="72"/>
      <c r="I50" s="72"/>
      <c r="J50" s="72"/>
    </row>
    <row r="51" spans="2:10" ht="15" customHeight="1">
      <c r="B51" s="72"/>
      <c r="C51" s="91"/>
      <c r="D51" s="92"/>
      <c r="E51" s="92"/>
      <c r="F51" s="91"/>
      <c r="G51" s="72"/>
      <c r="H51" s="72"/>
      <c r="I51" s="72"/>
      <c r="J51" s="72"/>
    </row>
    <row r="52" spans="2:10" ht="15" customHeight="1">
      <c r="B52" s="72"/>
      <c r="C52" s="91"/>
      <c r="D52" s="92"/>
      <c r="E52" s="92"/>
      <c r="F52" s="91"/>
      <c r="G52" s="72"/>
      <c r="H52" s="72"/>
      <c r="I52" s="72"/>
      <c r="J52" s="72"/>
    </row>
    <row r="53" spans="2:10" ht="15" customHeight="1">
      <c r="B53" s="72"/>
      <c r="C53" s="91"/>
      <c r="D53" s="92"/>
      <c r="E53" s="92"/>
      <c r="F53" s="91"/>
      <c r="G53" s="72"/>
      <c r="H53" s="72"/>
      <c r="I53" s="72"/>
      <c r="J53" s="72"/>
    </row>
    <row r="54" spans="2:10" ht="15" customHeight="1">
      <c r="B54" s="72"/>
      <c r="C54" s="91"/>
      <c r="D54" s="92"/>
      <c r="E54" s="92"/>
      <c r="F54" s="91"/>
      <c r="G54" s="72"/>
      <c r="H54" s="72"/>
      <c r="I54" s="72"/>
      <c r="J54" s="72"/>
    </row>
    <row r="55" spans="2:10" ht="15" customHeight="1">
      <c r="B55" s="94" t="s">
        <v>197</v>
      </c>
      <c r="C55" s="95"/>
      <c r="D55" s="95"/>
      <c r="E55" s="95"/>
      <c r="F55" s="95"/>
      <c r="G55" s="83"/>
      <c r="H55" s="83"/>
      <c r="I55" s="83"/>
      <c r="J55" s="83"/>
    </row>
    <row r="56" spans="2:10" ht="15" customHeight="1">
      <c r="B56" s="72"/>
      <c r="C56" s="72"/>
      <c r="D56" s="72"/>
      <c r="E56" s="72"/>
      <c r="F56" s="72"/>
      <c r="G56" s="72"/>
      <c r="H56" s="72"/>
      <c r="I56" s="72"/>
      <c r="J56" s="72"/>
    </row>
    <row r="57" spans="2:10" ht="15" customHeight="1">
      <c r="C57" s="72"/>
      <c r="D57" s="72"/>
      <c r="E57" s="72"/>
      <c r="F57" s="72"/>
      <c r="G57" s="78" t="s">
        <v>198</v>
      </c>
      <c r="H57" s="78"/>
      <c r="I57" s="314">
        <f>'Bilgi Giriş Sayfası'!J3</f>
        <v>21700</v>
      </c>
      <c r="J57" s="314"/>
    </row>
    <row r="58" spans="2:10" ht="15" customHeight="1">
      <c r="B58" s="72"/>
      <c r="C58" s="72"/>
      <c r="D58" s="72"/>
      <c r="E58" s="72"/>
      <c r="F58" s="72"/>
      <c r="G58" s="96" t="s">
        <v>130</v>
      </c>
      <c r="H58" s="96"/>
      <c r="I58" s="315">
        <f>'Bilgi Giriş Sayfası'!J9</f>
        <v>0</v>
      </c>
      <c r="J58" s="315"/>
    </row>
    <row r="59" spans="2:10" ht="15" customHeight="1">
      <c r="B59" s="72"/>
      <c r="C59" s="72"/>
      <c r="D59" s="72"/>
      <c r="E59" s="72"/>
      <c r="F59" s="72"/>
      <c r="G59" s="96" t="s">
        <v>199</v>
      </c>
      <c r="H59" s="96"/>
      <c r="I59" s="313">
        <f>I57+I58</f>
        <v>21700</v>
      </c>
      <c r="J59" s="313"/>
    </row>
    <row r="60" spans="2:10" ht="15" customHeight="1">
      <c r="B60" s="72"/>
      <c r="C60" s="72"/>
      <c r="D60" s="72"/>
      <c r="E60" s="72"/>
      <c r="F60" s="72"/>
      <c r="G60" s="72"/>
      <c r="H60" s="72"/>
      <c r="I60" s="72"/>
      <c r="J60" s="72"/>
    </row>
    <row r="61" spans="2:10" ht="15" customHeight="1">
      <c r="B61" s="80"/>
      <c r="C61" s="72"/>
      <c r="D61" s="80"/>
      <c r="E61" s="80"/>
      <c r="F61" s="80"/>
      <c r="G61" s="80"/>
      <c r="H61" s="97"/>
      <c r="I61" s="97"/>
      <c r="J61" s="98" t="s">
        <v>200</v>
      </c>
    </row>
    <row r="62" spans="2:10" ht="15" customHeight="1"/>
    <row r="63" spans="2:10" ht="15" customHeight="1"/>
    <row r="64" spans="2:10" ht="15" customHeight="1"/>
    <row r="65" spans="2:10" ht="15" customHeight="1">
      <c r="F65" s="68"/>
      <c r="G65" s="300" t="s">
        <v>201</v>
      </c>
      <c r="H65" s="300"/>
      <c r="I65" s="300"/>
      <c r="J65" s="300"/>
    </row>
    <row r="66" spans="2:10" ht="15" customHeight="1">
      <c r="F66" s="68"/>
      <c r="G66" s="300"/>
      <c r="H66" s="300"/>
      <c r="I66" s="300"/>
      <c r="J66" s="300"/>
    </row>
    <row r="67" spans="2:10" ht="15" customHeight="1">
      <c r="G67" s="69"/>
      <c r="H67" s="69"/>
      <c r="I67" s="99" t="s">
        <v>163</v>
      </c>
      <c r="J67" s="100">
        <f>'Bilgi Giriş Sayfası'!C13</f>
        <v>5003</v>
      </c>
    </row>
    <row r="68" spans="2:10" ht="15" customHeight="1">
      <c r="B68" s="101"/>
      <c r="C68" s="101"/>
      <c r="D68" s="101"/>
      <c r="E68" s="101"/>
      <c r="F68" s="101"/>
      <c r="G68" s="102"/>
      <c r="H68" s="102"/>
      <c r="I68" s="102"/>
      <c r="J68" s="102"/>
    </row>
    <row r="69" spans="2:10" ht="15" customHeight="1">
      <c r="B69" s="103" t="s">
        <v>164</v>
      </c>
      <c r="C69" s="101"/>
      <c r="D69" s="101"/>
      <c r="E69" s="101"/>
      <c r="F69" s="101"/>
      <c r="G69" s="104" t="s">
        <v>202</v>
      </c>
      <c r="H69" s="101"/>
      <c r="I69" s="101"/>
      <c r="J69" s="101"/>
    </row>
    <row r="70" spans="2:10" ht="15" customHeight="1">
      <c r="B70" s="101" t="s">
        <v>166</v>
      </c>
      <c r="C70" s="101"/>
      <c r="D70" s="101"/>
      <c r="E70" s="101"/>
      <c r="F70" s="101"/>
      <c r="G70" s="105" t="s">
        <v>167</v>
      </c>
      <c r="H70" s="301" t="str">
        <f>'Bilgi Giriş Sayfası'!C11</f>
        <v>Kamil Şentürk</v>
      </c>
      <c r="I70" s="301"/>
      <c r="J70" s="301"/>
    </row>
    <row r="71" spans="2:10" ht="15" customHeight="1">
      <c r="B71" s="101" t="s">
        <v>168</v>
      </c>
      <c r="C71" s="101"/>
      <c r="D71" s="101" t="s">
        <v>169</v>
      </c>
      <c r="E71" s="101"/>
      <c r="F71" s="101"/>
      <c r="G71" s="105" t="s">
        <v>203</v>
      </c>
      <c r="H71" s="302">
        <f ca="1">'Bilgi Giriş Sayfası'!F16+'Bilgi Giriş Sayfası'!F2</f>
        <v>44590</v>
      </c>
      <c r="I71" s="302"/>
      <c r="J71" s="302"/>
    </row>
    <row r="72" spans="2:10" ht="15" customHeight="1">
      <c r="C72" s="101"/>
      <c r="D72" s="101"/>
      <c r="E72" s="101"/>
      <c r="F72" s="101"/>
      <c r="G72" s="106" t="s">
        <v>204</v>
      </c>
      <c r="H72" s="301" t="str">
        <f>'Bilgi Giriş Sayfası'!C17</f>
        <v>Konya Robocut Fabrikası</v>
      </c>
      <c r="I72" s="301"/>
      <c r="J72" s="301"/>
    </row>
    <row r="73" spans="2:10" ht="15" customHeight="1">
      <c r="B73" s="101"/>
      <c r="C73" s="101"/>
      <c r="D73" s="101"/>
      <c r="E73" s="101"/>
      <c r="F73" s="101"/>
      <c r="G73" s="107"/>
      <c r="H73" s="107"/>
      <c r="I73" s="107"/>
      <c r="J73" s="107"/>
    </row>
    <row r="74" spans="2:10" ht="15" customHeight="1">
      <c r="B74" s="101"/>
      <c r="C74" s="101"/>
      <c r="D74" s="101"/>
      <c r="E74" s="101"/>
      <c r="F74" s="101"/>
      <c r="G74" s="102"/>
      <c r="H74" s="102"/>
      <c r="I74" s="102"/>
      <c r="J74" s="102"/>
    </row>
    <row r="75" spans="2:10" ht="15" customHeight="1"/>
    <row r="76" spans="2:10" ht="15" customHeight="1">
      <c r="B76" s="289" t="s">
        <v>205</v>
      </c>
      <c r="C76" s="289"/>
      <c r="D76" s="289"/>
      <c r="E76" s="289"/>
      <c r="F76" s="101"/>
      <c r="G76" s="295" t="s">
        <v>206</v>
      </c>
      <c r="H76" s="295"/>
      <c r="I76" s="295"/>
      <c r="J76" s="295"/>
    </row>
    <row r="77" spans="2:10" ht="15" customHeight="1">
      <c r="B77" s="107"/>
      <c r="C77" s="107"/>
      <c r="D77" s="107"/>
      <c r="E77" s="107"/>
      <c r="G77" s="107"/>
      <c r="H77" s="107"/>
      <c r="I77" s="107"/>
      <c r="J77" s="107"/>
    </row>
    <row r="78" spans="2:10" ht="15" customHeight="1">
      <c r="B78" s="102"/>
      <c r="C78" s="102"/>
      <c r="D78" s="102"/>
      <c r="E78" s="102"/>
      <c r="G78" s="102"/>
      <c r="H78" s="102"/>
      <c r="I78" s="102"/>
      <c r="J78" s="102"/>
    </row>
    <row r="79" spans="2:10" ht="15" customHeight="1">
      <c r="B79" s="105" t="s">
        <v>207</v>
      </c>
      <c r="D79" s="310">
        <f>'Bilgi Giriş Sayfası'!J3</f>
        <v>21700</v>
      </c>
      <c r="E79" s="310"/>
      <c r="G79" s="75" t="s">
        <v>81</v>
      </c>
      <c r="I79" s="298">
        <f>'Bilgi Giriş Sayfası'!F12</f>
        <v>1</v>
      </c>
      <c r="J79" s="298"/>
    </row>
    <row r="80" spans="2:10" ht="15" customHeight="1">
      <c r="B80" s="105" t="s">
        <v>160</v>
      </c>
      <c r="D80" s="310">
        <f>'Bilgi Giriş Sayfası'!J4</f>
        <v>0</v>
      </c>
      <c r="E80" s="310"/>
      <c r="G80" s="75" t="s">
        <v>208</v>
      </c>
      <c r="I80" s="312">
        <f>'Bilgi Giriş Sayfası'!J15</f>
        <v>21700</v>
      </c>
      <c r="J80" s="312"/>
    </row>
    <row r="81" spans="2:22" ht="15" customHeight="1">
      <c r="B81" s="105" t="s">
        <v>158</v>
      </c>
      <c r="D81" s="310">
        <f>'Bilgi Giriş Sayfası'!J5</f>
        <v>0</v>
      </c>
      <c r="E81" s="310"/>
      <c r="G81" s="75" t="s">
        <v>209</v>
      </c>
      <c r="I81" s="312">
        <f>'Bilgi Giriş Sayfası'!J18</f>
        <v>10850</v>
      </c>
      <c r="J81" s="312"/>
    </row>
    <row r="82" spans="2:22" ht="15" customHeight="1">
      <c r="B82" s="105" t="s">
        <v>210</v>
      </c>
      <c r="D82" s="310">
        <f>'Bilgi Giriş Sayfası'!J6</f>
        <v>0</v>
      </c>
      <c r="E82" s="310"/>
      <c r="G82" s="108" t="s">
        <v>211</v>
      </c>
      <c r="I82" s="296" t="str">
        <f>'Bilgi Giriş Sayfası'!F15</f>
        <v>Peşin</v>
      </c>
      <c r="J82" s="296"/>
    </row>
    <row r="83" spans="2:22" ht="15" customHeight="1">
      <c r="B83" s="105" t="s">
        <v>161</v>
      </c>
      <c r="D83" s="310">
        <f>'Bilgi Giriş Sayfası'!J7</f>
        <v>0</v>
      </c>
      <c r="E83" s="310"/>
      <c r="G83" s="75" t="s">
        <v>212</v>
      </c>
      <c r="I83" s="297">
        <f ca="1">'Bilgi Giriş Sayfası'!G14</f>
        <v>44598</v>
      </c>
      <c r="J83" s="297"/>
    </row>
    <row r="84" spans="2:22" ht="15" customHeight="1">
      <c r="B84" s="105" t="s">
        <v>213</v>
      </c>
      <c r="D84" s="310">
        <v>0</v>
      </c>
      <c r="E84" s="310"/>
      <c r="G84" s="109" t="s">
        <v>214</v>
      </c>
      <c r="H84" s="110"/>
      <c r="I84" s="311">
        <f>I80-I81</f>
        <v>10850</v>
      </c>
      <c r="J84" s="311"/>
    </row>
    <row r="85" spans="2:22" ht="15" customHeight="1">
      <c r="B85" s="111" t="s">
        <v>215</v>
      </c>
      <c r="C85" s="112"/>
      <c r="D85" s="311">
        <f>D79+D80+D81+D82+D83+D84</f>
        <v>21700</v>
      </c>
      <c r="E85" s="311"/>
    </row>
    <row r="86" spans="2:22" ht="15" customHeight="1">
      <c r="B86" s="107"/>
      <c r="C86" s="107"/>
      <c r="D86" s="107"/>
      <c r="E86" s="107"/>
      <c r="G86" s="69"/>
      <c r="H86" s="69"/>
      <c r="I86" s="69"/>
      <c r="J86" s="69"/>
    </row>
    <row r="87" spans="2:22" ht="15" customHeight="1">
      <c r="B87" s="113"/>
      <c r="C87" s="113"/>
      <c r="D87" s="113"/>
      <c r="E87" s="113"/>
      <c r="G87" s="102"/>
      <c r="H87" s="102"/>
      <c r="I87" s="102"/>
      <c r="J87" s="102"/>
    </row>
    <row r="88" spans="2:22" ht="15" customHeight="1"/>
    <row r="89" spans="2:22" ht="15" customHeight="1"/>
    <row r="90" spans="2:22" ht="15" customHeight="1">
      <c r="B90" s="295" t="s">
        <v>216</v>
      </c>
      <c r="C90" s="295"/>
      <c r="D90" s="295"/>
      <c r="E90" s="295"/>
      <c r="F90" s="295"/>
      <c r="G90" s="295"/>
      <c r="H90" s="295"/>
      <c r="I90" s="295"/>
      <c r="J90" s="295"/>
    </row>
    <row r="91" spans="2:22" ht="15" customHeight="1">
      <c r="B91" s="107"/>
      <c r="C91" s="107"/>
      <c r="D91" s="107"/>
      <c r="E91" s="107"/>
      <c r="F91" s="107"/>
      <c r="G91" s="101"/>
      <c r="H91" s="101"/>
      <c r="I91" s="101"/>
      <c r="J91" s="101"/>
      <c r="Q91" s="114"/>
      <c r="R91" s="114"/>
      <c r="S91" s="114"/>
      <c r="T91" s="114"/>
      <c r="U91" s="114"/>
      <c r="V91" s="114"/>
    </row>
    <row r="92" spans="2:22" ht="15" customHeight="1">
      <c r="B92" s="102"/>
      <c r="C92" s="102"/>
      <c r="D92" s="102"/>
      <c r="E92" s="102"/>
      <c r="F92" s="115"/>
      <c r="G92" s="102"/>
      <c r="H92" s="102"/>
      <c r="I92" s="102"/>
      <c r="J92" s="102"/>
      <c r="Q92" s="114"/>
      <c r="R92" s="114"/>
      <c r="S92" s="114"/>
      <c r="T92" s="114"/>
      <c r="U92" s="114"/>
      <c r="V92" s="114"/>
    </row>
    <row r="93" spans="2:22" ht="15" customHeight="1">
      <c r="B93" s="128" t="str">
        <f>IF(I79&gt;=1,"1.Taksit","")</f>
        <v>1.Taksit</v>
      </c>
      <c r="C93" s="309">
        <f ca="1">IF(I79&gt;=1,I83+31,"")</f>
        <v>44629</v>
      </c>
      <c r="D93" s="309"/>
      <c r="E93" s="129">
        <f>IF(I79&gt;=1,I84/I79,"  ")</f>
        <v>10850</v>
      </c>
      <c r="F93" s="130"/>
      <c r="G93" s="128" t="str">
        <f>IF(I79&gt;=7,"7.Taksit","")</f>
        <v/>
      </c>
      <c r="H93" s="309" t="str">
        <f>IF(I79&gt;=7,C98+31,"")</f>
        <v/>
      </c>
      <c r="I93" s="309"/>
      <c r="J93" s="129" t="str">
        <f>IF(I79&gt;=7,I84/I79,"  ")</f>
        <v xml:space="preserve">  </v>
      </c>
      <c r="K93" s="121"/>
      <c r="Q93" s="122"/>
      <c r="R93" s="123" t="str">
        <f>IF(N83&gt;=7,"7.Taksit","")</f>
        <v/>
      </c>
      <c r="S93" s="292" t="str">
        <f>IF(N83&gt;=7,T91/N83,"  ")</f>
        <v xml:space="preserve">  </v>
      </c>
      <c r="T93" s="292"/>
      <c r="U93" s="124" t="str">
        <f>IF(N83&gt;=7,D98+31,"")</f>
        <v/>
      </c>
      <c r="V93" s="114"/>
    </row>
    <row r="94" spans="2:22" ht="15" customHeight="1">
      <c r="B94" s="128" t="str">
        <f>IF(I79&gt;=2,"2.Taksit","  ")</f>
        <v xml:space="preserve">  </v>
      </c>
      <c r="C94" s="309" t="str">
        <f>IF(I79&gt;=2,C93+31,"")</f>
        <v/>
      </c>
      <c r="D94" s="309"/>
      <c r="E94" s="129" t="str">
        <f>IF(I79&gt;=2,I84/I79,"  ")</f>
        <v xml:space="preserve">  </v>
      </c>
      <c r="F94" s="130"/>
      <c r="G94" s="128" t="str">
        <f>IF(I79&gt;=8,"8.Taksit","")</f>
        <v/>
      </c>
      <c r="H94" s="309" t="str">
        <f>IF(I79&gt;=8,H93+31,"")</f>
        <v/>
      </c>
      <c r="I94" s="309"/>
      <c r="J94" s="129" t="str">
        <f>IF(I79&gt;=8,I84/I79,"  ")</f>
        <v xml:space="preserve">  </v>
      </c>
      <c r="Q94" s="122"/>
      <c r="R94" s="123" t="str">
        <f>IF(N83&gt;=8,"8.Taksit","")</f>
        <v/>
      </c>
      <c r="S94" s="292" t="str">
        <f>IF(N83&gt;=8,T91/N83,"  ")</f>
        <v xml:space="preserve">  </v>
      </c>
      <c r="T94" s="292"/>
      <c r="U94" s="124" t="str">
        <f>IF(N83&gt;=8,U93+31,"")</f>
        <v/>
      </c>
      <c r="V94" s="114"/>
    </row>
    <row r="95" spans="2:22" ht="15" customHeight="1">
      <c r="B95" s="128" t="str">
        <f>IF(I79&gt;=3,"3.Taksit","  ")</f>
        <v xml:space="preserve">  </v>
      </c>
      <c r="C95" s="309" t="str">
        <f>IF(I79&gt;=3,C94+31,"")</f>
        <v/>
      </c>
      <c r="D95" s="309"/>
      <c r="E95" s="129" t="str">
        <f>IF(I79&gt;=3,I84/I79,"  ")</f>
        <v xml:space="preserve">  </v>
      </c>
      <c r="F95" s="130"/>
      <c r="G95" s="128" t="str">
        <f>IF(I79&gt;=9,"9.Taksit","")</f>
        <v/>
      </c>
      <c r="H95" s="309" t="str">
        <f>IF(I79&gt;=9,H94+31,"")</f>
        <v/>
      </c>
      <c r="I95" s="309"/>
      <c r="J95" s="129" t="str">
        <f>IF(I79&gt;=9,I84/I79,"  ")</f>
        <v xml:space="preserve">  </v>
      </c>
      <c r="Q95" s="122"/>
      <c r="R95" s="123" t="str">
        <f>IF(N83&gt;=9,"9.Taksit","")</f>
        <v/>
      </c>
      <c r="S95" s="292" t="str">
        <f>IF(N83&gt;=9,T91/N83,"  ")</f>
        <v xml:space="preserve">  </v>
      </c>
      <c r="T95" s="292"/>
      <c r="U95" s="124" t="str">
        <f>IF(N83&gt;=9,U94+31,"")</f>
        <v/>
      </c>
      <c r="V95" s="114"/>
    </row>
    <row r="96" spans="2:22" ht="15" customHeight="1">
      <c r="B96" s="128" t="str">
        <f>IF(I79&gt;=4,"4.Taksit","")</f>
        <v/>
      </c>
      <c r="C96" s="309" t="str">
        <f>IF(I79&gt;=4,C95+31,"")</f>
        <v/>
      </c>
      <c r="D96" s="309"/>
      <c r="E96" s="129" t="str">
        <f>IF(I79&gt;=4,I84/I79,"  ")</f>
        <v xml:space="preserve">  </v>
      </c>
      <c r="F96" s="130"/>
      <c r="G96" s="128" t="str">
        <f>IF(I79&gt;=10,"10.Taksit","")</f>
        <v/>
      </c>
      <c r="H96" s="309" t="str">
        <f>IF(I79&gt;=10,H95+31,"")</f>
        <v/>
      </c>
      <c r="I96" s="309"/>
      <c r="J96" s="129" t="str">
        <f>IF(I79&gt;=10,I84/I79,"  ")</f>
        <v xml:space="preserve">  </v>
      </c>
      <c r="Q96" s="122"/>
      <c r="R96" s="123" t="str">
        <f>IF(N83&gt;=10,"10.Taksit","")</f>
        <v/>
      </c>
      <c r="S96" s="292" t="str">
        <f>IF(N83&gt;=10,T91/N83,"  ")</f>
        <v xml:space="preserve">  </v>
      </c>
      <c r="T96" s="292"/>
      <c r="U96" s="124" t="str">
        <f>IF(N83&gt;=10,U95+31,"")</f>
        <v/>
      </c>
      <c r="V96" s="114"/>
    </row>
    <row r="97" spans="1:22" ht="15" customHeight="1">
      <c r="B97" s="128" t="str">
        <f>IF(I79&gt;=5,"5.Taksit","")</f>
        <v/>
      </c>
      <c r="C97" s="309" t="str">
        <f>IF(I79&gt;=5,C96+31,"")</f>
        <v/>
      </c>
      <c r="D97" s="309"/>
      <c r="E97" s="129" t="str">
        <f>IF(I79&gt;=5,I84/I79,"  ")</f>
        <v xml:space="preserve">  </v>
      </c>
      <c r="F97" s="130"/>
      <c r="G97" s="128" t="str">
        <f>IF(I79&gt;=11,"11.Taksit","")</f>
        <v/>
      </c>
      <c r="H97" s="309" t="str">
        <f>IF(I79&gt;=11,H96+31,"")</f>
        <v/>
      </c>
      <c r="I97" s="309"/>
      <c r="J97" s="129" t="str">
        <f>IF(I79&gt;=11,I84/I79,"  ")</f>
        <v xml:space="preserve">  </v>
      </c>
      <c r="Q97" s="122"/>
      <c r="R97" s="123" t="str">
        <f>IF(N83&gt;=11,"11.Taksit","")</f>
        <v/>
      </c>
      <c r="S97" s="292" t="str">
        <f>IF(N83&gt;=11,T91/N83,"  ")</f>
        <v xml:space="preserve">  </v>
      </c>
      <c r="T97" s="292"/>
      <c r="U97" s="124" t="str">
        <f>IF(N83&gt;=11,U96+31,"")</f>
        <v/>
      </c>
      <c r="V97" s="114"/>
    </row>
    <row r="98" spans="1:22" ht="15" customHeight="1">
      <c r="B98" s="128" t="str">
        <f>IF(I79&gt;=6,"6.Taksit","")</f>
        <v/>
      </c>
      <c r="C98" s="309" t="str">
        <f>IF(I79&gt;=6,C97+31,"")</f>
        <v/>
      </c>
      <c r="D98" s="309"/>
      <c r="E98" s="129" t="str">
        <f>IF(I79&gt;=6,I84/I79,"  ")</f>
        <v xml:space="preserve">  </v>
      </c>
      <c r="F98" s="130"/>
      <c r="G98" s="128" t="str">
        <f>IF(I79&gt;=12,"12.Taksit","")</f>
        <v/>
      </c>
      <c r="H98" s="309" t="str">
        <f>IF(I79&gt;=12,H97+31,"")</f>
        <v/>
      </c>
      <c r="I98" s="309"/>
      <c r="J98" s="129" t="str">
        <f>IF(I79&gt;=12,I84/I79,"  ")</f>
        <v xml:space="preserve">  </v>
      </c>
      <c r="Q98" s="122"/>
      <c r="R98" s="123" t="str">
        <f>IF(N83&gt;=12,"12.Taksit","")</f>
        <v/>
      </c>
      <c r="S98" s="292" t="str">
        <f>IF(N83&gt;=12,T91/N83,"  ")</f>
        <v xml:space="preserve">  </v>
      </c>
      <c r="T98" s="292"/>
      <c r="U98" s="124" t="str">
        <f>IF(N83&gt;=12,U97+31,"")</f>
        <v/>
      </c>
      <c r="V98" s="114"/>
    </row>
    <row r="99" spans="1:22" ht="15" customHeight="1">
      <c r="B99" s="119"/>
      <c r="C99" s="291"/>
      <c r="D99" s="291"/>
      <c r="E99" s="120"/>
      <c r="F99" s="115"/>
      <c r="G99" s="119"/>
      <c r="H99" s="291"/>
      <c r="I99" s="291"/>
      <c r="J99" s="120"/>
      <c r="Q99" s="114"/>
      <c r="R99" s="114"/>
      <c r="S99" s="114"/>
      <c r="T99" s="114"/>
      <c r="U99" s="114"/>
      <c r="V99" s="114"/>
    </row>
    <row r="100" spans="1:22" ht="15" customHeight="1">
      <c r="A100" s="288" t="s">
        <v>217</v>
      </c>
      <c r="B100" s="288"/>
      <c r="C100" s="288"/>
      <c r="D100" s="288"/>
      <c r="E100" s="288"/>
      <c r="F100" s="288"/>
      <c r="G100" s="288"/>
      <c r="H100" s="288"/>
      <c r="I100" s="288"/>
      <c r="J100" s="288"/>
      <c r="K100" s="288"/>
    </row>
    <row r="101" spans="1:22" ht="15" customHeight="1">
      <c r="A101" s="308" t="str">
        <f>IF('Bilgi Giriş Sayfası'!C14='Parametre Sayfası'!D14,'Parametre Sayfası'!B33,IF('Bilgi Giriş Sayfası'!C14='Parametre Sayfası'!D15,'Parametre Sayfası'!B34,IF('Bilgi Giriş Sayfası'!C14='Parametre Sayfası'!D16,'Parametre Sayfası'!B35,IF('Bilgi Giriş Sayfası'!C14='Parametre Sayfası'!D17,'Parametre Sayfası'!B36))))</f>
        <v>Makine Fiyatımız İhraç Kayıtlı Olduğu için Kdv İlave Edilmemiştir.</v>
      </c>
      <c r="B101" s="308"/>
      <c r="C101" s="308"/>
      <c r="D101" s="308"/>
      <c r="E101" s="308"/>
      <c r="F101" s="308"/>
      <c r="G101" s="308"/>
      <c r="H101" s="308"/>
      <c r="I101" s="308"/>
      <c r="J101" s="308"/>
      <c r="K101" s="308"/>
    </row>
    <row r="102" spans="1:22" ht="15" customHeight="1">
      <c r="A102" s="288" t="s">
        <v>221</v>
      </c>
      <c r="B102" s="288"/>
      <c r="C102" s="288"/>
      <c r="D102" s="288"/>
      <c r="E102" s="288"/>
      <c r="F102" s="288"/>
      <c r="G102" s="288"/>
      <c r="H102" s="288"/>
      <c r="I102" s="288"/>
      <c r="J102" s="288"/>
      <c r="K102" s="288"/>
    </row>
    <row r="103" spans="1:22" ht="15" customHeight="1">
      <c r="A103" s="307"/>
      <c r="B103" s="307"/>
      <c r="C103" s="307"/>
      <c r="D103" s="307"/>
      <c r="E103" s="307"/>
      <c r="F103" s="307"/>
      <c r="G103" s="307"/>
      <c r="H103" s="307"/>
      <c r="I103" s="307"/>
      <c r="J103" s="307"/>
      <c r="K103" s="307"/>
    </row>
    <row r="104" spans="1:22" ht="15" customHeight="1">
      <c r="A104" s="307"/>
      <c r="B104" s="307"/>
      <c r="C104" s="307"/>
      <c r="D104" s="307"/>
      <c r="E104" s="307"/>
      <c r="F104" s="307"/>
      <c r="G104" s="307"/>
      <c r="H104" s="307"/>
      <c r="I104" s="307"/>
      <c r="J104" s="307"/>
      <c r="K104" s="307"/>
    </row>
    <row r="105" spans="1:22" ht="15" customHeight="1">
      <c r="A105" s="307"/>
      <c r="B105" s="307"/>
      <c r="C105" s="307"/>
      <c r="D105" s="307"/>
      <c r="E105" s="307"/>
      <c r="F105" s="307"/>
      <c r="G105" s="307"/>
      <c r="H105" s="307"/>
      <c r="I105" s="307"/>
      <c r="J105" s="307"/>
      <c r="K105" s="307"/>
    </row>
    <row r="106" spans="1:22" ht="15" customHeight="1"/>
    <row r="107" spans="1:22" ht="15" customHeight="1">
      <c r="B107" s="102"/>
      <c r="C107" s="102"/>
      <c r="D107" s="102"/>
      <c r="E107" s="102"/>
      <c r="G107" s="102"/>
      <c r="H107" s="102"/>
      <c r="I107" s="102"/>
      <c r="J107" s="102"/>
      <c r="K107" s="126"/>
    </row>
    <row r="108" spans="1:22" ht="15" customHeight="1">
      <c r="K108" s="126"/>
    </row>
    <row r="109" spans="1:22" ht="15" customHeight="1">
      <c r="K109" s="126"/>
    </row>
    <row r="110" spans="1:22" ht="15" customHeight="1">
      <c r="K110" s="126"/>
    </row>
    <row r="111" spans="1:22" ht="15" customHeight="1">
      <c r="B111" s="107"/>
      <c r="C111" s="107"/>
      <c r="D111" s="107"/>
      <c r="E111" s="107"/>
      <c r="F111" s="101"/>
      <c r="G111" s="107"/>
      <c r="H111" s="107"/>
      <c r="I111" s="107"/>
      <c r="J111" s="107"/>
      <c r="K111" s="126"/>
    </row>
    <row r="112" spans="1:22" ht="15" customHeight="1">
      <c r="B112" s="102"/>
      <c r="C112" s="102"/>
      <c r="D112" s="102"/>
      <c r="E112" s="102"/>
      <c r="F112" s="127"/>
      <c r="G112" s="102"/>
      <c r="H112" s="102"/>
      <c r="I112" s="102"/>
      <c r="J112" s="102"/>
      <c r="K112" s="126"/>
    </row>
    <row r="113" spans="2:11" ht="15" customHeight="1">
      <c r="B113" s="289" t="s">
        <v>219</v>
      </c>
      <c r="C113" s="289"/>
      <c r="D113" s="289"/>
      <c r="E113" s="289"/>
      <c r="F113" s="127"/>
      <c r="G113" s="289" t="s">
        <v>220</v>
      </c>
      <c r="H113" s="289"/>
      <c r="I113" s="289"/>
      <c r="J113" s="289"/>
      <c r="K113" s="126"/>
    </row>
    <row r="114" spans="2:11" ht="15" customHeight="1">
      <c r="B114" s="113"/>
      <c r="C114" s="113"/>
      <c r="D114" s="113"/>
      <c r="E114" s="113"/>
      <c r="F114" s="127"/>
      <c r="G114" s="113"/>
      <c r="H114" s="113"/>
      <c r="I114" s="113"/>
      <c r="J114" s="113"/>
      <c r="K114" s="126"/>
    </row>
    <row r="115" spans="2:11" ht="15" customHeight="1">
      <c r="B115" s="113"/>
      <c r="C115" s="113"/>
      <c r="D115" s="113"/>
      <c r="E115" s="113"/>
      <c r="F115" s="127"/>
      <c r="G115" s="113"/>
      <c r="H115" s="113"/>
      <c r="I115" s="113"/>
      <c r="J115" s="113"/>
      <c r="K115" s="126"/>
    </row>
    <row r="116" spans="2:11" ht="15" customHeight="1">
      <c r="B116" s="113"/>
      <c r="C116" s="113"/>
      <c r="D116" s="113"/>
      <c r="E116" s="113"/>
      <c r="F116" s="127"/>
      <c r="G116" s="113"/>
      <c r="H116" s="113"/>
      <c r="I116" s="113"/>
      <c r="J116" s="113"/>
      <c r="K116" s="126"/>
    </row>
    <row r="117" spans="2:11" ht="15" customHeight="1">
      <c r="B117" s="113"/>
      <c r="C117" s="113"/>
      <c r="D117" s="113"/>
      <c r="E117" s="113"/>
      <c r="F117" s="127"/>
      <c r="G117" s="113"/>
      <c r="H117" s="113"/>
      <c r="I117" s="113"/>
      <c r="J117" s="113"/>
      <c r="K117" s="126"/>
    </row>
    <row r="118" spans="2:11" ht="15" customHeight="1">
      <c r="B118" s="113"/>
      <c r="C118" s="113"/>
      <c r="D118" s="113"/>
      <c r="E118" s="113"/>
      <c r="F118" s="127"/>
      <c r="G118" s="113"/>
      <c r="H118" s="113"/>
      <c r="I118" s="113"/>
      <c r="J118" s="113"/>
      <c r="K118" s="126"/>
    </row>
    <row r="119" spans="2:11" ht="15" customHeight="1">
      <c r="B119" s="113"/>
      <c r="C119" s="113"/>
      <c r="D119" s="113"/>
      <c r="E119" s="113"/>
      <c r="F119" s="127"/>
      <c r="G119" s="113"/>
      <c r="H119" s="113"/>
      <c r="I119" s="113"/>
      <c r="J119" s="113"/>
      <c r="K119" s="126"/>
    </row>
    <row r="120" spans="2:11" ht="15" customHeight="1">
      <c r="B120" s="113"/>
      <c r="C120" s="113"/>
      <c r="D120" s="113"/>
      <c r="E120" s="113"/>
      <c r="F120" s="127"/>
      <c r="G120" s="113"/>
      <c r="H120" s="113"/>
      <c r="I120" s="113"/>
      <c r="J120" s="113"/>
      <c r="K120" s="126"/>
    </row>
    <row r="121" spans="2:11" ht="15" customHeight="1">
      <c r="B121" s="113"/>
      <c r="C121" s="113"/>
      <c r="D121" s="113"/>
      <c r="E121" s="113"/>
      <c r="F121" s="127"/>
      <c r="G121" s="113"/>
      <c r="H121" s="113"/>
      <c r="I121" s="113"/>
      <c r="J121" s="113"/>
      <c r="K121" s="126"/>
    </row>
    <row r="122" spans="2:11" ht="15" customHeight="1">
      <c r="B122" s="113"/>
      <c r="C122" s="113"/>
      <c r="D122" s="113"/>
      <c r="E122" s="113"/>
      <c r="F122" s="127"/>
      <c r="G122" s="113"/>
      <c r="H122" s="113"/>
      <c r="I122" s="113"/>
      <c r="J122" s="113"/>
      <c r="K122" s="126"/>
    </row>
    <row r="123" spans="2:11" ht="15" customHeight="1">
      <c r="B123" s="104"/>
      <c r="C123" s="101"/>
      <c r="D123" s="287"/>
      <c r="E123" s="287"/>
      <c r="F123" s="92"/>
      <c r="G123" s="104"/>
      <c r="H123" s="101"/>
      <c r="I123" s="287"/>
      <c r="J123" s="287"/>
      <c r="K123" s="126"/>
    </row>
    <row r="124" spans="2:11" ht="15" customHeight="1">
      <c r="B124" s="107"/>
      <c r="C124" s="107"/>
      <c r="D124" s="107"/>
      <c r="E124" s="107"/>
      <c r="F124" s="92"/>
      <c r="G124" s="107"/>
      <c r="H124" s="107"/>
      <c r="I124" s="107"/>
      <c r="J124" s="107"/>
      <c r="K124" s="126"/>
    </row>
    <row r="125" spans="2:11" ht="15" customHeight="1">
      <c r="B125" s="113"/>
      <c r="C125" s="113"/>
      <c r="D125" s="113"/>
      <c r="E125" s="113"/>
      <c r="F125" s="113"/>
      <c r="G125" s="113"/>
      <c r="H125" s="113"/>
      <c r="I125" s="113"/>
      <c r="J125" s="113"/>
      <c r="K125" s="126"/>
    </row>
    <row r="126" spans="2:11" ht="15" customHeight="1">
      <c r="B126" s="113"/>
      <c r="C126" s="113"/>
      <c r="D126" s="113"/>
      <c r="E126" s="113"/>
      <c r="F126" s="113"/>
      <c r="G126" s="113"/>
      <c r="H126" s="127"/>
      <c r="I126" s="127"/>
      <c r="J126" s="127"/>
      <c r="K126" s="126"/>
    </row>
    <row r="127" spans="2:11" ht="15" customHeight="1">
      <c r="B127" s="113"/>
      <c r="C127" s="113"/>
      <c r="D127" s="113"/>
      <c r="E127" s="113"/>
      <c r="F127" s="113"/>
      <c r="G127" s="113"/>
      <c r="H127" s="113"/>
      <c r="I127" s="113"/>
      <c r="J127" s="113"/>
      <c r="K127" s="126"/>
    </row>
    <row r="128" spans="2:11" ht="12.6" customHeight="1">
      <c r="B128" s="113"/>
      <c r="C128" s="113"/>
      <c r="D128" s="113"/>
      <c r="E128" s="113"/>
      <c r="F128" s="113"/>
      <c r="G128" s="113"/>
      <c r="H128" s="127"/>
      <c r="I128" s="127"/>
      <c r="J128" s="127"/>
      <c r="K128" s="126"/>
    </row>
    <row r="129" spans="2:11" ht="12.6" customHeight="1">
      <c r="B129" s="113"/>
      <c r="C129" s="113"/>
      <c r="D129" s="113"/>
      <c r="E129" s="113"/>
      <c r="F129" s="113"/>
      <c r="G129" s="113"/>
      <c r="H129" s="113"/>
      <c r="I129" s="113"/>
      <c r="J129" s="113"/>
      <c r="K129" s="126"/>
    </row>
    <row r="130" spans="2:11" ht="12.6" customHeight="1">
      <c r="B130" s="113"/>
      <c r="C130" s="126"/>
      <c r="D130" s="113"/>
      <c r="E130" s="113"/>
      <c r="F130" s="113"/>
      <c r="G130" s="113"/>
      <c r="H130" s="113"/>
      <c r="I130" s="113"/>
      <c r="J130" s="98"/>
      <c r="K130" s="126"/>
    </row>
    <row r="131" spans="2:11" ht="12.6" customHeight="1">
      <c r="B131" s="126"/>
      <c r="C131" s="126"/>
      <c r="D131" s="126"/>
      <c r="E131" s="126"/>
      <c r="F131" s="126"/>
      <c r="G131" s="126"/>
      <c r="H131" s="126"/>
      <c r="I131" s="126"/>
      <c r="J131" s="126"/>
      <c r="K131" s="126"/>
    </row>
    <row r="132" spans="2:11" ht="12.6" customHeight="1">
      <c r="B132" s="126"/>
      <c r="C132" s="126"/>
      <c r="D132" s="126"/>
      <c r="E132" s="126"/>
      <c r="F132" s="126"/>
      <c r="G132" s="126"/>
      <c r="H132" s="126"/>
      <c r="I132" s="126"/>
      <c r="J132" s="126"/>
      <c r="K132" s="126"/>
    </row>
    <row r="133" spans="2:11" ht="12.6" customHeight="1"/>
    <row r="134" spans="2:11" ht="12.6" customHeight="1"/>
    <row r="135" spans="2:11" ht="12.6" customHeight="1"/>
    <row r="136" spans="2:11" ht="12.6" customHeight="1"/>
  </sheetData>
  <mergeCells count="61">
    <mergeCell ref="G3:J4"/>
    <mergeCell ref="H8:J8"/>
    <mergeCell ref="H9:J9"/>
    <mergeCell ref="H10:J10"/>
    <mergeCell ref="H11:J11"/>
    <mergeCell ref="H12:J12"/>
    <mergeCell ref="I17:J17"/>
    <mergeCell ref="B26:F26"/>
    <mergeCell ref="I57:J57"/>
    <mergeCell ref="I58:J58"/>
    <mergeCell ref="I59:J59"/>
    <mergeCell ref="G65:J66"/>
    <mergeCell ref="H70:J70"/>
    <mergeCell ref="H71:J71"/>
    <mergeCell ref="H72:J72"/>
    <mergeCell ref="B76:E76"/>
    <mergeCell ref="G76:J76"/>
    <mergeCell ref="D79:E79"/>
    <mergeCell ref="I79:J79"/>
    <mergeCell ref="D80:E80"/>
    <mergeCell ref="I80:J80"/>
    <mergeCell ref="D81:E81"/>
    <mergeCell ref="I81:J81"/>
    <mergeCell ref="D82:E82"/>
    <mergeCell ref="I82:J82"/>
    <mergeCell ref="D83:E83"/>
    <mergeCell ref="I83:J83"/>
    <mergeCell ref="D84:E84"/>
    <mergeCell ref="I84:J84"/>
    <mergeCell ref="D85:E85"/>
    <mergeCell ref="B90:J90"/>
    <mergeCell ref="C93:D93"/>
    <mergeCell ref="H93:I93"/>
    <mergeCell ref="S93:T93"/>
    <mergeCell ref="C94:D94"/>
    <mergeCell ref="H94:I94"/>
    <mergeCell ref="S94:T94"/>
    <mergeCell ref="C95:D95"/>
    <mergeCell ref="H95:I95"/>
    <mergeCell ref="S95:T95"/>
    <mergeCell ref="C96:D96"/>
    <mergeCell ref="H96:I96"/>
    <mergeCell ref="S96:T96"/>
    <mergeCell ref="C97:D97"/>
    <mergeCell ref="H97:I97"/>
    <mergeCell ref="S97:T97"/>
    <mergeCell ref="C98:D98"/>
    <mergeCell ref="H98:I98"/>
    <mergeCell ref="S98:T98"/>
    <mergeCell ref="C99:D99"/>
    <mergeCell ref="H99:I99"/>
    <mergeCell ref="A100:K100"/>
    <mergeCell ref="A101:K101"/>
    <mergeCell ref="A102:K102"/>
    <mergeCell ref="A103:K103"/>
    <mergeCell ref="A104:K104"/>
    <mergeCell ref="A105:K105"/>
    <mergeCell ref="B113:E113"/>
    <mergeCell ref="G113:J113"/>
    <mergeCell ref="D123:E123"/>
    <mergeCell ref="I123:J123"/>
  </mergeCells>
  <printOptions horizontalCentered="1" verticalCentered="1"/>
  <pageMargins left="0.196527777777778" right="0.196527777777778" top="0.196527777777778" bottom="0.196527777777778" header="0.511811023622047" footer="0.511811023622047"/>
  <pageSetup paperSize="9" scale="86" orientation="portrait" horizontalDpi="300" verticalDpi="300" r:id="rId1"/>
  <rowBreaks count="1" manualBreakCount="1">
    <brk id="62"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6"/>
  <sheetViews>
    <sheetView showGridLines="0" view="pageBreakPreview" topLeftCell="A13" zoomScaleNormal="100" zoomScaleSheetLayoutView="100" zoomScalePageLayoutView="95" workbookViewId="0">
      <selection activeCell="A100" sqref="A100:K100"/>
    </sheetView>
  </sheetViews>
  <sheetFormatPr defaultColWidth="9.140625" defaultRowHeight="15"/>
  <cols>
    <col min="1" max="3" width="10.7109375" style="67" customWidth="1"/>
    <col min="4" max="4" width="7.7109375" style="67" customWidth="1"/>
    <col min="5" max="5" width="14" style="67" customWidth="1"/>
    <col min="6" max="9" width="10.7109375" style="67" customWidth="1"/>
    <col min="10" max="10" width="12" style="67" customWidth="1"/>
    <col min="11" max="11" width="7.5703125" style="67" customWidth="1"/>
  </cols>
  <sheetData>
    <row r="1" spans="2:10" ht="15" customHeight="1"/>
    <row r="2" spans="2:10" ht="15" customHeight="1"/>
    <row r="3" spans="2:10" ht="15" customHeight="1">
      <c r="F3" s="68"/>
      <c r="G3" s="300" t="s">
        <v>162</v>
      </c>
      <c r="H3" s="300"/>
      <c r="I3" s="300"/>
      <c r="J3" s="300"/>
    </row>
    <row r="4" spans="2:10" ht="15" customHeight="1">
      <c r="F4" s="68"/>
      <c r="G4" s="300"/>
      <c r="H4" s="300"/>
      <c r="I4" s="300"/>
      <c r="J4" s="300"/>
    </row>
    <row r="5" spans="2:10" ht="15" customHeight="1">
      <c r="G5" s="69"/>
      <c r="H5" s="69"/>
      <c r="I5" s="70" t="s">
        <v>163</v>
      </c>
      <c r="J5" s="71">
        <f>'Bilgi Giriş Sayfası'!C13</f>
        <v>5003</v>
      </c>
    </row>
    <row r="6" spans="2:10" ht="15" customHeight="1">
      <c r="B6" s="72"/>
      <c r="C6" s="72"/>
      <c r="D6" s="72"/>
      <c r="E6" s="72"/>
      <c r="F6" s="72"/>
      <c r="G6" s="73"/>
      <c r="H6" s="73"/>
      <c r="I6" s="73"/>
      <c r="J6" s="73"/>
    </row>
    <row r="7" spans="2:10" ht="15" customHeight="1">
      <c r="B7" s="74" t="s">
        <v>164</v>
      </c>
      <c r="C7" s="72"/>
      <c r="D7" s="72"/>
      <c r="E7" s="72"/>
      <c r="F7" s="72"/>
      <c r="G7" s="71" t="s">
        <v>165</v>
      </c>
      <c r="H7" s="72"/>
      <c r="I7" s="72"/>
      <c r="J7" s="72"/>
    </row>
    <row r="8" spans="2:10" ht="15" customHeight="1">
      <c r="B8" s="72" t="s">
        <v>166</v>
      </c>
      <c r="C8" s="72"/>
      <c r="D8" s="72"/>
      <c r="E8" s="72"/>
      <c r="F8" s="72"/>
      <c r="G8" s="75" t="s">
        <v>167</v>
      </c>
      <c r="H8" s="303" t="str">
        <f>'Bilgi Giriş Sayfası'!C2</f>
        <v>Aygen Mekatronik San.Ve Tic.Ltd.Şti</v>
      </c>
      <c r="I8" s="303"/>
      <c r="J8" s="303"/>
    </row>
    <row r="9" spans="2:10" ht="15" customHeight="1">
      <c r="B9" s="72" t="s">
        <v>168</v>
      </c>
      <c r="C9" s="72"/>
      <c r="D9" s="72" t="s">
        <v>169</v>
      </c>
      <c r="E9" s="72"/>
      <c r="F9" s="72"/>
      <c r="G9" s="75" t="s">
        <v>170</v>
      </c>
      <c r="H9" s="303" t="str">
        <f>'Bilgi Giriş Sayfası'!C4:C4</f>
        <v>Hatay</v>
      </c>
      <c r="I9" s="303"/>
      <c r="J9" s="303"/>
    </row>
    <row r="10" spans="2:10" ht="15" customHeight="1">
      <c r="B10" s="72"/>
      <c r="C10" s="72"/>
      <c r="D10" s="72"/>
      <c r="E10" s="72"/>
      <c r="F10" s="72"/>
      <c r="G10" s="75" t="s">
        <v>171</v>
      </c>
      <c r="H10" s="303" t="str">
        <f>'Bilgi Giriş Sayfası'!C7</f>
        <v>+90 535 237 58 21</v>
      </c>
      <c r="I10" s="303"/>
      <c r="J10" s="303"/>
    </row>
    <row r="11" spans="2:10" ht="15" customHeight="1">
      <c r="B11" s="72"/>
      <c r="C11" s="72"/>
      <c r="D11" s="72"/>
      <c r="E11" s="72"/>
      <c r="F11" s="72"/>
      <c r="G11" s="75" t="s">
        <v>172</v>
      </c>
      <c r="H11" s="303" t="str">
        <f>'Bilgi Giriş Sayfası'!C9</f>
        <v>-</v>
      </c>
      <c r="I11" s="303"/>
      <c r="J11" s="303"/>
    </row>
    <row r="12" spans="2:10" ht="15" customHeight="1">
      <c r="B12" s="72"/>
      <c r="C12" s="72"/>
      <c r="D12" s="72"/>
      <c r="E12" s="72"/>
      <c r="F12" s="72"/>
      <c r="G12" s="75" t="s">
        <v>173</v>
      </c>
      <c r="H12" s="303" t="str">
        <f>'Bilgi Giriş Sayfası'!C3</f>
        <v>Koray Aygen</v>
      </c>
      <c r="I12" s="303"/>
      <c r="J12" s="303"/>
    </row>
    <row r="13" spans="2:10" ht="15" customHeight="1">
      <c r="B13" s="72"/>
      <c r="C13" s="72"/>
      <c r="D13" s="72"/>
      <c r="E13" s="72"/>
      <c r="F13" s="72"/>
      <c r="G13" s="75" t="s">
        <v>174</v>
      </c>
      <c r="H13" s="76" t="str">
        <f>'Bilgi Giriş Sayfası'!C8</f>
        <v>-</v>
      </c>
      <c r="I13" s="77"/>
      <c r="J13" s="77"/>
    </row>
    <row r="14" spans="2:10" ht="15" customHeight="1">
      <c r="B14" s="72"/>
      <c r="C14" s="72"/>
      <c r="D14" s="72"/>
      <c r="E14" s="72"/>
      <c r="F14" s="72"/>
      <c r="G14" s="75" t="s">
        <v>175</v>
      </c>
      <c r="H14" s="76" t="str">
        <f>'Bilgi Giriş Sayfası'!C10</f>
        <v>-</v>
      </c>
      <c r="I14" s="72"/>
      <c r="J14" s="72"/>
    </row>
    <row r="15" spans="2:10" ht="15" customHeight="1">
      <c r="B15" s="72"/>
      <c r="C15" s="72"/>
      <c r="D15" s="72"/>
      <c r="E15" s="72"/>
      <c r="F15" s="72"/>
      <c r="G15" s="78"/>
      <c r="H15" s="78"/>
      <c r="I15" s="78"/>
      <c r="J15" s="78"/>
    </row>
    <row r="16" spans="2:10" ht="15" customHeight="1">
      <c r="B16" s="72"/>
      <c r="C16" s="72"/>
      <c r="D16" s="72"/>
      <c r="E16" s="72"/>
      <c r="F16" s="72"/>
      <c r="G16" s="73"/>
      <c r="H16" s="73"/>
      <c r="I16" s="73"/>
      <c r="J16" s="73"/>
    </row>
    <row r="17" spans="2:10" ht="15" customHeight="1">
      <c r="B17" s="72"/>
      <c r="C17" s="72"/>
      <c r="D17" s="72"/>
      <c r="E17" s="72"/>
      <c r="F17" s="72"/>
      <c r="G17" s="71" t="s">
        <v>176</v>
      </c>
      <c r="H17" s="72"/>
      <c r="I17" s="304">
        <f ca="1">'Bilgi Giriş Sayfası'!F16</f>
        <v>44587</v>
      </c>
      <c r="J17" s="304"/>
    </row>
    <row r="18" spans="2:10" ht="15" customHeight="1">
      <c r="B18" s="72"/>
      <c r="C18" s="72"/>
      <c r="D18" s="72"/>
      <c r="E18" s="72"/>
      <c r="F18" s="72"/>
      <c r="G18" s="71" t="s">
        <v>177</v>
      </c>
      <c r="H18" s="80"/>
      <c r="I18" s="80" t="s">
        <v>178</v>
      </c>
      <c r="J18" s="80"/>
    </row>
    <row r="19" spans="2:10" ht="15" customHeight="1">
      <c r="B19" s="72"/>
      <c r="C19" s="72"/>
      <c r="D19" s="72"/>
      <c r="E19" s="72"/>
      <c r="F19" s="72"/>
      <c r="G19" s="78"/>
      <c r="H19" s="78"/>
      <c r="I19" s="78"/>
      <c r="J19" s="78"/>
    </row>
    <row r="20" spans="2:10" ht="15" customHeight="1">
      <c r="B20" s="72"/>
      <c r="C20" s="72"/>
      <c r="D20" s="72"/>
      <c r="E20" s="72"/>
      <c r="F20" s="72"/>
      <c r="G20" s="73"/>
      <c r="H20" s="73"/>
      <c r="I20" s="73"/>
      <c r="J20" s="73"/>
    </row>
    <row r="21" spans="2:10" ht="15" customHeight="1">
      <c r="B21" s="72"/>
      <c r="C21" s="72"/>
      <c r="D21" s="72"/>
      <c r="E21" s="72"/>
      <c r="F21" s="72"/>
      <c r="G21" s="72"/>
      <c r="H21" s="72"/>
      <c r="I21" s="72"/>
      <c r="J21" s="72"/>
    </row>
    <row r="22" spans="2:10" ht="15" customHeight="1">
      <c r="B22" s="81" t="s">
        <v>179</v>
      </c>
      <c r="C22" s="81"/>
      <c r="D22" s="81"/>
      <c r="E22" s="81"/>
      <c r="F22" s="72"/>
      <c r="G22" s="82" t="s">
        <v>180</v>
      </c>
      <c r="H22" s="82" t="s">
        <v>181</v>
      </c>
      <c r="I22" s="82" t="s">
        <v>130</v>
      </c>
      <c r="J22" s="82" t="s">
        <v>182</v>
      </c>
    </row>
    <row r="23" spans="2:10" ht="15" customHeight="1">
      <c r="B23" s="83"/>
      <c r="C23" s="83"/>
      <c r="D23" s="83"/>
      <c r="E23" s="83"/>
      <c r="F23" s="83"/>
      <c r="G23" s="84"/>
      <c r="H23" s="85" t="s">
        <v>183</v>
      </c>
      <c r="I23" s="86">
        <v>0.18</v>
      </c>
      <c r="J23" s="85"/>
    </row>
    <row r="24" spans="2:10" ht="15" customHeight="1"/>
    <row r="25" spans="2:10" ht="15" customHeight="1"/>
    <row r="26" spans="2:10" ht="15" customHeight="1">
      <c r="B26" s="302" t="str">
        <f>"ROBOCUT "&amp;'Bilgi Giriş Sayfası'!C20&amp;" CNC PLAZMA KESİM MAKİNESİ"</f>
        <v>ROBOCUT RED LİNE CNC PLAZMA KESİM MAKİNESİ</v>
      </c>
      <c r="C26" s="302"/>
      <c r="D26" s="302"/>
      <c r="E26" s="302"/>
      <c r="F26" s="302"/>
      <c r="G26" s="87">
        <v>1</v>
      </c>
      <c r="H26" s="131">
        <f>'Bilgi Giriş Sayfası'!J3</f>
        <v>21700</v>
      </c>
      <c r="I26" s="131">
        <f>(H26*1.18)-H26</f>
        <v>3906</v>
      </c>
      <c r="J26" s="131">
        <f>H26+I26</f>
        <v>25606</v>
      </c>
    </row>
    <row r="27" spans="2:10" ht="15" customHeight="1">
      <c r="B27" s="79"/>
      <c r="C27" s="79"/>
      <c r="D27" s="79"/>
      <c r="E27" s="79"/>
      <c r="F27" s="79"/>
      <c r="G27" s="89"/>
      <c r="H27" s="90"/>
      <c r="I27" s="90"/>
      <c r="J27" s="90"/>
    </row>
    <row r="28" spans="2:10" ht="15" customHeight="1">
      <c r="B28" s="72"/>
      <c r="C28" s="91" t="str">
        <f>'Bilgi Giriş Sayfası'!F20&amp;" Kesim Alanı"</f>
        <v>1500 x 3000 mm Kesim Alanı</v>
      </c>
      <c r="D28" s="92"/>
      <c r="E28" s="92"/>
      <c r="F28" s="92"/>
      <c r="G28" s="72"/>
      <c r="H28" s="72"/>
      <c r="I28" s="72"/>
      <c r="J28" s="72"/>
    </row>
    <row r="29" spans="2:10" ht="15" customHeight="1">
      <c r="B29" s="72"/>
      <c r="C29" s="91" t="str">
        <f>'Bilgi Giriş Sayfası'!F21&amp;" Tezgah Ölçüleri"</f>
        <v>2300 x 4000 mm Tezgah Ölçüleri</v>
      </c>
      <c r="D29" s="92"/>
      <c r="E29" s="92"/>
      <c r="F29" s="92"/>
      <c r="G29" s="72"/>
      <c r="H29" s="72"/>
      <c r="I29" s="72"/>
      <c r="J29" s="72"/>
    </row>
    <row r="30" spans="2:10" ht="15" customHeight="1">
      <c r="B30" s="72"/>
      <c r="C30" s="91" t="str">
        <f>'Bilgi Giriş Sayfası'!C21  &amp;  " Plazma Kesim Ünitesi"</f>
        <v>Hypertherm Powermax 105 Plazma Kesim Ünitesi</v>
      </c>
      <c r="D30" s="92"/>
      <c r="E30" s="92"/>
      <c r="F30" s="92"/>
      <c r="G30" s="72"/>
      <c r="H30" s="72"/>
      <c r="I30" s="72"/>
      <c r="J30" s="72"/>
    </row>
    <row r="31" spans="2:10" ht="15" customHeight="1">
      <c r="B31" s="72"/>
      <c r="C31" s="91" t="str">
        <f>"Dünyanın En İyi Kesim Teknolojisi İle  (Siyah Saç) Kalınlık "&amp;'Bilgi Giriş Sayfası'!C22</f>
        <v>Dünyanın En İyi Kesim Teknolojisi İle  (Siyah Saç) Kalınlık 1 mm - 22 mm</v>
      </c>
      <c r="D31" s="92"/>
      <c r="E31" s="92"/>
      <c r="F31" s="92"/>
      <c r="G31" s="72"/>
      <c r="H31" s="72"/>
      <c r="I31" s="72"/>
      <c r="J31" s="72"/>
    </row>
    <row r="32" spans="2:10" ht="15" customHeight="1">
      <c r="B32" s="72"/>
      <c r="C32" s="91" t="s">
        <v>184</v>
      </c>
      <c r="D32" s="92"/>
      <c r="E32" s="92"/>
      <c r="F32" s="92"/>
      <c r="G32" s="72"/>
      <c r="H32" s="72"/>
      <c r="I32" s="72"/>
      <c r="J32" s="72"/>
    </row>
    <row r="33" spans="2:14" ht="15" customHeight="1">
      <c r="B33" s="72"/>
      <c r="C33" s="91" t="str">
        <f>'Bilgi Giriş Sayfası'!F23&amp;" Yükseklik Kontrol Cihazı"</f>
        <v>Kapasitif Yükseklik Kontrol Cihazı</v>
      </c>
      <c r="D33" s="92"/>
      <c r="E33" s="92"/>
      <c r="F33" s="92"/>
      <c r="G33" s="72"/>
      <c r="H33" s="72"/>
      <c r="I33" s="72"/>
      <c r="J33" s="72"/>
    </row>
    <row r="34" spans="2:14" ht="15" customHeight="1">
      <c r="B34" s="72"/>
      <c r="C34" s="91" t="s">
        <v>185</v>
      </c>
      <c r="D34" s="92"/>
      <c r="E34" s="92"/>
      <c r="F34" s="92"/>
      <c r="G34" s="72"/>
      <c r="H34" s="72"/>
      <c r="I34" s="72"/>
      <c r="J34" s="72"/>
    </row>
    <row r="35" spans="2:14" ht="15" customHeight="1">
      <c r="B35" s="72"/>
      <c r="C35" s="91" t="s">
        <v>186</v>
      </c>
      <c r="D35" s="92"/>
      <c r="E35" s="92"/>
      <c r="F35" s="92"/>
      <c r="G35" s="72"/>
      <c r="H35" s="72"/>
      <c r="I35" s="72"/>
      <c r="J35" s="72"/>
    </row>
    <row r="36" spans="2:14" ht="15" customHeight="1">
      <c r="B36" s="72"/>
      <c r="C36" s="91" t="str">
        <f>"Hassas Taşlanmış "&amp; 'Bilgi Giriş Sayfası'!C23 &amp; " 'larda Hareket"</f>
        <v>Hassas Taşlanmış Hassas Lineer Ray 'larda Hareket</v>
      </c>
      <c r="D36" s="92"/>
      <c r="E36" s="92"/>
      <c r="F36" s="92"/>
      <c r="G36" s="72"/>
      <c r="H36" s="72"/>
      <c r="I36" s="72"/>
      <c r="J36" s="72"/>
    </row>
    <row r="37" spans="2:14" ht="15" customHeight="1">
      <c r="B37" s="72"/>
      <c r="C37" s="91" t="str">
        <f>"Hassas Taşlanmış "&amp;'Bilgi Giriş Sayfası'!C24&amp;" Tahrik Sistemi Sayesinde Titreşimsiz Hareket"</f>
        <v>Hassas Taşlanmış Hassas Helis Kremayer Tahrik Sistemi Sayesinde Titreşimsiz Hareket</v>
      </c>
      <c r="D37" s="92"/>
      <c r="E37" s="92"/>
      <c r="F37" s="92"/>
      <c r="G37" s="72"/>
      <c r="H37" s="72"/>
      <c r="I37" s="72"/>
      <c r="J37" s="72"/>
      <c r="N37" s="93"/>
    </row>
    <row r="38" spans="2:14" ht="15" customHeight="1">
      <c r="B38" s="72"/>
      <c r="C38" s="91" t="str">
        <f>'Bilgi Giriş Sayfası'!C25&amp;" Motorlar ve Sürücüler"</f>
        <v>8,5 Nm Leadshine Digital Stepper Motorlar ve Sürücüler</v>
      </c>
      <c r="D38" s="92"/>
      <c r="E38" s="92"/>
      <c r="F38" s="92"/>
      <c r="G38" s="72"/>
      <c r="H38" s="72"/>
      <c r="I38" s="72"/>
      <c r="J38" s="72"/>
    </row>
    <row r="39" spans="2:14" ht="15" customHeight="1">
      <c r="B39" s="72"/>
      <c r="C39" s="91" t="str">
        <f>'Bilgi Giriş Sayfası'!F22&amp;" Cnc Kontrol Ünitesi "</f>
        <v xml:space="preserve">Windows Cnc Kontrol Ünitesi </v>
      </c>
      <c r="D39" s="92"/>
      <c r="E39" s="92"/>
      <c r="F39" s="92"/>
      <c r="G39" s="72"/>
      <c r="H39" s="72"/>
      <c r="I39" s="72"/>
      <c r="J39" s="72"/>
    </row>
    <row r="40" spans="2:14" ht="15" customHeight="1">
      <c r="B40" s="72"/>
      <c r="C40" s="91" t="s">
        <v>187</v>
      </c>
      <c r="D40" s="92"/>
      <c r="E40" s="92"/>
      <c r="F40" s="92"/>
      <c r="G40" s="72"/>
      <c r="H40" s="72"/>
      <c r="I40" s="72"/>
      <c r="J40" s="72"/>
    </row>
    <row r="41" spans="2:14" ht="15" customHeight="1">
      <c r="B41" s="72"/>
      <c r="C41" s="91" t="s">
        <v>188</v>
      </c>
      <c r="D41" s="92"/>
      <c r="E41" s="92"/>
      <c r="F41" s="92"/>
      <c r="G41" s="72"/>
      <c r="H41" s="72"/>
      <c r="I41" s="72"/>
      <c r="J41" s="72"/>
    </row>
    <row r="42" spans="2:14" ht="15" customHeight="1">
      <c r="B42" s="72"/>
      <c r="C42" s="91" t="s">
        <v>189</v>
      </c>
      <c r="D42" s="92"/>
      <c r="E42" s="92"/>
      <c r="F42" s="92"/>
      <c r="G42" s="72"/>
      <c r="H42" s="72"/>
      <c r="I42" s="72"/>
      <c r="J42" s="72"/>
    </row>
    <row r="43" spans="2:14" ht="15" customHeight="1">
      <c r="B43" s="72"/>
      <c r="C43" s="91" t="s">
        <v>190</v>
      </c>
      <c r="D43" s="92"/>
      <c r="E43" s="92"/>
      <c r="F43" s="92"/>
      <c r="G43" s="72"/>
      <c r="H43" s="72"/>
      <c r="I43" s="72"/>
      <c r="J43" s="72"/>
    </row>
    <row r="44" spans="2:14" ht="15" customHeight="1">
      <c r="B44" s="72"/>
      <c r="C44" s="91" t="s">
        <v>191</v>
      </c>
      <c r="D44" s="92"/>
      <c r="E44" s="92"/>
      <c r="F44" s="92"/>
      <c r="G44" s="72"/>
      <c r="H44" s="72"/>
      <c r="I44" s="72"/>
      <c r="J44" s="72"/>
    </row>
    <row r="45" spans="2:14" ht="15" customHeight="1">
      <c r="B45" s="72"/>
      <c r="C45" s="91" t="s">
        <v>192</v>
      </c>
      <c r="D45" s="92"/>
      <c r="E45" s="92"/>
      <c r="F45" s="92"/>
      <c r="G45" s="72"/>
      <c r="H45" s="72"/>
      <c r="I45" s="72"/>
      <c r="J45" s="72"/>
    </row>
    <row r="46" spans="2:14" ht="15" customHeight="1">
      <c r="B46" s="72"/>
      <c r="C46" s="91" t="s">
        <v>193</v>
      </c>
      <c r="D46" s="92"/>
      <c r="E46" s="92"/>
      <c r="F46" s="92"/>
      <c r="G46" s="72"/>
      <c r="H46" s="72"/>
      <c r="I46" s="72"/>
      <c r="J46" s="72"/>
    </row>
    <row r="47" spans="2:14" ht="15" customHeight="1">
      <c r="B47" s="72"/>
      <c r="C47" s="91" t="s">
        <v>194</v>
      </c>
      <c r="D47" s="92"/>
      <c r="E47" s="92"/>
      <c r="F47" s="92"/>
      <c r="G47" s="72"/>
      <c r="H47" s="72"/>
      <c r="I47" s="72"/>
      <c r="J47" s="72"/>
    </row>
    <row r="48" spans="2:14" ht="15" customHeight="1">
      <c r="B48" s="72"/>
      <c r="C48" s="91" t="s">
        <v>195</v>
      </c>
      <c r="D48" s="92"/>
      <c r="E48" s="92"/>
      <c r="F48" s="92"/>
      <c r="G48" s="72"/>
      <c r="H48" s="72"/>
      <c r="I48" s="72"/>
      <c r="J48" s="72"/>
    </row>
    <row r="49" spans="2:10" ht="15" customHeight="1">
      <c r="B49" s="72"/>
      <c r="C49" s="91" t="s">
        <v>196</v>
      </c>
      <c r="D49" s="92"/>
      <c r="E49" s="92"/>
      <c r="F49" s="92"/>
      <c r="G49" s="72"/>
      <c r="H49" s="72"/>
      <c r="I49" s="72"/>
      <c r="J49" s="72"/>
    </row>
    <row r="50" spans="2:10" ht="15" customHeight="1">
      <c r="B50" s="72"/>
      <c r="C50" s="91"/>
      <c r="D50" s="92"/>
      <c r="E50" s="92"/>
      <c r="F50" s="81"/>
      <c r="G50" s="72"/>
      <c r="H50" s="72"/>
      <c r="I50" s="72"/>
      <c r="J50" s="72"/>
    </row>
    <row r="51" spans="2:10" ht="15" customHeight="1">
      <c r="B51" s="72"/>
      <c r="C51" s="91"/>
      <c r="D51" s="92"/>
      <c r="E51" s="92"/>
      <c r="F51" s="91"/>
      <c r="G51" s="72"/>
      <c r="H51" s="72"/>
      <c r="I51" s="72"/>
      <c r="J51" s="72"/>
    </row>
    <row r="52" spans="2:10" ht="15" customHeight="1">
      <c r="B52" s="72"/>
      <c r="C52" s="91"/>
      <c r="D52" s="92"/>
      <c r="E52" s="92"/>
      <c r="F52" s="91"/>
      <c r="G52" s="72"/>
      <c r="H52" s="72"/>
      <c r="I52" s="72"/>
      <c r="J52" s="72"/>
    </row>
    <row r="53" spans="2:10" ht="15" customHeight="1">
      <c r="B53" s="72"/>
      <c r="C53" s="91"/>
      <c r="D53" s="92"/>
      <c r="E53" s="92"/>
      <c r="F53" s="91"/>
      <c r="G53" s="72"/>
      <c r="H53" s="72"/>
      <c r="I53" s="72"/>
      <c r="J53" s="72"/>
    </row>
    <row r="54" spans="2:10" ht="15" customHeight="1">
      <c r="B54" s="72"/>
      <c r="C54" s="91"/>
      <c r="D54" s="92"/>
      <c r="E54" s="92"/>
      <c r="F54" s="91"/>
      <c r="G54" s="72"/>
      <c r="H54" s="72"/>
      <c r="I54" s="72"/>
      <c r="J54" s="72"/>
    </row>
    <row r="55" spans="2:10" ht="15" customHeight="1">
      <c r="B55" s="94" t="s">
        <v>197</v>
      </c>
      <c r="C55" s="95"/>
      <c r="D55" s="95"/>
      <c r="E55" s="95"/>
      <c r="F55" s="95"/>
      <c r="G55" s="83"/>
      <c r="H55" s="83"/>
      <c r="I55" s="83"/>
      <c r="J55" s="83"/>
    </row>
    <row r="56" spans="2:10" ht="15" customHeight="1">
      <c r="B56" s="72"/>
      <c r="C56" s="72"/>
      <c r="D56" s="72"/>
      <c r="E56" s="72"/>
      <c r="F56" s="72"/>
      <c r="G56" s="72"/>
      <c r="H56" s="72"/>
      <c r="I56" s="72"/>
      <c r="J56" s="72"/>
    </row>
    <row r="57" spans="2:10" ht="15" customHeight="1">
      <c r="C57" s="72"/>
      <c r="D57" s="72"/>
      <c r="E57" s="72"/>
      <c r="F57" s="72"/>
      <c r="G57" s="78" t="s">
        <v>198</v>
      </c>
      <c r="H57" s="78"/>
      <c r="I57" s="314">
        <f>'Bilgi Giriş Sayfası'!J3</f>
        <v>21700</v>
      </c>
      <c r="J57" s="314"/>
    </row>
    <row r="58" spans="2:10" ht="15" customHeight="1">
      <c r="B58" s="72"/>
      <c r="C58" s="72"/>
      <c r="D58" s="72"/>
      <c r="E58" s="72"/>
      <c r="F58" s="72"/>
      <c r="G58" s="96" t="s">
        <v>130</v>
      </c>
      <c r="H58" s="96"/>
      <c r="I58" s="315">
        <f>'Bilgi Giriş Sayfası'!J9</f>
        <v>0</v>
      </c>
      <c r="J58" s="315"/>
    </row>
    <row r="59" spans="2:10" ht="15" customHeight="1">
      <c r="B59" s="72"/>
      <c r="C59" s="72"/>
      <c r="D59" s="72"/>
      <c r="E59" s="72"/>
      <c r="F59" s="72"/>
      <c r="G59" s="96" t="s">
        <v>199</v>
      </c>
      <c r="H59" s="96"/>
      <c r="I59" s="313">
        <f>I57+I58</f>
        <v>21700</v>
      </c>
      <c r="J59" s="313"/>
    </row>
    <row r="60" spans="2:10" ht="15" customHeight="1">
      <c r="B60" s="72"/>
      <c r="C60" s="72"/>
      <c r="D60" s="72"/>
      <c r="E60" s="72"/>
      <c r="F60" s="72"/>
      <c r="G60" s="72"/>
      <c r="H60" s="72"/>
      <c r="I60" s="72"/>
      <c r="J60" s="72"/>
    </row>
    <row r="61" spans="2:10" ht="15" customHeight="1">
      <c r="B61" s="80"/>
      <c r="C61" s="72"/>
      <c r="D61" s="80"/>
      <c r="E61" s="80"/>
      <c r="F61" s="80"/>
      <c r="G61" s="80"/>
      <c r="H61" s="97"/>
      <c r="I61" s="97"/>
      <c r="J61" s="98" t="s">
        <v>200</v>
      </c>
    </row>
    <row r="62" spans="2:10" ht="15" customHeight="1"/>
    <row r="63" spans="2:10" ht="15" customHeight="1"/>
    <row r="64" spans="2:10" ht="15" customHeight="1"/>
    <row r="65" spans="2:10" ht="15" customHeight="1">
      <c r="F65" s="68"/>
      <c r="G65" s="300" t="s">
        <v>201</v>
      </c>
      <c r="H65" s="300"/>
      <c r="I65" s="300"/>
      <c r="J65" s="300"/>
    </row>
    <row r="66" spans="2:10" ht="15" customHeight="1">
      <c r="F66" s="68"/>
      <c r="G66" s="300"/>
      <c r="H66" s="300"/>
      <c r="I66" s="300"/>
      <c r="J66" s="300"/>
    </row>
    <row r="67" spans="2:10" ht="15" customHeight="1">
      <c r="G67" s="69"/>
      <c r="H67" s="69"/>
      <c r="I67" s="99" t="s">
        <v>163</v>
      </c>
      <c r="J67" s="100">
        <f>'Bilgi Giriş Sayfası'!C13</f>
        <v>5003</v>
      </c>
    </row>
    <row r="68" spans="2:10" ht="15" customHeight="1">
      <c r="B68" s="101"/>
      <c r="C68" s="101"/>
      <c r="D68" s="101"/>
      <c r="E68" s="101"/>
      <c r="F68" s="101"/>
      <c r="G68" s="102"/>
      <c r="H68" s="102"/>
      <c r="I68" s="102"/>
      <c r="J68" s="102"/>
    </row>
    <row r="69" spans="2:10" ht="15" customHeight="1">
      <c r="B69" s="103" t="s">
        <v>164</v>
      </c>
      <c r="C69" s="101"/>
      <c r="D69" s="101"/>
      <c r="E69" s="101"/>
      <c r="F69" s="101"/>
      <c r="G69" s="104" t="s">
        <v>202</v>
      </c>
      <c r="H69" s="101"/>
      <c r="I69" s="101"/>
      <c r="J69" s="101"/>
    </row>
    <row r="70" spans="2:10" ht="15" customHeight="1">
      <c r="B70" s="101" t="s">
        <v>166</v>
      </c>
      <c r="C70" s="101"/>
      <c r="D70" s="101"/>
      <c r="E70" s="101"/>
      <c r="F70" s="101"/>
      <c r="G70" s="105" t="s">
        <v>167</v>
      </c>
      <c r="H70" s="301" t="str">
        <f>'Bilgi Giriş Sayfası'!C11</f>
        <v>Kamil Şentürk</v>
      </c>
      <c r="I70" s="301"/>
      <c r="J70" s="301"/>
    </row>
    <row r="71" spans="2:10" ht="15" customHeight="1">
      <c r="B71" s="101" t="s">
        <v>168</v>
      </c>
      <c r="C71" s="101"/>
      <c r="D71" s="101" t="s">
        <v>169</v>
      </c>
      <c r="E71" s="101"/>
      <c r="F71" s="101"/>
      <c r="G71" s="105" t="s">
        <v>203</v>
      </c>
      <c r="H71" s="302">
        <f ca="1">'Bilgi Giriş Sayfası'!F16+'Bilgi Giriş Sayfası'!F2</f>
        <v>44590</v>
      </c>
      <c r="I71" s="302"/>
      <c r="J71" s="302"/>
    </row>
    <row r="72" spans="2:10" ht="15" customHeight="1">
      <c r="C72" s="101"/>
      <c r="D72" s="101"/>
      <c r="E72" s="101"/>
      <c r="F72" s="101"/>
      <c r="G72" s="106" t="s">
        <v>204</v>
      </c>
      <c r="H72" s="301" t="str">
        <f>'Bilgi Giriş Sayfası'!C17</f>
        <v>Konya Robocut Fabrikası</v>
      </c>
      <c r="I72" s="301"/>
      <c r="J72" s="301"/>
    </row>
    <row r="73" spans="2:10" ht="15" customHeight="1">
      <c r="B73" s="101"/>
      <c r="C73" s="101"/>
      <c r="D73" s="101"/>
      <c r="E73" s="101"/>
      <c r="F73" s="101"/>
      <c r="G73" s="107"/>
      <c r="H73" s="107"/>
      <c r="I73" s="107"/>
      <c r="J73" s="107"/>
    </row>
    <row r="74" spans="2:10" ht="15" customHeight="1">
      <c r="B74" s="101"/>
      <c r="C74" s="101"/>
      <c r="D74" s="101"/>
      <c r="E74" s="101"/>
      <c r="F74" s="101"/>
      <c r="G74" s="102"/>
      <c r="H74" s="102"/>
      <c r="I74" s="102"/>
      <c r="J74" s="102"/>
    </row>
    <row r="75" spans="2:10" ht="15" customHeight="1"/>
    <row r="76" spans="2:10" ht="15" customHeight="1">
      <c r="B76" s="289" t="s">
        <v>205</v>
      </c>
      <c r="C76" s="289"/>
      <c r="D76" s="289"/>
      <c r="E76" s="289"/>
      <c r="F76" s="101"/>
      <c r="G76" s="295" t="s">
        <v>206</v>
      </c>
      <c r="H76" s="295"/>
      <c r="I76" s="295"/>
      <c r="J76" s="295"/>
    </row>
    <row r="77" spans="2:10" ht="15" customHeight="1">
      <c r="B77" s="107"/>
      <c r="C77" s="107"/>
      <c r="D77" s="107"/>
      <c r="E77" s="107"/>
      <c r="G77" s="107"/>
      <c r="H77" s="107"/>
      <c r="I77" s="107"/>
      <c r="J77" s="107"/>
    </row>
    <row r="78" spans="2:10" ht="15" customHeight="1">
      <c r="B78" s="102"/>
      <c r="C78" s="102"/>
      <c r="D78" s="102"/>
      <c r="E78" s="102"/>
      <c r="G78" s="102"/>
      <c r="H78" s="102"/>
      <c r="I78" s="102"/>
      <c r="J78" s="102"/>
    </row>
    <row r="79" spans="2:10" ht="15" customHeight="1">
      <c r="B79" s="105" t="s">
        <v>207</v>
      </c>
      <c r="D79" s="310">
        <f>'Bilgi Giriş Sayfası'!J3</f>
        <v>21700</v>
      </c>
      <c r="E79" s="310"/>
      <c r="G79" s="75" t="s">
        <v>81</v>
      </c>
      <c r="I79" s="298">
        <f>'Bilgi Giriş Sayfası'!F12</f>
        <v>1</v>
      </c>
      <c r="J79" s="298"/>
    </row>
    <row r="80" spans="2:10" ht="15" customHeight="1">
      <c r="B80" s="105" t="s">
        <v>160</v>
      </c>
      <c r="D80" s="310">
        <f>'Bilgi Giriş Sayfası'!J4</f>
        <v>0</v>
      </c>
      <c r="E80" s="310"/>
      <c r="G80" s="75" t="s">
        <v>208</v>
      </c>
      <c r="I80" s="312">
        <f>'Bilgi Giriş Sayfası'!J15</f>
        <v>21700</v>
      </c>
      <c r="J80" s="312"/>
    </row>
    <row r="81" spans="2:22" ht="15" customHeight="1">
      <c r="B81" s="105" t="s">
        <v>158</v>
      </c>
      <c r="D81" s="310">
        <f>'Bilgi Giriş Sayfası'!J5</f>
        <v>0</v>
      </c>
      <c r="E81" s="310"/>
      <c r="G81" s="75" t="s">
        <v>209</v>
      </c>
      <c r="I81" s="312">
        <f>'Bilgi Giriş Sayfası'!J18</f>
        <v>10850</v>
      </c>
      <c r="J81" s="312"/>
    </row>
    <row r="82" spans="2:22" ht="15" customHeight="1">
      <c r="B82" s="105" t="s">
        <v>210</v>
      </c>
      <c r="D82" s="310">
        <f>'Bilgi Giriş Sayfası'!J6</f>
        <v>0</v>
      </c>
      <c r="E82" s="310"/>
      <c r="G82" s="317" t="s">
        <v>222</v>
      </c>
      <c r="H82" s="317"/>
      <c r="I82" s="296" t="str">
        <f>'Bilgi Giriş Sayfası'!F15</f>
        <v>Peşin</v>
      </c>
      <c r="J82" s="296"/>
    </row>
    <row r="83" spans="2:22" ht="15" customHeight="1">
      <c r="B83" s="105" t="s">
        <v>161</v>
      </c>
      <c r="D83" s="310">
        <f>'Bilgi Giriş Sayfası'!J7</f>
        <v>0</v>
      </c>
      <c r="E83" s="310"/>
      <c r="G83" s="132" t="s">
        <v>212</v>
      </c>
      <c r="H83" s="133"/>
      <c r="I83" s="316">
        <f ca="1">'Bilgi Giriş Sayfası'!G14</f>
        <v>44598</v>
      </c>
      <c r="J83" s="316"/>
    </row>
    <row r="84" spans="2:22" ht="15" customHeight="1">
      <c r="B84" s="105" t="s">
        <v>213</v>
      </c>
      <c r="D84" s="310">
        <v>0</v>
      </c>
      <c r="E84" s="310"/>
      <c r="G84" s="109" t="s">
        <v>214</v>
      </c>
      <c r="H84" s="110"/>
      <c r="I84" s="311">
        <f>I80-I81</f>
        <v>10850</v>
      </c>
      <c r="J84" s="311"/>
    </row>
    <row r="85" spans="2:22" ht="15" customHeight="1">
      <c r="B85" s="111" t="s">
        <v>215</v>
      </c>
      <c r="C85" s="112"/>
      <c r="D85" s="311">
        <f>D79+D80+D81+D82+D83+D84</f>
        <v>21700</v>
      </c>
      <c r="E85" s="311"/>
    </row>
    <row r="86" spans="2:22" ht="15" customHeight="1">
      <c r="B86" s="107"/>
      <c r="C86" s="107"/>
      <c r="D86" s="107"/>
      <c r="E86" s="107"/>
      <c r="G86" s="69"/>
      <c r="H86" s="69"/>
      <c r="I86" s="69"/>
      <c r="J86" s="69"/>
    </row>
    <row r="87" spans="2:22" ht="15" customHeight="1">
      <c r="B87" s="113"/>
      <c r="C87" s="113"/>
      <c r="D87" s="113"/>
      <c r="E87" s="113"/>
      <c r="G87" s="102"/>
      <c r="H87" s="102"/>
      <c r="I87" s="102"/>
      <c r="J87" s="102"/>
    </row>
    <row r="88" spans="2:22" ht="15" customHeight="1"/>
    <row r="89" spans="2:22" ht="15" customHeight="1"/>
    <row r="90" spans="2:22" ht="15" customHeight="1">
      <c r="B90" s="295" t="s">
        <v>216</v>
      </c>
      <c r="C90" s="295"/>
      <c r="D90" s="295"/>
      <c r="E90" s="295"/>
      <c r="F90" s="295"/>
      <c r="G90" s="295"/>
      <c r="H90" s="295"/>
      <c r="I90" s="295"/>
      <c r="J90" s="295"/>
    </row>
    <row r="91" spans="2:22" ht="15" customHeight="1">
      <c r="B91" s="107"/>
      <c r="C91" s="107"/>
      <c r="D91" s="107"/>
      <c r="E91" s="107"/>
      <c r="F91" s="107"/>
      <c r="G91" s="101"/>
      <c r="H91" s="101"/>
      <c r="I91" s="101"/>
      <c r="J91" s="101"/>
      <c r="Q91" s="114"/>
      <c r="R91" s="114"/>
      <c r="S91" s="114"/>
      <c r="T91" s="114"/>
      <c r="U91" s="114"/>
      <c r="V91" s="114"/>
    </row>
    <row r="92" spans="2:22" ht="15" customHeight="1">
      <c r="B92" s="102"/>
      <c r="C92" s="102"/>
      <c r="D92" s="102"/>
      <c r="E92" s="102"/>
      <c r="F92" s="115"/>
      <c r="G92" s="102"/>
      <c r="H92" s="102"/>
      <c r="I92" s="102"/>
      <c r="J92" s="102"/>
      <c r="Q92" s="114"/>
      <c r="R92" s="114"/>
      <c r="S92" s="114"/>
      <c r="T92" s="114"/>
      <c r="U92" s="114"/>
      <c r="V92" s="114"/>
    </row>
    <row r="93" spans="2:22" ht="15" customHeight="1">
      <c r="B93" s="128" t="str">
        <f>IF(I79&gt;=1,"1.Taksit","")</f>
        <v>1.Taksit</v>
      </c>
      <c r="C93" s="309">
        <f ca="1">IF(I79&gt;=1,I83+31,"")</f>
        <v>44629</v>
      </c>
      <c r="D93" s="309"/>
      <c r="E93" s="129">
        <f>IF(I79&gt;=1,I84/I79,"  ")</f>
        <v>10850</v>
      </c>
      <c r="F93" s="130"/>
      <c r="G93" s="128" t="str">
        <f>IF(I79&gt;=7,"7.Taksit","")</f>
        <v/>
      </c>
      <c r="H93" s="309" t="str">
        <f>IF(I79&gt;=7,C98+31,"")</f>
        <v/>
      </c>
      <c r="I93" s="309"/>
      <c r="J93" s="129" t="str">
        <f>IF(I79&gt;=7,I84/I79,"  ")</f>
        <v xml:space="preserve">  </v>
      </c>
      <c r="K93" s="121"/>
      <c r="Q93" s="122"/>
      <c r="R93" s="123" t="str">
        <f>IF(N83&gt;=7,"7.Taksit","")</f>
        <v/>
      </c>
      <c r="S93" s="292" t="str">
        <f>IF(N83&gt;=7,T91/N83,"  ")</f>
        <v xml:space="preserve">  </v>
      </c>
      <c r="T93" s="292"/>
      <c r="U93" s="124" t="str">
        <f>IF(N83&gt;=7,D98+31,"")</f>
        <v/>
      </c>
      <c r="V93" s="114"/>
    </row>
    <row r="94" spans="2:22" ht="15" customHeight="1">
      <c r="B94" s="128" t="str">
        <f>IF(I79&gt;=2,"2.Taksit","  ")</f>
        <v xml:space="preserve">  </v>
      </c>
      <c r="C94" s="309" t="str">
        <f>IF(I79&gt;=2,C93+31,"")</f>
        <v/>
      </c>
      <c r="D94" s="309"/>
      <c r="E94" s="129" t="str">
        <f>IF(I79&gt;=2,I84/I79,"  ")</f>
        <v xml:space="preserve">  </v>
      </c>
      <c r="F94" s="130"/>
      <c r="G94" s="128" t="str">
        <f>IF(I79&gt;=8,"8.Taksit","")</f>
        <v/>
      </c>
      <c r="H94" s="309" t="str">
        <f>IF(I79&gt;=8,H93+31,"")</f>
        <v/>
      </c>
      <c r="I94" s="309"/>
      <c r="J94" s="129" t="str">
        <f>IF(I79&gt;=8,I84/I79,"  ")</f>
        <v xml:space="preserve">  </v>
      </c>
      <c r="Q94" s="122"/>
      <c r="R94" s="123" t="str">
        <f>IF(N83&gt;=8,"8.Taksit","")</f>
        <v/>
      </c>
      <c r="S94" s="292" t="str">
        <f>IF(N83&gt;=8,T91/N83,"  ")</f>
        <v xml:space="preserve">  </v>
      </c>
      <c r="T94" s="292"/>
      <c r="U94" s="124" t="str">
        <f>IF(N83&gt;=8,U93+31,"")</f>
        <v/>
      </c>
      <c r="V94" s="114"/>
    </row>
    <row r="95" spans="2:22" ht="15" customHeight="1">
      <c r="B95" s="128" t="str">
        <f>IF(I79&gt;=3,"3.Taksit","  ")</f>
        <v xml:space="preserve">  </v>
      </c>
      <c r="C95" s="309" t="str">
        <f>IF(I79&gt;=3,C94+31,"")</f>
        <v/>
      </c>
      <c r="D95" s="309"/>
      <c r="E95" s="129" t="str">
        <f>IF(I79&gt;=3,I84/I79,"  ")</f>
        <v xml:space="preserve">  </v>
      </c>
      <c r="F95" s="130"/>
      <c r="G95" s="128" t="str">
        <f>IF(I79&gt;=9,"9.Taksit","")</f>
        <v/>
      </c>
      <c r="H95" s="309" t="str">
        <f>IF(I79&gt;=9,H94+31,"")</f>
        <v/>
      </c>
      <c r="I95" s="309"/>
      <c r="J95" s="129" t="str">
        <f>IF(I79&gt;=9,I84/I79,"  ")</f>
        <v xml:space="preserve">  </v>
      </c>
      <c r="Q95" s="122"/>
      <c r="R95" s="123" t="str">
        <f>IF(N83&gt;=9,"9.Taksit","")</f>
        <v/>
      </c>
      <c r="S95" s="292" t="str">
        <f>IF(N83&gt;=9,T91/N83,"  ")</f>
        <v xml:space="preserve">  </v>
      </c>
      <c r="T95" s="292"/>
      <c r="U95" s="124" t="str">
        <f>IF(N83&gt;=9,U94+31,"")</f>
        <v/>
      </c>
      <c r="V95" s="114"/>
    </row>
    <row r="96" spans="2:22" ht="15" customHeight="1">
      <c r="B96" s="128" t="str">
        <f>IF(I79&gt;=4,"4.Taksit","")</f>
        <v/>
      </c>
      <c r="C96" s="309" t="str">
        <f>IF(I79&gt;=4,C95+31,"")</f>
        <v/>
      </c>
      <c r="D96" s="309"/>
      <c r="E96" s="129" t="str">
        <f>IF(I79&gt;=4,I84/I79,"  ")</f>
        <v xml:space="preserve">  </v>
      </c>
      <c r="F96" s="130"/>
      <c r="G96" s="128" t="str">
        <f>IF(I79&gt;=10,"10.Taksit","")</f>
        <v/>
      </c>
      <c r="H96" s="309" t="str">
        <f>IF(I79&gt;=10,H95+31,"")</f>
        <v/>
      </c>
      <c r="I96" s="309"/>
      <c r="J96" s="129" t="str">
        <f>IF(I79&gt;=10,I84/I79,"  ")</f>
        <v xml:space="preserve">  </v>
      </c>
      <c r="Q96" s="122"/>
      <c r="R96" s="123" t="str">
        <f>IF(N83&gt;=10,"10.Taksit","")</f>
        <v/>
      </c>
      <c r="S96" s="292" t="str">
        <f>IF(N83&gt;=10,T91/N83,"  ")</f>
        <v xml:space="preserve">  </v>
      </c>
      <c r="T96" s="292"/>
      <c r="U96" s="124" t="str">
        <f>IF(N83&gt;=10,U95+31,"")</f>
        <v/>
      </c>
      <c r="V96" s="114"/>
    </row>
    <row r="97" spans="1:22" ht="15" customHeight="1">
      <c r="B97" s="128" t="str">
        <f>IF(I79&gt;=5,"5.Taksit","")</f>
        <v/>
      </c>
      <c r="C97" s="309" t="str">
        <f>IF(I79&gt;=5,C96+31,"")</f>
        <v/>
      </c>
      <c r="D97" s="309"/>
      <c r="E97" s="129" t="str">
        <f>IF(I79&gt;=5,I84/I79,"  ")</f>
        <v xml:space="preserve">  </v>
      </c>
      <c r="F97" s="130"/>
      <c r="G97" s="128" t="str">
        <f>IF(I79&gt;=11,"11.Taksit","")</f>
        <v/>
      </c>
      <c r="H97" s="309" t="str">
        <f>IF(I79&gt;=11,H96+31,"")</f>
        <v/>
      </c>
      <c r="I97" s="309"/>
      <c r="J97" s="129" t="str">
        <f>IF(I79&gt;=11,I84/I79,"  ")</f>
        <v xml:space="preserve">  </v>
      </c>
      <c r="Q97" s="122"/>
      <c r="R97" s="123" t="str">
        <f>IF(N83&gt;=11,"11.Taksit","")</f>
        <v/>
      </c>
      <c r="S97" s="292" t="str">
        <f>IF(N83&gt;=11,T91/N83,"  ")</f>
        <v xml:space="preserve">  </v>
      </c>
      <c r="T97" s="292"/>
      <c r="U97" s="124" t="str">
        <f>IF(N83&gt;=11,U96+31,"")</f>
        <v/>
      </c>
      <c r="V97" s="114"/>
    </row>
    <row r="98" spans="1:22" ht="15" customHeight="1">
      <c r="B98" s="128" t="str">
        <f>IF(I79&gt;=6,"6.Taksit","")</f>
        <v/>
      </c>
      <c r="C98" s="309" t="str">
        <f>IF(I79&gt;=6,C97+31,"")</f>
        <v/>
      </c>
      <c r="D98" s="309"/>
      <c r="E98" s="129" t="str">
        <f>IF(I79&gt;=6,I84/I79,"  ")</f>
        <v xml:space="preserve">  </v>
      </c>
      <c r="F98" s="130"/>
      <c r="G98" s="128" t="str">
        <f>IF(I79&gt;=12,"12.Taksit","")</f>
        <v/>
      </c>
      <c r="H98" s="309" t="str">
        <f>IF(I79&gt;=12,H97+31,"")</f>
        <v/>
      </c>
      <c r="I98" s="309"/>
      <c r="J98" s="129" t="str">
        <f>IF(I79&gt;=12,I84/I79,"  ")</f>
        <v xml:space="preserve">  </v>
      </c>
      <c r="Q98" s="122"/>
      <c r="R98" s="123" t="str">
        <f>IF(N83&gt;=12,"12.Taksit","")</f>
        <v/>
      </c>
      <c r="S98" s="292" t="str">
        <f>IF(N83&gt;=12,T91/N83,"  ")</f>
        <v xml:space="preserve">  </v>
      </c>
      <c r="T98" s="292"/>
      <c r="U98" s="124" t="str">
        <f>IF(N83&gt;=12,U97+31,"")</f>
        <v/>
      </c>
      <c r="V98" s="114"/>
    </row>
    <row r="99" spans="1:22" ht="15" customHeight="1">
      <c r="B99" s="119"/>
      <c r="C99" s="291"/>
      <c r="D99" s="291"/>
      <c r="E99" s="120"/>
      <c r="F99" s="115"/>
      <c r="G99" s="119"/>
      <c r="H99" s="291"/>
      <c r="I99" s="291"/>
      <c r="J99" s="120"/>
      <c r="Q99" s="114"/>
      <c r="R99" s="114"/>
      <c r="S99" s="114"/>
      <c r="T99" s="114"/>
      <c r="U99" s="114"/>
      <c r="V99" s="114"/>
    </row>
    <row r="100" spans="1:22" ht="15" customHeight="1">
      <c r="A100" s="288" t="s">
        <v>217</v>
      </c>
      <c r="B100" s="288"/>
      <c r="C100" s="288"/>
      <c r="D100" s="288"/>
      <c r="E100" s="288"/>
      <c r="F100" s="288"/>
      <c r="G100" s="288"/>
      <c r="H100" s="288"/>
      <c r="I100" s="288"/>
      <c r="J100" s="288"/>
      <c r="K100" s="288"/>
    </row>
    <row r="101" spans="1:22" ht="15" customHeight="1">
      <c r="A101" s="308" t="str">
        <f>IF('Bilgi Giriş Sayfası'!C14='Parametre Sayfası'!D14,'Parametre Sayfası'!B33,IF('Bilgi Giriş Sayfası'!C14='Parametre Sayfası'!D15,'Parametre Sayfası'!B34,IF('Bilgi Giriş Sayfası'!C14='Parametre Sayfası'!D16,'Parametre Sayfası'!B35,IF('Bilgi Giriş Sayfası'!C14='Parametre Sayfası'!D17,'Parametre Sayfası'!B36))))</f>
        <v>Makine Fiyatımız İhraç Kayıtlı Olduğu için Kdv İlave Edilmemiştir.</v>
      </c>
      <c r="B101" s="308"/>
      <c r="C101" s="308"/>
      <c r="D101" s="308"/>
      <c r="E101" s="308"/>
      <c r="F101" s="308"/>
      <c r="G101" s="308"/>
      <c r="H101" s="308"/>
      <c r="I101" s="308"/>
      <c r="J101" s="308"/>
      <c r="K101" s="308"/>
    </row>
    <row r="102" spans="1:22" ht="15" customHeight="1">
      <c r="A102" s="288" t="s">
        <v>221</v>
      </c>
      <c r="B102" s="288"/>
      <c r="C102" s="288"/>
      <c r="D102" s="288"/>
      <c r="E102" s="288"/>
      <c r="F102" s="288"/>
      <c r="G102" s="288"/>
      <c r="H102" s="288"/>
      <c r="I102" s="288"/>
      <c r="J102" s="288"/>
      <c r="K102" s="288"/>
    </row>
    <row r="103" spans="1:22" ht="15" customHeight="1">
      <c r="A103" s="307"/>
      <c r="B103" s="307"/>
      <c r="C103" s="307"/>
      <c r="D103" s="307"/>
      <c r="E103" s="307"/>
      <c r="F103" s="307"/>
      <c r="G103" s="307"/>
      <c r="H103" s="307"/>
      <c r="I103" s="307"/>
      <c r="J103" s="307"/>
      <c r="K103" s="307"/>
    </row>
    <row r="104" spans="1:22" ht="15" customHeight="1">
      <c r="A104" s="307"/>
      <c r="B104" s="307"/>
      <c r="C104" s="307"/>
      <c r="D104" s="307"/>
      <c r="E104" s="307"/>
      <c r="F104" s="307"/>
      <c r="G104" s="307"/>
      <c r="H104" s="307"/>
      <c r="I104" s="307"/>
      <c r="J104" s="307"/>
      <c r="K104" s="307"/>
    </row>
    <row r="105" spans="1:22" ht="15" customHeight="1">
      <c r="A105" s="307"/>
      <c r="B105" s="307"/>
      <c r="C105" s="307"/>
      <c r="D105" s="307"/>
      <c r="E105" s="307"/>
      <c r="F105" s="307"/>
      <c r="G105" s="307"/>
      <c r="H105" s="307"/>
      <c r="I105" s="307"/>
      <c r="J105" s="307"/>
      <c r="K105" s="307"/>
    </row>
    <row r="106" spans="1:22" ht="15" customHeight="1"/>
    <row r="107" spans="1:22" ht="15" customHeight="1">
      <c r="B107" s="102"/>
      <c r="C107" s="102"/>
      <c r="D107" s="102"/>
      <c r="E107" s="102"/>
      <c r="G107" s="102"/>
      <c r="H107" s="102"/>
      <c r="I107" s="102"/>
      <c r="J107" s="102"/>
      <c r="K107" s="126"/>
    </row>
    <row r="108" spans="1:22" ht="15" customHeight="1">
      <c r="K108" s="126"/>
    </row>
    <row r="109" spans="1:22" ht="15" customHeight="1">
      <c r="K109" s="126"/>
    </row>
    <row r="110" spans="1:22" ht="15" customHeight="1">
      <c r="K110" s="126"/>
    </row>
    <row r="111" spans="1:22" ht="15" customHeight="1">
      <c r="B111" s="107"/>
      <c r="C111" s="107"/>
      <c r="D111" s="107"/>
      <c r="E111" s="107"/>
      <c r="F111" s="101"/>
      <c r="G111" s="107"/>
      <c r="H111" s="107"/>
      <c r="I111" s="107"/>
      <c r="J111" s="107"/>
      <c r="K111" s="126"/>
    </row>
    <row r="112" spans="1:22" ht="15" customHeight="1">
      <c r="B112" s="102"/>
      <c r="C112" s="102"/>
      <c r="D112" s="102"/>
      <c r="E112" s="102"/>
      <c r="F112" s="127"/>
      <c r="G112" s="102"/>
      <c r="H112" s="102"/>
      <c r="I112" s="102"/>
      <c r="J112" s="102"/>
      <c r="K112" s="126"/>
    </row>
    <row r="113" spans="2:11" ht="15" customHeight="1">
      <c r="B113" s="289" t="s">
        <v>219</v>
      </c>
      <c r="C113" s="289"/>
      <c r="D113" s="289"/>
      <c r="E113" s="289"/>
      <c r="F113" s="127"/>
      <c r="G113" s="289" t="s">
        <v>220</v>
      </c>
      <c r="H113" s="289"/>
      <c r="I113" s="289"/>
      <c r="J113" s="289"/>
      <c r="K113" s="126"/>
    </row>
    <row r="114" spans="2:11" ht="15" customHeight="1">
      <c r="B114" s="113"/>
      <c r="C114" s="113"/>
      <c r="D114" s="113"/>
      <c r="E114" s="113"/>
      <c r="F114" s="127"/>
      <c r="G114" s="113"/>
      <c r="H114" s="113"/>
      <c r="I114" s="113"/>
      <c r="J114" s="113"/>
      <c r="K114" s="126"/>
    </row>
    <row r="115" spans="2:11" ht="15" customHeight="1">
      <c r="B115" s="113"/>
      <c r="C115" s="113"/>
      <c r="D115" s="113"/>
      <c r="E115" s="113"/>
      <c r="F115" s="127"/>
      <c r="G115" s="113"/>
      <c r="H115" s="113"/>
      <c r="I115" s="113"/>
      <c r="J115" s="113"/>
      <c r="K115" s="126"/>
    </row>
    <row r="116" spans="2:11" ht="15" customHeight="1">
      <c r="B116" s="113"/>
      <c r="C116" s="113"/>
      <c r="D116" s="113"/>
      <c r="E116" s="113"/>
      <c r="F116" s="127"/>
      <c r="G116" s="113"/>
      <c r="H116" s="113"/>
      <c r="I116" s="113"/>
      <c r="J116" s="113"/>
      <c r="K116" s="126"/>
    </row>
    <row r="117" spans="2:11" ht="15" customHeight="1">
      <c r="B117" s="113"/>
      <c r="C117" s="113"/>
      <c r="D117" s="113"/>
      <c r="E117" s="113"/>
      <c r="F117" s="127"/>
      <c r="G117" s="113"/>
      <c r="H117" s="113"/>
      <c r="I117" s="113"/>
      <c r="J117" s="113"/>
      <c r="K117" s="126"/>
    </row>
    <row r="118" spans="2:11" ht="15" customHeight="1">
      <c r="B118" s="113"/>
      <c r="C118" s="113"/>
      <c r="D118" s="113"/>
      <c r="E118" s="113"/>
      <c r="F118" s="127"/>
      <c r="G118" s="113"/>
      <c r="H118" s="113"/>
      <c r="I118" s="113"/>
      <c r="J118" s="113"/>
      <c r="K118" s="126"/>
    </row>
    <row r="119" spans="2:11" ht="15" customHeight="1">
      <c r="B119" s="113"/>
      <c r="C119" s="113"/>
      <c r="D119" s="113"/>
      <c r="E119" s="113"/>
      <c r="F119" s="127"/>
      <c r="G119" s="113"/>
      <c r="H119" s="113"/>
      <c r="I119" s="113"/>
      <c r="J119" s="113"/>
      <c r="K119" s="126"/>
    </row>
    <row r="120" spans="2:11" ht="15" customHeight="1">
      <c r="B120" s="113"/>
      <c r="C120" s="113"/>
      <c r="D120" s="113"/>
      <c r="E120" s="113"/>
      <c r="F120" s="127"/>
      <c r="G120" s="113"/>
      <c r="H120" s="113"/>
      <c r="I120" s="113"/>
      <c r="J120" s="113"/>
      <c r="K120" s="126"/>
    </row>
    <row r="121" spans="2:11" ht="15" customHeight="1">
      <c r="B121" s="113"/>
      <c r="C121" s="113"/>
      <c r="D121" s="113"/>
      <c r="E121" s="113"/>
      <c r="F121" s="127"/>
      <c r="G121" s="113"/>
      <c r="H121" s="113"/>
      <c r="I121" s="113"/>
      <c r="J121" s="113"/>
      <c r="K121" s="126"/>
    </row>
    <row r="122" spans="2:11" ht="15" customHeight="1">
      <c r="B122" s="113"/>
      <c r="C122" s="113"/>
      <c r="D122" s="113"/>
      <c r="E122" s="113"/>
      <c r="F122" s="127"/>
      <c r="G122" s="113"/>
      <c r="H122" s="113"/>
      <c r="I122" s="113"/>
      <c r="J122" s="113"/>
      <c r="K122" s="126"/>
    </row>
    <row r="123" spans="2:11" ht="15" customHeight="1">
      <c r="B123" s="104"/>
      <c r="C123" s="101"/>
      <c r="D123" s="287"/>
      <c r="E123" s="287"/>
      <c r="F123" s="92"/>
      <c r="G123" s="104"/>
      <c r="H123" s="101"/>
      <c r="I123" s="287"/>
      <c r="J123" s="287"/>
      <c r="K123" s="126"/>
    </row>
    <row r="124" spans="2:11" ht="15" customHeight="1">
      <c r="B124" s="107"/>
      <c r="C124" s="107"/>
      <c r="D124" s="107"/>
      <c r="E124" s="107"/>
      <c r="F124" s="92"/>
      <c r="G124" s="107"/>
      <c r="H124" s="107"/>
      <c r="I124" s="107"/>
      <c r="J124" s="107"/>
      <c r="K124" s="126"/>
    </row>
    <row r="125" spans="2:11" ht="15" customHeight="1">
      <c r="B125" s="113"/>
      <c r="C125" s="113"/>
      <c r="D125" s="113"/>
      <c r="E125" s="113"/>
      <c r="F125" s="113"/>
      <c r="G125" s="113"/>
      <c r="H125" s="113"/>
      <c r="I125" s="113"/>
      <c r="J125" s="113"/>
      <c r="K125" s="126"/>
    </row>
    <row r="126" spans="2:11" ht="15" customHeight="1">
      <c r="B126" s="113"/>
      <c r="C126" s="113"/>
      <c r="D126" s="113"/>
      <c r="E126" s="113"/>
      <c r="F126" s="113"/>
      <c r="G126" s="113"/>
      <c r="H126" s="127"/>
      <c r="I126" s="127"/>
      <c r="J126" s="127"/>
      <c r="K126" s="126"/>
    </row>
    <row r="127" spans="2:11" ht="15" customHeight="1">
      <c r="B127" s="113"/>
      <c r="C127" s="113"/>
      <c r="D127" s="113"/>
      <c r="E127" s="113"/>
      <c r="F127" s="113"/>
      <c r="G127" s="113"/>
      <c r="H127" s="113"/>
      <c r="I127" s="113"/>
      <c r="J127" s="113"/>
      <c r="K127" s="126"/>
    </row>
    <row r="128" spans="2:11" ht="12.6" customHeight="1">
      <c r="B128" s="113"/>
      <c r="C128" s="113"/>
      <c r="D128" s="113"/>
      <c r="E128" s="113"/>
      <c r="F128" s="113"/>
      <c r="G128" s="113"/>
      <c r="H128" s="127"/>
      <c r="I128" s="127"/>
      <c r="J128" s="127"/>
      <c r="K128" s="126"/>
    </row>
    <row r="129" spans="2:11" ht="12.6" customHeight="1">
      <c r="B129" s="113"/>
      <c r="C129" s="113"/>
      <c r="D129" s="113"/>
      <c r="E129" s="113"/>
      <c r="F129" s="113"/>
      <c r="G129" s="113"/>
      <c r="H129" s="113"/>
      <c r="I129" s="113"/>
      <c r="J129" s="113"/>
      <c r="K129" s="126"/>
    </row>
    <row r="130" spans="2:11" ht="12.6" customHeight="1">
      <c r="B130" s="113"/>
      <c r="C130" s="126"/>
      <c r="D130" s="113"/>
      <c r="E130" s="113"/>
      <c r="F130" s="113"/>
      <c r="G130" s="113"/>
      <c r="H130" s="113"/>
      <c r="I130" s="113"/>
      <c r="J130" s="98"/>
      <c r="K130" s="126"/>
    </row>
    <row r="131" spans="2:11" ht="12.6" customHeight="1">
      <c r="B131" s="126"/>
      <c r="C131" s="126"/>
      <c r="D131" s="126"/>
      <c r="E131" s="126"/>
      <c r="F131" s="126"/>
      <c r="G131" s="126"/>
      <c r="H131" s="126"/>
      <c r="I131" s="126"/>
      <c r="J131" s="126"/>
      <c r="K131" s="126"/>
    </row>
    <row r="132" spans="2:11" ht="12.6" customHeight="1">
      <c r="B132" s="126"/>
      <c r="C132" s="126"/>
      <c r="D132" s="126"/>
      <c r="E132" s="126"/>
      <c r="F132" s="126"/>
      <c r="G132" s="126"/>
      <c r="H132" s="126"/>
      <c r="I132" s="126"/>
      <c r="J132" s="126"/>
      <c r="K132" s="126"/>
    </row>
    <row r="133" spans="2:11" ht="12.6" customHeight="1"/>
    <row r="134" spans="2:11" ht="12.6" customHeight="1"/>
    <row r="135" spans="2:11" ht="12.6" customHeight="1"/>
    <row r="136" spans="2:11" ht="12.6" customHeight="1"/>
  </sheetData>
  <mergeCells count="62">
    <mergeCell ref="G3:J4"/>
    <mergeCell ref="H8:J8"/>
    <mergeCell ref="H9:J9"/>
    <mergeCell ref="H10:J10"/>
    <mergeCell ref="H11:J11"/>
    <mergeCell ref="H12:J12"/>
    <mergeCell ref="I17:J17"/>
    <mergeCell ref="B26:F26"/>
    <mergeCell ref="I57:J57"/>
    <mergeCell ref="I58:J58"/>
    <mergeCell ref="I59:J59"/>
    <mergeCell ref="G65:J66"/>
    <mergeCell ref="H70:J70"/>
    <mergeCell ref="H71:J71"/>
    <mergeCell ref="H72:J72"/>
    <mergeCell ref="B76:E76"/>
    <mergeCell ref="G76:J76"/>
    <mergeCell ref="D79:E79"/>
    <mergeCell ref="I79:J79"/>
    <mergeCell ref="D80:E80"/>
    <mergeCell ref="I80:J80"/>
    <mergeCell ref="D81:E81"/>
    <mergeCell ref="I81:J81"/>
    <mergeCell ref="D82:E82"/>
    <mergeCell ref="G82:H82"/>
    <mergeCell ref="I82:J82"/>
    <mergeCell ref="D83:E83"/>
    <mergeCell ref="I83:J83"/>
    <mergeCell ref="D84:E84"/>
    <mergeCell ref="I84:J84"/>
    <mergeCell ref="D85:E85"/>
    <mergeCell ref="B90:J90"/>
    <mergeCell ref="C93:D93"/>
    <mergeCell ref="H93:I93"/>
    <mergeCell ref="S93:T93"/>
    <mergeCell ref="C94:D94"/>
    <mergeCell ref="H94:I94"/>
    <mergeCell ref="S94:T94"/>
    <mergeCell ref="C95:D95"/>
    <mergeCell ref="H95:I95"/>
    <mergeCell ref="S95:T95"/>
    <mergeCell ref="C96:D96"/>
    <mergeCell ref="H96:I96"/>
    <mergeCell ref="S96:T96"/>
    <mergeCell ref="C97:D97"/>
    <mergeCell ref="H97:I97"/>
    <mergeCell ref="S97:T97"/>
    <mergeCell ref="C98:D98"/>
    <mergeCell ref="H98:I98"/>
    <mergeCell ref="S98:T98"/>
    <mergeCell ref="C99:D99"/>
    <mergeCell ref="H99:I99"/>
    <mergeCell ref="A100:K100"/>
    <mergeCell ref="A101:K101"/>
    <mergeCell ref="A102:K102"/>
    <mergeCell ref="D123:E123"/>
    <mergeCell ref="I123:J123"/>
    <mergeCell ref="A103:K103"/>
    <mergeCell ref="A104:K104"/>
    <mergeCell ref="A105:K105"/>
    <mergeCell ref="B113:E113"/>
    <mergeCell ref="G113:J113"/>
  </mergeCells>
  <printOptions horizontalCentered="1" verticalCentered="1"/>
  <pageMargins left="0.196527777777778" right="0.196527777777778" top="0.196527777777778" bottom="0.196527777777778" header="0.511811023622047" footer="0.511811023622047"/>
  <pageSetup paperSize="9" scale="86" orientation="portrait" horizontalDpi="300" verticalDpi="300" r:id="rId1"/>
  <rowBreaks count="1" manualBreakCount="1">
    <brk id="62"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8"/>
  <sheetViews>
    <sheetView showGridLines="0" view="pageBreakPreview" topLeftCell="A25" zoomScale="95" zoomScaleNormal="100" zoomScalePageLayoutView="95" workbookViewId="0">
      <selection activeCell="B50" sqref="B50:J52"/>
    </sheetView>
  </sheetViews>
  <sheetFormatPr defaultColWidth="9.140625" defaultRowHeight="15"/>
  <cols>
    <col min="1" max="1" width="0.140625" style="134" customWidth="1"/>
    <col min="2" max="2" width="9.140625" style="134"/>
    <col min="3" max="3" width="25.7109375" style="134" customWidth="1"/>
    <col min="4" max="4" width="3.7109375" style="134" customWidth="1"/>
    <col min="5" max="5" width="14.140625" style="134" customWidth="1"/>
    <col min="6" max="6" width="8.140625" style="134" customWidth="1"/>
    <col min="7" max="7" width="10" style="135" customWidth="1"/>
    <col min="8" max="8" width="7.7109375" style="135" customWidth="1"/>
    <col min="9" max="9" width="16" style="135" customWidth="1"/>
    <col min="10" max="10" width="16.28515625" style="134" customWidth="1"/>
    <col min="11" max="1024" width="9.140625" style="134"/>
  </cols>
  <sheetData>
    <row r="1" spans="1:17">
      <c r="B1" s="336"/>
      <c r="C1" s="336"/>
      <c r="D1" s="336"/>
      <c r="E1" s="336"/>
      <c r="F1" s="336"/>
      <c r="G1" s="336"/>
      <c r="H1" s="336"/>
      <c r="I1" s="336"/>
      <c r="J1" s="336"/>
    </row>
    <row r="2" spans="1:17" ht="15" customHeight="1">
      <c r="F2" s="337" t="s">
        <v>223</v>
      </c>
      <c r="G2" s="337"/>
      <c r="H2" s="337"/>
      <c r="I2" s="337"/>
      <c r="J2" s="337"/>
    </row>
    <row r="3" spans="1:17">
      <c r="F3" s="318" t="s">
        <v>224</v>
      </c>
      <c r="G3" s="318"/>
      <c r="H3" s="318"/>
      <c r="I3" s="318"/>
      <c r="J3" s="318"/>
    </row>
    <row r="4" spans="1:17">
      <c r="F4" s="318" t="s">
        <v>225</v>
      </c>
      <c r="G4" s="318"/>
      <c r="H4" s="318"/>
      <c r="I4" s="318"/>
      <c r="J4" s="318"/>
    </row>
    <row r="5" spans="1:17">
      <c r="F5" s="318" t="s">
        <v>226</v>
      </c>
      <c r="G5" s="318"/>
      <c r="H5" s="318"/>
      <c r="I5" s="318"/>
      <c r="J5" s="318"/>
    </row>
    <row r="6" spans="1:17">
      <c r="F6" s="318" t="s">
        <v>227</v>
      </c>
      <c r="G6" s="318"/>
      <c r="H6" s="318"/>
      <c r="I6" s="318"/>
      <c r="J6" s="318"/>
    </row>
    <row r="7" spans="1:17">
      <c r="B7" s="331"/>
      <c r="C7" s="331"/>
      <c r="D7" s="331"/>
      <c r="E7" s="331"/>
      <c r="F7" s="331"/>
      <c r="G7" s="331"/>
      <c r="H7" s="331"/>
      <c r="I7" s="331"/>
      <c r="J7" s="331"/>
    </row>
    <row r="8" spans="1:17" ht="26.25" customHeight="1">
      <c r="B8" s="332" t="s">
        <v>228</v>
      </c>
      <c r="C8" s="333" t="str">
        <f>'Bilgi Giriş Sayfası'!C2</f>
        <v>Aygen Mekatronik San.Ve Tic.Ltd.Şti</v>
      </c>
      <c r="D8" s="333"/>
      <c r="E8" s="333"/>
      <c r="F8" s="333"/>
      <c r="I8" s="334" t="s">
        <v>229</v>
      </c>
      <c r="J8" s="334"/>
    </row>
    <row r="9" spans="1:17" s="134" customFormat="1" ht="18.75" customHeight="1">
      <c r="B9" s="332"/>
      <c r="C9" s="333"/>
      <c r="D9" s="333"/>
      <c r="E9" s="333"/>
      <c r="F9" s="333"/>
      <c r="H9" s="138"/>
      <c r="I9" s="335">
        <f ca="1">'Bilgi Giriş Sayfası'!F16</f>
        <v>44587</v>
      </c>
      <c r="J9" s="335"/>
    </row>
    <row r="10" spans="1:17" ht="16.5" customHeight="1">
      <c r="B10" s="326" t="s">
        <v>230</v>
      </c>
      <c r="C10" s="327" t="str">
        <f>""&amp;'Bilgi Giriş Sayfası'!C4</f>
        <v>Hatay</v>
      </c>
      <c r="D10" s="327"/>
      <c r="E10" s="327"/>
      <c r="F10" s="327"/>
      <c r="G10" s="139"/>
      <c r="H10" s="139"/>
      <c r="I10" s="139"/>
    </row>
    <row r="11" spans="1:17" ht="15" customHeight="1">
      <c r="B11" s="326"/>
      <c r="C11" s="327"/>
      <c r="D11" s="327"/>
      <c r="E11" s="327"/>
      <c r="F11" s="327"/>
      <c r="G11" s="139"/>
      <c r="H11" s="139"/>
      <c r="I11" s="328" t="s">
        <v>231</v>
      </c>
      <c r="J11" s="328"/>
    </row>
    <row r="12" spans="1:17" ht="15.75" customHeight="1">
      <c r="A12" s="140"/>
      <c r="B12" s="141" t="s">
        <v>232</v>
      </c>
      <c r="C12" s="142" t="str">
        <f>'Bilgi Giriş Sayfası'!C5&amp;"."</f>
        <v>-.</v>
      </c>
      <c r="D12" s="329" t="str">
        <f>'Bilgi Giriş Sayfası'!C6</f>
        <v>-</v>
      </c>
      <c r="E12" s="329"/>
      <c r="F12" s="329"/>
      <c r="G12" s="143"/>
      <c r="H12" s="143"/>
      <c r="I12" s="330">
        <f ca="1">I9+10</f>
        <v>44597</v>
      </c>
      <c r="J12" s="330"/>
      <c r="M12" s="138"/>
      <c r="P12" s="144"/>
      <c r="Q12" s="144"/>
    </row>
    <row r="13" spans="1:17" ht="15.75" customHeight="1">
      <c r="A13" s="140"/>
      <c r="B13" s="145"/>
      <c r="C13" s="146"/>
      <c r="D13" s="147"/>
      <c r="E13" s="147"/>
      <c r="F13" s="147"/>
      <c r="G13" s="143"/>
      <c r="H13" s="143"/>
      <c r="I13" s="143"/>
      <c r="J13" s="148"/>
      <c r="M13" s="138"/>
      <c r="P13" s="144"/>
      <c r="Q13" s="144"/>
    </row>
    <row r="14" spans="1:17" ht="30.75" customHeight="1">
      <c r="B14" s="322" t="s">
        <v>233</v>
      </c>
      <c r="C14" s="322"/>
      <c r="D14" s="322"/>
      <c r="E14" s="322"/>
      <c r="F14" s="322"/>
      <c r="G14" s="322"/>
      <c r="H14" s="322"/>
      <c r="I14" s="322"/>
      <c r="J14" s="322"/>
    </row>
    <row r="15" spans="1:17" ht="15" customHeight="1">
      <c r="B15" s="149"/>
      <c r="C15" s="150"/>
      <c r="D15" s="151"/>
      <c r="E15" s="151"/>
      <c r="F15" s="151"/>
      <c r="G15" s="151"/>
      <c r="H15" s="151"/>
      <c r="I15" s="151"/>
      <c r="J15" s="152"/>
    </row>
    <row r="16" spans="1:17" ht="15.75">
      <c r="B16" s="153" t="s">
        <v>234</v>
      </c>
      <c r="C16" s="323" t="s">
        <v>235</v>
      </c>
      <c r="D16" s="323"/>
      <c r="E16" s="323"/>
      <c r="F16" s="323"/>
      <c r="G16" s="154" t="s">
        <v>180</v>
      </c>
      <c r="H16" s="154" t="s">
        <v>181</v>
      </c>
      <c r="I16" s="155" t="s">
        <v>236</v>
      </c>
      <c r="J16" s="156" t="s">
        <v>237</v>
      </c>
    </row>
    <row r="17" spans="2:13" ht="18" customHeight="1">
      <c r="B17" s="324">
        <v>1</v>
      </c>
      <c r="C17" s="325"/>
      <c r="D17" s="325"/>
      <c r="E17" s="325"/>
      <c r="F17" s="325"/>
      <c r="G17" s="157"/>
      <c r="H17" s="158"/>
      <c r="I17" s="159"/>
      <c r="J17" s="160"/>
    </row>
    <row r="18" spans="2:13" ht="18" customHeight="1">
      <c r="B18" s="324"/>
      <c r="C18" s="320" t="str">
        <f>'Bilgi Giriş Sayfası'!C20&amp;" Cnc Plazma Kesim Makinası"</f>
        <v>RED LİNE Cnc Plazma Kesim Makinası</v>
      </c>
      <c r="D18" s="320"/>
      <c r="E18" s="320"/>
      <c r="F18" s="320"/>
      <c r="G18" s="161">
        <f>'Bilgi Giriş Sayfası'!G3</f>
        <v>1</v>
      </c>
      <c r="H18" s="162" t="s">
        <v>238</v>
      </c>
      <c r="I18" s="163">
        <f>'Bilgi Giriş Sayfası'!J3</f>
        <v>21700</v>
      </c>
      <c r="J18" s="164">
        <f>G18*I18</f>
        <v>21700</v>
      </c>
    </row>
    <row r="19" spans="2:13" ht="18" customHeight="1">
      <c r="B19" s="324"/>
      <c r="C19" s="320" t="str">
        <f>'Bilgi Giriş Sayfası'!F20&amp;" Kesim Alanı"</f>
        <v>1500 x 3000 mm Kesim Alanı</v>
      </c>
      <c r="D19" s="320"/>
      <c r="E19" s="320"/>
      <c r="F19" s="320"/>
      <c r="G19" s="165"/>
      <c r="H19" s="162"/>
      <c r="I19" s="166"/>
      <c r="J19" s="167"/>
    </row>
    <row r="20" spans="2:13" ht="18" customHeight="1">
      <c r="B20" s="324"/>
      <c r="C20" s="320" t="str">
        <f>'Bilgi Giriş Sayfası'!F21&amp;" Tezgah Ölçüleri"</f>
        <v>2300 x 4000 mm Tezgah Ölçüleri</v>
      </c>
      <c r="D20" s="320"/>
      <c r="E20" s="320"/>
      <c r="F20" s="320"/>
      <c r="G20" s="165"/>
      <c r="H20" s="162"/>
      <c r="I20" s="166"/>
      <c r="J20" s="167"/>
    </row>
    <row r="21" spans="2:13" ht="18" customHeight="1">
      <c r="B21" s="324"/>
      <c r="C21" s="320" t="str">
        <f>'Bilgi Giriş Sayfası'!C21&amp;" Plazma Kesim"</f>
        <v>Hypertherm Powermax 105 Plazma Kesim</v>
      </c>
      <c r="D21" s="320"/>
      <c r="E21" s="320"/>
      <c r="F21" s="320"/>
      <c r="G21" s="165"/>
      <c r="H21" s="162"/>
      <c r="I21" s="166"/>
      <c r="J21" s="167"/>
    </row>
    <row r="22" spans="2:13" ht="18" customHeight="1">
      <c r="B22" s="324"/>
      <c r="C22" s="320" t="str">
        <f>'Bilgi Giriş Sayfası'!C22&amp;" Kesim Kalınlığı"</f>
        <v>1 mm - 22 mm Kesim Kalınlığı</v>
      </c>
      <c r="D22" s="320"/>
      <c r="E22" s="320"/>
      <c r="F22" s="320"/>
      <c r="G22" s="165"/>
      <c r="H22" s="162"/>
      <c r="I22" s="166"/>
      <c r="J22" s="167"/>
    </row>
    <row r="23" spans="2:13" ht="18" customHeight="1">
      <c r="B23" s="324"/>
      <c r="C23" s="320" t="str">
        <f>'Bilgi Giriş Sayfası'!C23&amp;" Hassas Lineer Kızak"</f>
        <v>Hassas Lineer Ray Hassas Lineer Kızak</v>
      </c>
      <c r="D23" s="320"/>
      <c r="E23" s="320"/>
      <c r="F23" s="320"/>
      <c r="G23" s="165"/>
      <c r="H23" s="162"/>
      <c r="I23" s="166"/>
      <c r="J23" s="167"/>
    </row>
    <row r="24" spans="2:13" ht="18" customHeight="1">
      <c r="B24" s="324"/>
      <c r="C24" s="320" t="str">
        <f>'Bilgi Giriş Sayfası'!C24&amp;" Ve Pinyon"</f>
        <v>Hassas Helis Kremayer Ve Pinyon</v>
      </c>
      <c r="D24" s="320"/>
      <c r="E24" s="320"/>
      <c r="F24" s="320"/>
      <c r="G24" s="165"/>
      <c r="H24" s="162"/>
      <c r="I24" s="166"/>
      <c r="J24" s="167"/>
    </row>
    <row r="25" spans="2:13" ht="18" customHeight="1">
      <c r="B25" s="324"/>
      <c r="C25" s="320" t="str">
        <f>"Motor Tipi "&amp;'Bilgi Giriş Sayfası'!C25</f>
        <v>Motor Tipi 8,5 Nm Leadshine Digital Stepper</v>
      </c>
      <c r="D25" s="320"/>
      <c r="E25" s="320"/>
      <c r="F25" s="320"/>
      <c r="G25" s="165"/>
      <c r="H25" s="162"/>
      <c r="I25" s="166"/>
      <c r="J25" s="167"/>
    </row>
    <row r="26" spans="2:13" ht="18" customHeight="1">
      <c r="B26" s="324"/>
      <c r="C26" s="320" t="str">
        <f>'Bilgi Giriş Sayfası'!F22&amp;" Tabanlı Cnc Kontrol Ünitesi"</f>
        <v>Windows Tabanlı Cnc Kontrol Ünitesi</v>
      </c>
      <c r="D26" s="320"/>
      <c r="E26" s="320"/>
      <c r="F26" s="320"/>
      <c r="G26" s="165"/>
      <c r="H26" s="162"/>
      <c r="I26" s="166"/>
      <c r="J26" s="167"/>
    </row>
    <row r="27" spans="2:13" ht="18" customHeight="1">
      <c r="B27" s="324"/>
      <c r="C27" s="320" t="str">
        <f>'Bilgi Giriş Sayfası'!F23&amp;" Yükseklik Kontrol Ünitesi"</f>
        <v>Kapasitif Yükseklik Kontrol Ünitesi</v>
      </c>
      <c r="D27" s="320"/>
      <c r="E27" s="320"/>
      <c r="F27" s="320"/>
      <c r="G27" s="165"/>
      <c r="H27" s="162"/>
      <c r="I27" s="166"/>
      <c r="J27" s="167"/>
      <c r="M27" s="135"/>
    </row>
    <row r="28" spans="2:13" ht="18" customHeight="1">
      <c r="B28" s="324"/>
      <c r="C28" s="320" t="str">
        <f>IF('Bilgi Giriş Sayfası'!C26='Parametre Sayfası'!H14,"Oksijen Torcu Yerli (200 mm'ye Kadar)",IF('Bilgi Giriş Sayfası'!C26='Parametre Sayfası'!H15,"Tanaka Oksijen Torcu (200 mm'ye Kadar Kesim)",IF('Bilgi Giriş Sayfası'!C26='Parametre Sayfası'!H16,"Oksijen Torcu İthal (200 mm'ye Kadar)",IF('Bilgi Giriş Sayfası'!C26='Parametre Sayfası'!H17," "))))</f>
        <v>Tanaka Oksijen Torcu (200 mm'ye Kadar Kesim)</v>
      </c>
      <c r="D28" s="320"/>
      <c r="E28" s="320"/>
      <c r="F28" s="320"/>
      <c r="G28" s="165"/>
      <c r="H28" s="162"/>
      <c r="I28" s="166"/>
      <c r="J28" s="167"/>
    </row>
    <row r="29" spans="2:13" ht="18" customHeight="1">
      <c r="B29" s="324"/>
      <c r="C29" s="320" t="str">
        <f>IF('Bilgi Giriş Sayfası'!F26='Parametre Sayfası'!J14,"2 KVA Güç Kaynağı",IF('Bilgi Giriş Sayfası'!F26='Parametre Sayfası'!J15," "))</f>
        <v>2 KVA Güç Kaynağı</v>
      </c>
      <c r="D29" s="320"/>
      <c r="E29" s="320"/>
      <c r="F29" s="320"/>
      <c r="G29" s="161" t="str">
        <f>IF('Bilgi Giriş Sayfası'!G6=1,"1",IF('Bilgi Giriş Sayfası'!G6=0," "))</f>
        <v xml:space="preserve"> </v>
      </c>
      <c r="H29" s="161" t="str">
        <f>IF('Bilgi Giriş Sayfası'!G6=1,"Adet",IF('Bilgi Giriş Sayfası'!G6=0," "))</f>
        <v xml:space="preserve"> </v>
      </c>
      <c r="I29" s="166" t="str">
        <f>IF('Bilgi Giriş Sayfası'!G6=1,'Bilgi Giriş Sayfası'!F6,IF('Bilgi Giriş Sayfası'!G6=0," "))</f>
        <v xml:space="preserve"> </v>
      </c>
      <c r="J29" s="167" t="str">
        <f>IF('Bilgi Giriş Sayfası'!G6=1,'Bilgi Giriş Sayfası'!F6*'Bilgi Giriş Sayfası'!G6,IF('Bilgi Giriş Sayfası'!G6=0,""))</f>
        <v/>
      </c>
    </row>
    <row r="30" spans="2:13" ht="18" customHeight="1">
      <c r="B30" s="324"/>
      <c r="C30" s="320" t="str">
        <f>IF('Bilgi Giriş Sayfası'!F25='Parametre Sayfası'!R4,"6000 M³ Fan",IF('Bilgi Giriş Sayfası'!F25='Parametre Sayfası'!R5,"20.000 M³ Fan",IF('Bilgi Giriş Sayfası'!F25='Parametre Sayfası'!R3," ")))</f>
        <v>20.000 M³ Fan</v>
      </c>
      <c r="D30" s="320"/>
      <c r="E30" s="320"/>
      <c r="F30" s="320"/>
      <c r="G30" s="161" t="str">
        <f>IF('Bilgi Giriş Sayfası'!G5=1,"1",IF('Bilgi Giriş Sayfası'!G5=0," "))</f>
        <v xml:space="preserve"> </v>
      </c>
      <c r="H30" s="162" t="str">
        <f>IF('Bilgi Giriş Sayfası'!G5=1,"Adet",IF('Bilgi Giriş Sayfası'!G5=0," "))</f>
        <v xml:space="preserve"> </v>
      </c>
      <c r="I30" s="166" t="str">
        <f>IF('Bilgi Giriş Sayfası'!G5=1,'Bilgi Giriş Sayfası'!F5,IF('Bilgi Giriş Sayfası'!G5=0," "))</f>
        <v xml:space="preserve"> </v>
      </c>
      <c r="J30" s="167" t="str">
        <f>IF('Bilgi Giriş Sayfası'!G5=1,'Bilgi Giriş Sayfası'!F5*'Bilgi Giriş Sayfası'!G5,IF('Bilgi Giriş Sayfası'!G5=0,""))</f>
        <v/>
      </c>
    </row>
    <row r="31" spans="2:13" ht="18" customHeight="1">
      <c r="B31" s="324"/>
      <c r="C31" s="320" t="str">
        <f>IF('Bilgi Giriş Sayfası'!C27='Parametre Sayfası'!M14,"Kompresör Dahildir",IF('Bilgi Giriş Sayfası'!C27='Parametre Sayfası'!M15,"  "))</f>
        <v xml:space="preserve">  </v>
      </c>
      <c r="D31" s="320"/>
      <c r="E31" s="320"/>
      <c r="F31" s="320"/>
      <c r="G31" s="161" t="str">
        <f>IF('Bilgi Giriş Sayfası'!G4=1,"1",IF('Bilgi Giriş Sayfası'!G4=0," "))</f>
        <v>1</v>
      </c>
      <c r="H31" s="162" t="str">
        <f>IF('Bilgi Giriş Sayfası'!G4=1,"Adet",IF('Bilgi Giriş Sayfası'!G4=0," "))</f>
        <v>Adet</v>
      </c>
      <c r="I31" s="168">
        <f>'Bilgi Giriş Sayfası'!J4</f>
        <v>0</v>
      </c>
      <c r="J31" s="164">
        <f>I31*G31</f>
        <v>0</v>
      </c>
    </row>
    <row r="32" spans="2:13" ht="18" customHeight="1">
      <c r="B32" s="324"/>
      <c r="C32" s="320" t="str">
        <f>IF('Bilgi Giriş Sayfası'!F27='Parametre Sayfası'!O14,"Kurutucu Dahildir",IF('Bilgi Giriş Sayfası'!F27='Parametre Sayfası'!O15,"  "))</f>
        <v>Kurutucu Dahildir</v>
      </c>
      <c r="D32" s="320"/>
      <c r="E32" s="320"/>
      <c r="F32" s="320"/>
      <c r="G32" s="161" t="str">
        <f>IF('Bilgi Giriş Sayfası'!G7=1,"1",IF('Bilgi Giriş Sayfası'!G7=0," "))</f>
        <v>1</v>
      </c>
      <c r="H32" s="162" t="str">
        <f>IF('Bilgi Giriş Sayfası'!G7=1,"Adet",IF('Bilgi Giriş Sayfası'!G7=0," "))</f>
        <v>Adet</v>
      </c>
      <c r="I32" s="168">
        <f>'Bilgi Giriş Sayfası'!J7</f>
        <v>0</v>
      </c>
      <c r="J32" s="164">
        <f>I32*G32</f>
        <v>0</v>
      </c>
    </row>
    <row r="33" spans="2:10" ht="18" customHeight="1">
      <c r="B33" s="324"/>
      <c r="C33" s="320" t="s">
        <v>239</v>
      </c>
      <c r="D33" s="320"/>
      <c r="E33" s="320"/>
      <c r="F33" s="320"/>
      <c r="G33" s="165"/>
      <c r="H33" s="162"/>
      <c r="I33" s="166"/>
      <c r="J33" s="167"/>
    </row>
    <row r="34" spans="2:10" ht="18" customHeight="1">
      <c r="B34" s="324"/>
      <c r="C34" s="321" t="s">
        <v>240</v>
      </c>
      <c r="D34" s="321"/>
      <c r="E34" s="321"/>
      <c r="F34" s="321"/>
      <c r="G34" s="169"/>
      <c r="H34" s="170"/>
      <c r="I34" s="171"/>
      <c r="J34" s="172"/>
    </row>
    <row r="35" spans="2:10" ht="18" customHeight="1">
      <c r="B35" s="173"/>
      <c r="C35" s="174"/>
      <c r="D35" s="174"/>
      <c r="E35" s="174"/>
      <c r="F35" s="174"/>
      <c r="G35" s="175"/>
      <c r="H35" s="176"/>
      <c r="I35" s="177" t="s">
        <v>241</v>
      </c>
      <c r="J35" s="178">
        <f>SUM(J18:J34)</f>
        <v>21700</v>
      </c>
    </row>
    <row r="36" spans="2:10" ht="18" customHeight="1">
      <c r="B36" s="173"/>
      <c r="C36" s="174"/>
      <c r="D36" s="174"/>
      <c r="E36" s="179" t="str">
        <f>IF('Bilgi Giriş Sayfası'!F8='Parametre Sayfası'!B14,"1,01",IF('Bilgi Giriş Sayfası'!F8='Parametre Sayfası'!B16,"1,18",IF('Bilgi Giriş Sayfası'!F8='Parametre Sayfası'!B17,"1")))</f>
        <v>1</v>
      </c>
      <c r="F36" s="179"/>
      <c r="G36" s="180"/>
      <c r="H36" s="181"/>
      <c r="I36" s="182"/>
      <c r="J36" s="178"/>
    </row>
    <row r="37" spans="2:10" ht="18" customHeight="1">
      <c r="B37" s="173"/>
      <c r="C37" s="174"/>
      <c r="D37" s="174"/>
      <c r="E37" s="179">
        <f>J35*E36</f>
        <v>21700</v>
      </c>
      <c r="F37" s="179"/>
      <c r="G37" s="136"/>
      <c r="H37" s="183"/>
      <c r="I37" s="177" t="s">
        <v>242</v>
      </c>
      <c r="J37" s="178">
        <f>J35+J36</f>
        <v>21700</v>
      </c>
    </row>
    <row r="38" spans="2:10" ht="15.75">
      <c r="B38" s="137"/>
      <c r="C38" s="184"/>
      <c r="D38" s="184"/>
      <c r="E38" s="184"/>
      <c r="F38" s="184"/>
      <c r="G38" s="318"/>
      <c r="H38" s="318"/>
      <c r="I38" s="318"/>
      <c r="J38" s="318"/>
    </row>
    <row r="39" spans="2:10" ht="15" customHeight="1">
      <c r="B39" s="185" t="s">
        <v>243</v>
      </c>
      <c r="C39" s="186" t="s">
        <v>244</v>
      </c>
      <c r="H39" s="136"/>
      <c r="I39" s="136"/>
      <c r="J39" s="122"/>
    </row>
    <row r="40" spans="2:10" s="134" customFormat="1" ht="15" customHeight="1">
      <c r="B40" s="185" t="s">
        <v>245</v>
      </c>
      <c r="C40" s="186" t="s">
        <v>246</v>
      </c>
      <c r="G40" s="135"/>
    </row>
    <row r="41" spans="2:10" s="134" customFormat="1" ht="15" customHeight="1">
      <c r="B41" s="185" t="s">
        <v>247</v>
      </c>
      <c r="C41" s="186">
        <v>30059</v>
      </c>
      <c r="G41" s="135"/>
    </row>
    <row r="42" spans="2:10" s="134" customFormat="1" ht="15" customHeight="1">
      <c r="B42" s="185" t="s">
        <v>248</v>
      </c>
      <c r="C42" s="186" t="s">
        <v>249</v>
      </c>
      <c r="G42" s="135"/>
    </row>
    <row r="43" spans="2:10" s="134" customFormat="1" ht="15" customHeight="1">
      <c r="G43" s="135"/>
    </row>
    <row r="44" spans="2:10" s="134" customFormat="1" ht="15" customHeight="1">
      <c r="B44" s="185" t="s">
        <v>243</v>
      </c>
      <c r="C44" s="186" t="s">
        <v>250</v>
      </c>
      <c r="D44" s="187"/>
      <c r="E44" s="187"/>
      <c r="F44" s="187"/>
      <c r="G44" s="187"/>
    </row>
    <row r="45" spans="2:10" s="134" customFormat="1" ht="15" customHeight="1">
      <c r="B45" s="185" t="s">
        <v>245</v>
      </c>
      <c r="C45" s="186" t="s">
        <v>251</v>
      </c>
      <c r="D45" s="188"/>
      <c r="E45" s="188"/>
      <c r="F45" s="188"/>
      <c r="G45" s="188"/>
    </row>
    <row r="46" spans="2:10" s="134" customFormat="1">
      <c r="B46" s="185" t="s">
        <v>247</v>
      </c>
      <c r="C46" s="189" t="s">
        <v>252</v>
      </c>
      <c r="D46" s="188"/>
      <c r="E46" s="188"/>
      <c r="F46" s="188"/>
      <c r="G46" s="188"/>
    </row>
    <row r="47" spans="2:10" s="134" customFormat="1">
      <c r="B47" s="185" t="s">
        <v>248</v>
      </c>
      <c r="C47" s="186" t="s">
        <v>253</v>
      </c>
      <c r="D47" s="188"/>
      <c r="E47" s="188"/>
      <c r="F47" s="188"/>
      <c r="G47" s="188"/>
    </row>
    <row r="48" spans="2:10" s="134" customFormat="1" ht="15" customHeight="1">
      <c r="B48" s="188"/>
      <c r="C48" s="188"/>
      <c r="D48" s="188"/>
      <c r="E48" s="188"/>
      <c r="F48" s="188"/>
      <c r="G48" s="188"/>
    </row>
    <row r="49" spans="2:10" s="134" customFormat="1" ht="15" customHeight="1">
      <c r="B49" s="188"/>
      <c r="C49" s="188"/>
      <c r="D49" s="188"/>
      <c r="E49" s="188"/>
      <c r="F49" s="188"/>
      <c r="G49" s="188"/>
    </row>
    <row r="50" spans="2:10" ht="15" customHeight="1">
      <c r="B50" s="319" t="s">
        <v>254</v>
      </c>
      <c r="C50" s="319"/>
      <c r="D50" s="319"/>
      <c r="E50" s="319"/>
      <c r="F50" s="319"/>
      <c r="G50" s="319"/>
      <c r="H50" s="319"/>
      <c r="I50" s="319"/>
      <c r="J50" s="319"/>
    </row>
    <row r="51" spans="2:10" ht="15" customHeight="1">
      <c r="B51" s="319"/>
      <c r="C51" s="319"/>
      <c r="D51" s="319"/>
      <c r="E51" s="319"/>
      <c r="F51" s="319"/>
      <c r="G51" s="319"/>
      <c r="H51" s="319"/>
      <c r="I51" s="319"/>
      <c r="J51" s="319"/>
    </row>
    <row r="52" spans="2:10" ht="15" customHeight="1">
      <c r="B52" s="319"/>
      <c r="C52" s="319"/>
      <c r="D52" s="319"/>
      <c r="E52" s="319"/>
      <c r="F52" s="319"/>
      <c r="G52" s="319"/>
      <c r="H52" s="319"/>
      <c r="I52" s="319"/>
      <c r="J52" s="319"/>
    </row>
    <row r="53" spans="2:10" s="134" customFormat="1" ht="21" customHeight="1">
      <c r="C53" s="190"/>
      <c r="D53" s="122"/>
      <c r="E53" s="122"/>
      <c r="F53" s="122"/>
    </row>
    <row r="54" spans="2:10" s="134" customFormat="1" ht="14.25">
      <c r="C54" s="122"/>
      <c r="D54" s="122"/>
      <c r="E54" s="122"/>
      <c r="F54" s="122"/>
    </row>
    <row r="55" spans="2:10" s="134" customFormat="1" ht="14.25"/>
    <row r="56" spans="2:10" s="134" customFormat="1" ht="14.25"/>
    <row r="57" spans="2:10" s="134" customFormat="1" ht="14.25"/>
    <row r="58" spans="2:10" s="134" customFormat="1" ht="14.25"/>
  </sheetData>
  <mergeCells count="39">
    <mergeCell ref="B1:J1"/>
    <mergeCell ref="F2:J2"/>
    <mergeCell ref="F3:J3"/>
    <mergeCell ref="F4:J4"/>
    <mergeCell ref="F5:J5"/>
    <mergeCell ref="F6:J6"/>
    <mergeCell ref="B7:J7"/>
    <mergeCell ref="B8:B9"/>
    <mergeCell ref="C8:F9"/>
    <mergeCell ref="I8:J8"/>
    <mergeCell ref="I9:J9"/>
    <mergeCell ref="B10:B11"/>
    <mergeCell ref="C10:F11"/>
    <mergeCell ref="I11:J11"/>
    <mergeCell ref="D12:F12"/>
    <mergeCell ref="I12:J12"/>
    <mergeCell ref="B14:J14"/>
    <mergeCell ref="C16:F16"/>
    <mergeCell ref="B17:B34"/>
    <mergeCell ref="C17:F17"/>
    <mergeCell ref="C18:F18"/>
    <mergeCell ref="C19:F19"/>
    <mergeCell ref="C20:F20"/>
    <mergeCell ref="C21:F21"/>
    <mergeCell ref="C22:F22"/>
    <mergeCell ref="C23:F23"/>
    <mergeCell ref="C24:F24"/>
    <mergeCell ref="C25:F25"/>
    <mergeCell ref="C26:F26"/>
    <mergeCell ref="C27:F27"/>
    <mergeCell ref="C28:F28"/>
    <mergeCell ref="C29:F29"/>
    <mergeCell ref="G38:J38"/>
    <mergeCell ref="B50:J52"/>
    <mergeCell ref="C30:F30"/>
    <mergeCell ref="C31:F31"/>
    <mergeCell ref="C32:F32"/>
    <mergeCell ref="C33:F33"/>
    <mergeCell ref="C34:F34"/>
  </mergeCells>
  <printOptions horizontalCentered="1"/>
  <pageMargins left="0" right="0" top="0.196527777777778" bottom="0.196527777777778" header="0.511811023622047" footer="0.511811023622047"/>
  <pageSetup paperSize="9" scale="91"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8"/>
  <sheetViews>
    <sheetView showGridLines="0" view="pageBreakPreview" topLeftCell="A13" zoomScale="95" zoomScaleNormal="100" zoomScalePageLayoutView="95" workbookViewId="0">
      <selection activeCell="C31" activeCellId="1" sqref="A100:K102 C31:F31"/>
    </sheetView>
  </sheetViews>
  <sheetFormatPr defaultColWidth="9.140625" defaultRowHeight="15"/>
  <cols>
    <col min="1" max="1" width="0.140625" style="134" customWidth="1"/>
    <col min="2" max="2" width="9.140625" style="134"/>
    <col min="3" max="3" width="25.7109375" style="134" customWidth="1"/>
    <col min="4" max="4" width="3.7109375" style="134" customWidth="1"/>
    <col min="5" max="5" width="14.140625" style="134" customWidth="1"/>
    <col min="6" max="6" width="8.140625" style="134" customWidth="1"/>
    <col min="7" max="7" width="10" style="135" customWidth="1"/>
    <col min="8" max="8" width="7.7109375" style="135" customWidth="1"/>
    <col min="9" max="9" width="16" style="135" customWidth="1"/>
    <col min="10" max="10" width="16.28515625" style="134" customWidth="1"/>
    <col min="11" max="1024" width="9.140625" style="134"/>
  </cols>
  <sheetData>
    <row r="1" spans="1:17">
      <c r="B1" s="336"/>
      <c r="C1" s="336"/>
      <c r="D1" s="336"/>
      <c r="E1" s="336"/>
      <c r="F1" s="336"/>
      <c r="G1" s="336"/>
      <c r="H1" s="336"/>
      <c r="I1" s="336"/>
      <c r="J1" s="336"/>
    </row>
    <row r="2" spans="1:17" ht="15" customHeight="1">
      <c r="F2" s="337" t="s">
        <v>223</v>
      </c>
      <c r="G2" s="337"/>
      <c r="H2" s="337"/>
      <c r="I2" s="337"/>
      <c r="J2" s="337"/>
    </row>
    <row r="3" spans="1:17">
      <c r="F3" s="318" t="s">
        <v>224</v>
      </c>
      <c r="G3" s="318"/>
      <c r="H3" s="318"/>
      <c r="I3" s="318"/>
      <c r="J3" s="318"/>
    </row>
    <row r="4" spans="1:17">
      <c r="F4" s="318" t="s">
        <v>225</v>
      </c>
      <c r="G4" s="318"/>
      <c r="H4" s="318"/>
      <c r="I4" s="318"/>
      <c r="J4" s="318"/>
    </row>
    <row r="5" spans="1:17">
      <c r="F5" s="318" t="s">
        <v>226</v>
      </c>
      <c r="G5" s="318"/>
      <c r="H5" s="318"/>
      <c r="I5" s="318"/>
      <c r="J5" s="318"/>
    </row>
    <row r="6" spans="1:17">
      <c r="F6" s="318" t="s">
        <v>227</v>
      </c>
      <c r="G6" s="318"/>
      <c r="H6" s="318"/>
      <c r="I6" s="318"/>
      <c r="J6" s="318"/>
    </row>
    <row r="7" spans="1:17">
      <c r="B7" s="331"/>
      <c r="C7" s="331"/>
      <c r="D7" s="331"/>
      <c r="E7" s="331"/>
      <c r="F7" s="331"/>
      <c r="G7" s="331"/>
      <c r="H7" s="331"/>
      <c r="I7" s="331"/>
      <c r="J7" s="331"/>
    </row>
    <row r="8" spans="1:17" ht="26.25" customHeight="1">
      <c r="B8" s="332" t="s">
        <v>228</v>
      </c>
      <c r="C8" s="333" t="str">
        <f>'Bilgi Giriş Sayfası'!C2</f>
        <v>Aygen Mekatronik San.Ve Tic.Ltd.Şti</v>
      </c>
      <c r="D8" s="333"/>
      <c r="E8" s="333"/>
      <c r="F8" s="333"/>
      <c r="I8" s="334" t="s">
        <v>229</v>
      </c>
      <c r="J8" s="334"/>
    </row>
    <row r="9" spans="1:17" s="134" customFormat="1" ht="18.75" customHeight="1">
      <c r="B9" s="332"/>
      <c r="C9" s="333"/>
      <c r="D9" s="333"/>
      <c r="E9" s="333"/>
      <c r="F9" s="333"/>
      <c r="H9" s="138"/>
      <c r="I9" s="335">
        <f ca="1">'Bilgi Giriş Sayfası'!F16</f>
        <v>44587</v>
      </c>
      <c r="J9" s="335"/>
    </row>
    <row r="10" spans="1:17" ht="16.5" customHeight="1">
      <c r="B10" s="326" t="s">
        <v>230</v>
      </c>
      <c r="C10" s="327" t="str">
        <f>""&amp;'Bilgi Giriş Sayfası'!C4</f>
        <v>Hatay</v>
      </c>
      <c r="D10" s="327"/>
      <c r="E10" s="327"/>
      <c r="F10" s="327"/>
      <c r="G10" s="139"/>
      <c r="H10" s="139"/>
      <c r="I10" s="139"/>
    </row>
    <row r="11" spans="1:17" ht="15" customHeight="1">
      <c r="B11" s="326"/>
      <c r="C11" s="327"/>
      <c r="D11" s="327"/>
      <c r="E11" s="327"/>
      <c r="F11" s="327"/>
      <c r="G11" s="139"/>
      <c r="H11" s="139"/>
      <c r="I11" s="328" t="s">
        <v>231</v>
      </c>
      <c r="J11" s="328"/>
    </row>
    <row r="12" spans="1:17" ht="15.75" customHeight="1">
      <c r="A12" s="140"/>
      <c r="B12" s="141" t="s">
        <v>232</v>
      </c>
      <c r="C12" s="142" t="str">
        <f>'Bilgi Giriş Sayfası'!C5&amp;"."</f>
        <v>-.</v>
      </c>
      <c r="D12" s="329" t="str">
        <f>'Bilgi Giriş Sayfası'!C6</f>
        <v>-</v>
      </c>
      <c r="E12" s="329"/>
      <c r="F12" s="329"/>
      <c r="G12" s="143"/>
      <c r="H12" s="143"/>
      <c r="I12" s="330">
        <f ca="1">I9+10</f>
        <v>44597</v>
      </c>
      <c r="J12" s="330"/>
      <c r="M12" s="138"/>
      <c r="P12" s="144"/>
      <c r="Q12" s="144"/>
    </row>
    <row r="13" spans="1:17" ht="15.75" customHeight="1">
      <c r="A13" s="140"/>
      <c r="B13" s="145"/>
      <c r="C13" s="146"/>
      <c r="D13" s="147"/>
      <c r="E13" s="147"/>
      <c r="F13" s="147"/>
      <c r="G13" s="143"/>
      <c r="H13" s="143"/>
      <c r="I13" s="143"/>
      <c r="J13" s="148"/>
      <c r="M13" s="138"/>
      <c r="P13" s="144"/>
      <c r="Q13" s="144"/>
    </row>
    <row r="14" spans="1:17" ht="30.75" customHeight="1">
      <c r="B14" s="322" t="s">
        <v>233</v>
      </c>
      <c r="C14" s="322"/>
      <c r="D14" s="322"/>
      <c r="E14" s="322"/>
      <c r="F14" s="322"/>
      <c r="G14" s="322"/>
      <c r="H14" s="322"/>
      <c r="I14" s="322"/>
      <c r="J14" s="322"/>
    </row>
    <row r="15" spans="1:17" ht="15" customHeight="1">
      <c r="B15" s="149"/>
      <c r="C15" s="150"/>
      <c r="D15" s="151"/>
      <c r="E15" s="151"/>
      <c r="F15" s="151"/>
      <c r="G15" s="151"/>
      <c r="H15" s="151"/>
      <c r="I15" s="151"/>
      <c r="J15" s="152"/>
    </row>
    <row r="16" spans="1:17" ht="15.75">
      <c r="B16" s="153" t="s">
        <v>234</v>
      </c>
      <c r="C16" s="323" t="s">
        <v>235</v>
      </c>
      <c r="D16" s="323"/>
      <c r="E16" s="323"/>
      <c r="F16" s="323"/>
      <c r="G16" s="154" t="s">
        <v>180</v>
      </c>
      <c r="H16" s="154" t="s">
        <v>181</v>
      </c>
      <c r="I16" s="155" t="s">
        <v>236</v>
      </c>
      <c r="J16" s="156" t="s">
        <v>237</v>
      </c>
    </row>
    <row r="17" spans="2:13" ht="18" customHeight="1">
      <c r="B17" s="324">
        <v>1</v>
      </c>
      <c r="C17" s="325"/>
      <c r="D17" s="325"/>
      <c r="E17" s="325"/>
      <c r="F17" s="325"/>
      <c r="G17" s="157"/>
      <c r="H17" s="158"/>
      <c r="I17" s="159"/>
      <c r="J17" s="160"/>
    </row>
    <row r="18" spans="2:13" ht="18" customHeight="1">
      <c r="B18" s="324"/>
      <c r="C18" s="320" t="str">
        <f>'Bilgi Giriş Sayfası'!C20&amp;" Cnc Plazma Kesim Makinası"</f>
        <v>RED LİNE Cnc Plazma Kesim Makinası</v>
      </c>
      <c r="D18" s="320"/>
      <c r="E18" s="320"/>
      <c r="F18" s="320"/>
      <c r="G18" s="161">
        <f>'Bilgi Giriş Sayfası'!G3</f>
        <v>1</v>
      </c>
      <c r="H18" s="162" t="s">
        <v>238</v>
      </c>
      <c r="I18" s="191">
        <f>'Bilgi Giriş Sayfası'!J3</f>
        <v>21700</v>
      </c>
      <c r="J18" s="167">
        <f>G18*I18</f>
        <v>21700</v>
      </c>
    </row>
    <row r="19" spans="2:13" ht="18" customHeight="1">
      <c r="B19" s="324"/>
      <c r="C19" s="320" t="str">
        <f>'Bilgi Giriş Sayfası'!F20&amp;" Kesim Alanı"</f>
        <v>1500 x 3000 mm Kesim Alanı</v>
      </c>
      <c r="D19" s="320"/>
      <c r="E19" s="320"/>
      <c r="F19" s="320"/>
      <c r="G19" s="165"/>
      <c r="H19" s="162"/>
      <c r="I19" s="166"/>
      <c r="J19" s="167"/>
    </row>
    <row r="20" spans="2:13" ht="18" customHeight="1">
      <c r="B20" s="324"/>
      <c r="C20" s="320" t="str">
        <f>'Bilgi Giriş Sayfası'!F21&amp;" Tezgah Ölçüleri"</f>
        <v>2300 x 4000 mm Tezgah Ölçüleri</v>
      </c>
      <c r="D20" s="320"/>
      <c r="E20" s="320"/>
      <c r="F20" s="320"/>
      <c r="G20" s="165"/>
      <c r="H20" s="162"/>
      <c r="I20" s="166"/>
      <c r="J20" s="167"/>
    </row>
    <row r="21" spans="2:13" ht="18" customHeight="1">
      <c r="B21" s="324"/>
      <c r="C21" s="320" t="str">
        <f>'Bilgi Giriş Sayfası'!C21&amp;" Plazma Kesim"</f>
        <v>Hypertherm Powermax 105 Plazma Kesim</v>
      </c>
      <c r="D21" s="320"/>
      <c r="E21" s="320"/>
      <c r="F21" s="320"/>
      <c r="G21" s="165"/>
      <c r="H21" s="162"/>
      <c r="I21" s="166"/>
      <c r="J21" s="167"/>
    </row>
    <row r="22" spans="2:13" ht="18" customHeight="1">
      <c r="B22" s="324"/>
      <c r="C22" s="320" t="str">
        <f>'Bilgi Giriş Sayfası'!C22&amp;" Kesim Kalınlığı"</f>
        <v>1 mm - 22 mm Kesim Kalınlığı</v>
      </c>
      <c r="D22" s="320"/>
      <c r="E22" s="320"/>
      <c r="F22" s="320"/>
      <c r="G22" s="165"/>
      <c r="H22" s="162"/>
      <c r="I22" s="166"/>
      <c r="J22" s="167"/>
    </row>
    <row r="23" spans="2:13" ht="18" customHeight="1">
      <c r="B23" s="324"/>
      <c r="C23" s="320" t="str">
        <f>'Bilgi Giriş Sayfası'!C23&amp;" Hassas Lineer Kızak"</f>
        <v>Hassas Lineer Ray Hassas Lineer Kızak</v>
      </c>
      <c r="D23" s="320"/>
      <c r="E23" s="320"/>
      <c r="F23" s="320"/>
      <c r="G23" s="165"/>
      <c r="H23" s="162"/>
      <c r="I23" s="166"/>
      <c r="J23" s="167"/>
    </row>
    <row r="24" spans="2:13" ht="18" customHeight="1">
      <c r="B24" s="324"/>
      <c r="C24" s="320" t="str">
        <f>'Bilgi Giriş Sayfası'!C24&amp;" Ve Pinyon"</f>
        <v>Hassas Helis Kremayer Ve Pinyon</v>
      </c>
      <c r="D24" s="320"/>
      <c r="E24" s="320"/>
      <c r="F24" s="320"/>
      <c r="G24" s="165"/>
      <c r="H24" s="162"/>
      <c r="I24" s="166"/>
      <c r="J24" s="167"/>
    </row>
    <row r="25" spans="2:13" ht="18" customHeight="1">
      <c r="B25" s="324"/>
      <c r="C25" s="320" t="str">
        <f>"Motor Tipi "&amp;'Bilgi Giriş Sayfası'!C25</f>
        <v>Motor Tipi 8,5 Nm Leadshine Digital Stepper</v>
      </c>
      <c r="D25" s="320"/>
      <c r="E25" s="320"/>
      <c r="F25" s="320"/>
      <c r="G25" s="165"/>
      <c r="H25" s="162"/>
      <c r="I25" s="166"/>
      <c r="J25" s="167"/>
    </row>
    <row r="26" spans="2:13" ht="18" customHeight="1">
      <c r="B26" s="324"/>
      <c r="C26" s="320" t="str">
        <f>'Bilgi Giriş Sayfası'!F22&amp;" Tabanlı Cnc Kontrol Ünitesi"</f>
        <v>Windows Tabanlı Cnc Kontrol Ünitesi</v>
      </c>
      <c r="D26" s="320"/>
      <c r="E26" s="320"/>
      <c r="F26" s="320"/>
      <c r="G26" s="165"/>
      <c r="H26" s="162"/>
      <c r="I26" s="166"/>
      <c r="J26" s="167"/>
    </row>
    <row r="27" spans="2:13" ht="18" customHeight="1">
      <c r="B27" s="324"/>
      <c r="C27" s="320" t="str">
        <f>'Bilgi Giriş Sayfası'!F23&amp;" Yükseklik Kontrol Ünitesi"</f>
        <v>Kapasitif Yükseklik Kontrol Ünitesi</v>
      </c>
      <c r="D27" s="320"/>
      <c r="E27" s="320"/>
      <c r="F27" s="320"/>
      <c r="G27" s="165"/>
      <c r="H27" s="162"/>
      <c r="I27" s="166"/>
      <c r="J27" s="167"/>
      <c r="M27" s="135"/>
    </row>
    <row r="28" spans="2:13" ht="18" customHeight="1">
      <c r="B28" s="324"/>
      <c r="C28" s="320" t="str">
        <f>IF('Bilgi Giriş Sayfası'!C26='Parametre Sayfası'!H14,"Oksijen Torcu Yerli (200 mm'ye Kadar)",IF('Bilgi Giriş Sayfası'!C26='Parametre Sayfası'!H15,"Tanaka Oksijen Torcu (200 mm'ye Kadar Kesim)",IF('Bilgi Giriş Sayfası'!C26='Parametre Sayfası'!H16,"Oksijen Torcu İthal (200 mm'ye Kadar)",IF('Bilgi Giriş Sayfası'!C26='Parametre Sayfası'!H17," "))))</f>
        <v>Tanaka Oksijen Torcu (200 mm'ye Kadar Kesim)</v>
      </c>
      <c r="D28" s="320"/>
      <c r="E28" s="320"/>
      <c r="F28" s="320"/>
      <c r="G28" s="165"/>
      <c r="H28" s="162"/>
      <c r="I28" s="166"/>
      <c r="J28" s="167"/>
    </row>
    <row r="29" spans="2:13" ht="18" customHeight="1">
      <c r="B29" s="324"/>
      <c r="C29" s="320" t="str">
        <f>IF('Bilgi Giriş Sayfası'!F26='Parametre Sayfası'!J14,"2 KVA Güç Kaynağı",IF('Bilgi Giriş Sayfası'!F26='Parametre Sayfası'!J15," "))</f>
        <v>2 KVA Güç Kaynağı</v>
      </c>
      <c r="D29" s="320"/>
      <c r="E29" s="320"/>
      <c r="F29" s="320"/>
      <c r="G29" s="161" t="str">
        <f>IF('Bilgi Giriş Sayfası'!G6=1,"1",IF('Bilgi Giriş Sayfası'!G6=0," "))</f>
        <v xml:space="preserve"> </v>
      </c>
      <c r="H29" s="161" t="str">
        <f>IF('Bilgi Giriş Sayfası'!G6=1,"Adet",IF('Bilgi Giriş Sayfası'!G6=0," "))</f>
        <v xml:space="preserve"> </v>
      </c>
      <c r="I29" s="166" t="str">
        <f>IF('Bilgi Giriş Sayfası'!G6=1,'Bilgi Giriş Sayfası'!F6,IF('Bilgi Giriş Sayfası'!G6=0," "))</f>
        <v xml:space="preserve"> </v>
      </c>
      <c r="J29" s="167" t="str">
        <f>IF('Bilgi Giriş Sayfası'!G6=1,'Bilgi Giriş Sayfası'!F6*'Bilgi Giriş Sayfası'!G6,IF('Bilgi Giriş Sayfası'!G6=0,""))</f>
        <v/>
      </c>
    </row>
    <row r="30" spans="2:13" ht="18" customHeight="1">
      <c r="B30" s="324"/>
      <c r="C30" s="320" t="str">
        <f>IF('Bilgi Giriş Sayfası'!F25='Parametre Sayfası'!R4,"6000 M³ Fan",IF('Bilgi Giriş Sayfası'!F25='Parametre Sayfası'!R5,"20.000 M³ Fan",IF('Bilgi Giriş Sayfası'!F25='Parametre Sayfası'!R3," ")))</f>
        <v>20.000 M³ Fan</v>
      </c>
      <c r="D30" s="320"/>
      <c r="E30" s="320"/>
      <c r="F30" s="320"/>
      <c r="G30" s="161" t="str">
        <f>IF('Bilgi Giriş Sayfası'!G5=1,"1",IF('Bilgi Giriş Sayfası'!G5=0," "))</f>
        <v xml:space="preserve"> </v>
      </c>
      <c r="H30" s="162" t="str">
        <f>IF('Bilgi Giriş Sayfası'!G5=1,"Adet",IF('Bilgi Giriş Sayfası'!G5=0," "))</f>
        <v xml:space="preserve"> </v>
      </c>
      <c r="I30" s="166" t="str">
        <f>IF('Bilgi Giriş Sayfası'!G5=1,'Bilgi Giriş Sayfası'!F5,IF('Bilgi Giriş Sayfası'!G5=0," "))</f>
        <v xml:space="preserve"> </v>
      </c>
      <c r="J30" s="167" t="str">
        <f>IF('Bilgi Giriş Sayfası'!G5=1,'Bilgi Giriş Sayfası'!F5*'Bilgi Giriş Sayfası'!G5,IF('Bilgi Giriş Sayfası'!G5=0,""))</f>
        <v/>
      </c>
    </row>
    <row r="31" spans="2:13" ht="18" customHeight="1">
      <c r="B31" s="324"/>
      <c r="C31" s="320" t="str">
        <f>IF('Bilgi Giriş Sayfası'!C27='Parametre Sayfası'!M14,"Kompresör Dahildir",IF('Bilgi Giriş Sayfası'!C27='Parametre Sayfası'!M15,"  "))</f>
        <v xml:space="preserve">  </v>
      </c>
      <c r="D31" s="320"/>
      <c r="E31" s="320"/>
      <c r="F31" s="320"/>
      <c r="G31" s="161" t="str">
        <f>IF('Bilgi Giriş Sayfası'!G4=1,"1",IF('Bilgi Giriş Sayfası'!G4=0," "))</f>
        <v>1</v>
      </c>
      <c r="H31" s="162" t="str">
        <f>IF('Bilgi Giriş Sayfası'!G4=1,"Adet",IF('Bilgi Giriş Sayfası'!G4=0," "))</f>
        <v>Adet</v>
      </c>
      <c r="I31" s="166">
        <f>IF('Bilgi Giriş Sayfası'!G4=1,'Bilgi Giriş Sayfası'!F4,IF('Bilgi Giriş Sayfası'!G4=0," "))</f>
        <v>0</v>
      </c>
      <c r="J31" s="167">
        <f>IF('Bilgi Giriş Sayfası'!G4=1,'Bilgi Giriş Sayfası'!F4*'Bilgi Giriş Sayfası'!G4,IF('Bilgi Giriş Sayfası'!G4=0,""))</f>
        <v>0</v>
      </c>
    </row>
    <row r="32" spans="2:13" ht="18" customHeight="1">
      <c r="B32" s="324"/>
      <c r="C32" s="320" t="str">
        <f>IF('Bilgi Giriş Sayfası'!F27='Parametre Sayfası'!O14,"Kurutucu Dahildir",IF('Bilgi Giriş Sayfası'!F27='Parametre Sayfası'!O15,"  "))</f>
        <v>Kurutucu Dahildir</v>
      </c>
      <c r="D32" s="320"/>
      <c r="E32" s="320"/>
      <c r="F32" s="320"/>
      <c r="G32" s="161" t="str">
        <f>IF('Bilgi Giriş Sayfası'!G7=1,"1",IF('Bilgi Giriş Sayfası'!G7=0," "))</f>
        <v>1</v>
      </c>
      <c r="H32" s="162" t="str">
        <f>IF('Bilgi Giriş Sayfası'!G7=1,"Adet",IF('Bilgi Giriş Sayfası'!G7=0," "))</f>
        <v>Adet</v>
      </c>
      <c r="I32" s="166">
        <f>IF('Bilgi Giriş Sayfası'!G7=1,'Bilgi Giriş Sayfası'!F7,IF('Bilgi Giriş Sayfası'!G7=0," "))</f>
        <v>0</v>
      </c>
      <c r="J32" s="167">
        <f>IF('Bilgi Giriş Sayfası'!G7=1,'Bilgi Giriş Sayfası'!F7*'Bilgi Giriş Sayfası'!G7,IF('Bilgi Giriş Sayfası'!G7=0,""))</f>
        <v>0</v>
      </c>
    </row>
    <row r="33" spans="2:10" ht="18" customHeight="1">
      <c r="B33" s="324"/>
      <c r="C33" s="320" t="s">
        <v>239</v>
      </c>
      <c r="D33" s="320"/>
      <c r="E33" s="320"/>
      <c r="F33" s="320"/>
      <c r="G33" s="165"/>
      <c r="H33" s="162"/>
      <c r="I33" s="166"/>
      <c r="J33" s="167"/>
    </row>
    <row r="34" spans="2:10" ht="18" customHeight="1">
      <c r="B34" s="324"/>
      <c r="C34" s="321" t="s">
        <v>240</v>
      </c>
      <c r="D34" s="321"/>
      <c r="E34" s="321"/>
      <c r="F34" s="321"/>
      <c r="G34" s="169"/>
      <c r="H34" s="170"/>
      <c r="I34" s="171"/>
      <c r="J34" s="172"/>
    </row>
    <row r="35" spans="2:10" ht="18" customHeight="1">
      <c r="B35" s="173"/>
      <c r="C35" s="174"/>
      <c r="D35" s="174"/>
      <c r="E35" s="174"/>
      <c r="F35" s="174"/>
      <c r="G35" s="175"/>
      <c r="H35" s="176"/>
      <c r="I35" s="177" t="s">
        <v>241</v>
      </c>
      <c r="J35" s="192">
        <f>SUM(J18:J34)</f>
        <v>21700</v>
      </c>
    </row>
    <row r="36" spans="2:10" ht="18" customHeight="1">
      <c r="B36" s="173"/>
      <c r="C36" s="174"/>
      <c r="D36" s="174"/>
      <c r="E36" s="179" t="str">
        <f>IF('Bilgi Giriş Sayfası'!F8='Parametre Sayfası'!B14,"1,01",IF('Bilgi Giriş Sayfası'!F8='Parametre Sayfası'!B16,"1,18",IF('Bilgi Giriş Sayfası'!F8='Parametre Sayfası'!B17,"1")))</f>
        <v>1</v>
      </c>
      <c r="F36" s="179"/>
      <c r="G36" s="180"/>
      <c r="H36" s="181"/>
      <c r="I36" s="182" t="s">
        <v>255</v>
      </c>
      <c r="J36" s="192">
        <f>J35*18%</f>
        <v>3906</v>
      </c>
    </row>
    <row r="37" spans="2:10" ht="18" customHeight="1">
      <c r="B37" s="173"/>
      <c r="C37" s="174"/>
      <c r="D37" s="174"/>
      <c r="E37" s="179">
        <f>J35*E36</f>
        <v>21700</v>
      </c>
      <c r="F37" s="179"/>
      <c r="G37" s="136"/>
      <c r="H37" s="183"/>
      <c r="I37" s="177" t="s">
        <v>242</v>
      </c>
      <c r="J37" s="192">
        <f>J35+J36</f>
        <v>25606</v>
      </c>
    </row>
    <row r="38" spans="2:10" ht="15.75">
      <c r="B38" s="137"/>
      <c r="C38" s="184"/>
      <c r="D38" s="184"/>
      <c r="E38" s="184"/>
      <c r="F38" s="184"/>
      <c r="G38" s="318"/>
      <c r="H38" s="318"/>
      <c r="I38" s="318"/>
      <c r="J38" s="318"/>
    </row>
    <row r="39" spans="2:10" ht="15" customHeight="1">
      <c r="B39" s="185" t="s">
        <v>243</v>
      </c>
      <c r="C39" s="186" t="s">
        <v>244</v>
      </c>
      <c r="H39" s="136"/>
      <c r="I39" s="136"/>
      <c r="J39" s="122"/>
    </row>
    <row r="40" spans="2:10" s="134" customFormat="1" ht="15" customHeight="1">
      <c r="B40" s="185" t="s">
        <v>245</v>
      </c>
      <c r="C40" s="186" t="s">
        <v>246</v>
      </c>
      <c r="G40" s="135"/>
    </row>
    <row r="41" spans="2:10" s="134" customFormat="1" ht="15" customHeight="1">
      <c r="B41" s="185" t="s">
        <v>247</v>
      </c>
      <c r="C41" s="186">
        <v>30059</v>
      </c>
      <c r="G41" s="135"/>
    </row>
    <row r="42" spans="2:10" s="134" customFormat="1" ht="15" customHeight="1">
      <c r="B42" s="185" t="s">
        <v>248</v>
      </c>
      <c r="C42" s="186" t="s">
        <v>249</v>
      </c>
      <c r="G42" s="135"/>
    </row>
    <row r="43" spans="2:10" s="134" customFormat="1" ht="15" customHeight="1">
      <c r="G43" s="135"/>
    </row>
    <row r="44" spans="2:10" s="134" customFormat="1" ht="15" customHeight="1">
      <c r="B44" s="185" t="s">
        <v>243</v>
      </c>
      <c r="C44" s="186" t="s">
        <v>250</v>
      </c>
      <c r="D44" s="187"/>
      <c r="E44" s="187"/>
      <c r="F44" s="187"/>
      <c r="G44" s="187"/>
    </row>
    <row r="45" spans="2:10" s="134" customFormat="1" ht="15" customHeight="1">
      <c r="B45" s="185" t="s">
        <v>245</v>
      </c>
      <c r="C45" s="186" t="s">
        <v>251</v>
      </c>
      <c r="D45" s="188"/>
      <c r="E45" s="188"/>
      <c r="F45" s="188"/>
      <c r="G45" s="188"/>
    </row>
    <row r="46" spans="2:10" s="134" customFormat="1">
      <c r="B46" s="185" t="s">
        <v>247</v>
      </c>
      <c r="C46" s="189" t="s">
        <v>252</v>
      </c>
      <c r="D46" s="188"/>
      <c r="E46" s="188"/>
      <c r="F46" s="188"/>
      <c r="G46" s="188"/>
    </row>
    <row r="47" spans="2:10" s="134" customFormat="1">
      <c r="B47" s="185" t="s">
        <v>248</v>
      </c>
      <c r="C47" s="186" t="s">
        <v>253</v>
      </c>
      <c r="D47" s="188"/>
      <c r="E47" s="188"/>
      <c r="F47" s="188"/>
      <c r="G47" s="188"/>
    </row>
    <row r="48" spans="2:10" s="134" customFormat="1" ht="15" customHeight="1">
      <c r="B48" s="188"/>
      <c r="C48" s="188"/>
      <c r="D48" s="188"/>
      <c r="E48" s="188"/>
      <c r="F48" s="188"/>
      <c r="G48" s="188"/>
    </row>
    <row r="49" spans="2:10" s="134" customFormat="1" ht="15" customHeight="1">
      <c r="B49" s="188"/>
      <c r="C49" s="188"/>
      <c r="D49" s="188"/>
      <c r="E49" s="188"/>
      <c r="F49" s="188"/>
      <c r="G49" s="188"/>
    </row>
    <row r="50" spans="2:10" ht="15" customHeight="1">
      <c r="B50" s="319" t="s">
        <v>254</v>
      </c>
      <c r="C50" s="319"/>
      <c r="D50" s="319"/>
      <c r="E50" s="319"/>
      <c r="F50" s="319"/>
      <c r="G50" s="319"/>
      <c r="H50" s="319"/>
      <c r="I50" s="319"/>
      <c r="J50" s="319"/>
    </row>
    <row r="51" spans="2:10" ht="15" customHeight="1">
      <c r="B51" s="319"/>
      <c r="C51" s="319"/>
      <c r="D51" s="319"/>
      <c r="E51" s="319"/>
      <c r="F51" s="319"/>
      <c r="G51" s="319"/>
      <c r="H51" s="319"/>
      <c r="I51" s="319"/>
      <c r="J51" s="319"/>
    </row>
    <row r="52" spans="2:10" ht="15" customHeight="1">
      <c r="B52" s="319"/>
      <c r="C52" s="319"/>
      <c r="D52" s="319"/>
      <c r="E52" s="319"/>
      <c r="F52" s="319"/>
      <c r="G52" s="319"/>
      <c r="H52" s="319"/>
      <c r="I52" s="319"/>
      <c r="J52" s="319"/>
    </row>
    <row r="53" spans="2:10" s="134" customFormat="1" ht="21" customHeight="1">
      <c r="C53" s="190"/>
      <c r="D53" s="122"/>
      <c r="E53" s="122"/>
      <c r="F53" s="122"/>
    </row>
    <row r="54" spans="2:10" s="134" customFormat="1" ht="14.25">
      <c r="C54" s="122"/>
      <c r="D54" s="122"/>
      <c r="E54" s="122"/>
      <c r="F54" s="122"/>
    </row>
    <row r="55" spans="2:10" s="134" customFormat="1" ht="14.25"/>
    <row r="56" spans="2:10" s="134" customFormat="1" ht="14.25"/>
    <row r="57" spans="2:10" s="134" customFormat="1" ht="14.25"/>
    <row r="58" spans="2:10" s="134" customFormat="1" ht="14.25"/>
  </sheetData>
  <mergeCells count="39">
    <mergeCell ref="B1:J1"/>
    <mergeCell ref="F2:J2"/>
    <mergeCell ref="F3:J3"/>
    <mergeCell ref="F4:J4"/>
    <mergeCell ref="F5:J5"/>
    <mergeCell ref="F6:J6"/>
    <mergeCell ref="B7:J7"/>
    <mergeCell ref="B8:B9"/>
    <mergeCell ref="C8:F9"/>
    <mergeCell ref="I8:J8"/>
    <mergeCell ref="I9:J9"/>
    <mergeCell ref="B10:B11"/>
    <mergeCell ref="C10:F11"/>
    <mergeCell ref="I11:J11"/>
    <mergeCell ref="D12:F12"/>
    <mergeCell ref="I12:J12"/>
    <mergeCell ref="B14:J14"/>
    <mergeCell ref="C16:F16"/>
    <mergeCell ref="B17:B34"/>
    <mergeCell ref="C17:F17"/>
    <mergeCell ref="C18:F18"/>
    <mergeCell ref="C19:F19"/>
    <mergeCell ref="C20:F20"/>
    <mergeCell ref="C21:F21"/>
    <mergeCell ref="C22:F22"/>
    <mergeCell ref="C23:F23"/>
    <mergeCell ref="C24:F24"/>
    <mergeCell ref="C25:F25"/>
    <mergeCell ref="C26:F26"/>
    <mergeCell ref="C27:F27"/>
    <mergeCell ref="C28:F28"/>
    <mergeCell ref="C29:F29"/>
    <mergeCell ref="G38:J38"/>
    <mergeCell ref="B50:J52"/>
    <mergeCell ref="C30:F30"/>
    <mergeCell ref="C31:F31"/>
    <mergeCell ref="C32:F32"/>
    <mergeCell ref="C33:F33"/>
    <mergeCell ref="C34:F34"/>
  </mergeCells>
  <printOptions horizontalCentered="1"/>
  <pageMargins left="0" right="0" top="0.196527777777778" bottom="0.196527777777778" header="0.511811023622047" footer="0.511811023622047"/>
  <pageSetup paperSize="9" scale="91"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8"/>
  <sheetViews>
    <sheetView showGridLines="0" view="pageBreakPreview" topLeftCell="A13" zoomScale="95" zoomScaleNormal="100" zoomScalePageLayoutView="95" workbookViewId="0">
      <selection activeCell="C32" activeCellId="1" sqref="A100:K102 C32:F32"/>
    </sheetView>
  </sheetViews>
  <sheetFormatPr defaultColWidth="9.140625" defaultRowHeight="15"/>
  <cols>
    <col min="1" max="1" width="0.140625" style="134" customWidth="1"/>
    <col min="2" max="2" width="9.140625" style="134"/>
    <col min="3" max="3" width="25.7109375" style="134" customWidth="1"/>
    <col min="4" max="4" width="3.7109375" style="134" customWidth="1"/>
    <col min="5" max="5" width="14.140625" style="134" customWidth="1"/>
    <col min="6" max="6" width="8.140625" style="134" customWidth="1"/>
    <col min="7" max="7" width="10" style="135" customWidth="1"/>
    <col min="8" max="8" width="7.7109375" style="135" customWidth="1"/>
    <col min="9" max="9" width="17" style="135" customWidth="1"/>
    <col min="10" max="10" width="17.140625" style="134" customWidth="1"/>
    <col min="11" max="1024" width="9.140625" style="134"/>
  </cols>
  <sheetData>
    <row r="1" spans="1:17">
      <c r="B1" s="336"/>
      <c r="C1" s="336"/>
      <c r="D1" s="336"/>
      <c r="E1" s="336"/>
      <c r="F1" s="336"/>
      <c r="G1" s="336"/>
      <c r="H1" s="336"/>
      <c r="I1" s="336"/>
      <c r="J1" s="336"/>
    </row>
    <row r="2" spans="1:17" ht="15" customHeight="1">
      <c r="F2" s="337" t="s">
        <v>223</v>
      </c>
      <c r="G2" s="337"/>
      <c r="H2" s="337"/>
      <c r="I2" s="337"/>
      <c r="J2" s="337"/>
    </row>
    <row r="3" spans="1:17">
      <c r="F3" s="318" t="s">
        <v>224</v>
      </c>
      <c r="G3" s="318"/>
      <c r="H3" s="318"/>
      <c r="I3" s="318"/>
      <c r="J3" s="318"/>
    </row>
    <row r="4" spans="1:17">
      <c r="F4" s="318" t="s">
        <v>225</v>
      </c>
      <c r="G4" s="318"/>
      <c r="H4" s="318"/>
      <c r="I4" s="318"/>
      <c r="J4" s="318"/>
    </row>
    <row r="5" spans="1:17">
      <c r="F5" s="318" t="s">
        <v>226</v>
      </c>
      <c r="G5" s="318"/>
      <c r="H5" s="318"/>
      <c r="I5" s="318"/>
      <c r="J5" s="318"/>
    </row>
    <row r="6" spans="1:17">
      <c r="F6" s="318" t="s">
        <v>227</v>
      </c>
      <c r="G6" s="318"/>
      <c r="H6" s="318"/>
      <c r="I6" s="318"/>
      <c r="J6" s="318"/>
    </row>
    <row r="7" spans="1:17">
      <c r="B7" s="331"/>
      <c r="C7" s="331"/>
      <c r="D7" s="331"/>
      <c r="E7" s="331"/>
      <c r="F7" s="331"/>
      <c r="G7" s="331"/>
      <c r="H7" s="331"/>
      <c r="I7" s="331"/>
      <c r="J7" s="331"/>
    </row>
    <row r="8" spans="1:17" ht="26.25" customHeight="1">
      <c r="B8" s="332" t="s">
        <v>256</v>
      </c>
      <c r="C8" s="333" t="s">
        <v>257</v>
      </c>
      <c r="D8" s="333"/>
      <c r="E8" s="333"/>
      <c r="F8" s="333"/>
      <c r="I8" s="334" t="s">
        <v>258</v>
      </c>
      <c r="J8" s="334"/>
    </row>
    <row r="9" spans="1:17" s="134" customFormat="1" ht="18.75" customHeight="1">
      <c r="B9" s="332"/>
      <c r="C9" s="333"/>
      <c r="D9" s="333"/>
      <c r="E9" s="333"/>
      <c r="F9" s="333"/>
      <c r="H9" s="138"/>
      <c r="I9" s="335">
        <f ca="1">'Bilgi Giriş Sayfası'!F16</f>
        <v>44587</v>
      </c>
      <c r="J9" s="335"/>
    </row>
    <row r="10" spans="1:17" ht="16.5" customHeight="1">
      <c r="B10" s="326" t="s">
        <v>259</v>
      </c>
      <c r="C10" s="327" t="s">
        <v>260</v>
      </c>
      <c r="D10" s="327"/>
      <c r="E10" s="327"/>
      <c r="F10" s="327"/>
      <c r="G10" s="139"/>
      <c r="H10" s="139"/>
      <c r="I10" s="139"/>
    </row>
    <row r="11" spans="1:17" ht="15" customHeight="1">
      <c r="B11" s="326"/>
      <c r="C11" s="327"/>
      <c r="D11" s="327"/>
      <c r="E11" s="327"/>
      <c r="F11" s="327"/>
      <c r="G11" s="139"/>
      <c r="H11" s="139"/>
      <c r="I11" s="328" t="s">
        <v>261</v>
      </c>
      <c r="J11" s="328"/>
    </row>
    <row r="12" spans="1:17" ht="15.75" customHeight="1">
      <c r="A12" s="140"/>
      <c r="B12" s="141" t="s">
        <v>262</v>
      </c>
      <c r="C12" s="142"/>
      <c r="D12" s="329" t="str">
        <f>'Bilgi Giriş Sayfası'!C6</f>
        <v>-</v>
      </c>
      <c r="E12" s="329"/>
      <c r="F12" s="329"/>
      <c r="G12" s="143"/>
      <c r="H12" s="143"/>
      <c r="I12" s="330">
        <f ca="1">I9+10</f>
        <v>44597</v>
      </c>
      <c r="J12" s="330"/>
      <c r="M12" s="138"/>
      <c r="P12" s="144"/>
      <c r="Q12" s="144"/>
    </row>
    <row r="13" spans="1:17" ht="15.75" customHeight="1">
      <c r="A13" s="140"/>
      <c r="B13" s="145"/>
      <c r="C13" s="146"/>
      <c r="D13" s="147"/>
      <c r="E13" s="147"/>
      <c r="F13" s="147"/>
      <c r="G13" s="143"/>
      <c r="H13" s="143"/>
      <c r="I13" s="143"/>
      <c r="J13" s="148"/>
      <c r="M13" s="138"/>
      <c r="P13" s="144"/>
      <c r="Q13" s="144"/>
    </row>
    <row r="14" spans="1:17" ht="30.75" customHeight="1">
      <c r="B14" s="322" t="s">
        <v>233</v>
      </c>
      <c r="C14" s="322"/>
      <c r="D14" s="322"/>
      <c r="E14" s="322"/>
      <c r="F14" s="322"/>
      <c r="G14" s="322"/>
      <c r="H14" s="322"/>
      <c r="I14" s="322"/>
      <c r="J14" s="322"/>
    </row>
    <row r="15" spans="1:17" ht="15" customHeight="1">
      <c r="B15" s="149"/>
      <c r="C15" s="150"/>
      <c r="D15" s="151"/>
      <c r="E15" s="151"/>
      <c r="F15" s="151"/>
      <c r="G15" s="151"/>
      <c r="H15" s="151"/>
      <c r="I15" s="151"/>
      <c r="J15" s="152"/>
    </row>
    <row r="16" spans="1:17" ht="15.75">
      <c r="B16" s="153" t="s">
        <v>163</v>
      </c>
      <c r="C16" s="323" t="s">
        <v>263</v>
      </c>
      <c r="D16" s="323"/>
      <c r="E16" s="323"/>
      <c r="F16" s="323"/>
      <c r="G16" s="154" t="s">
        <v>264</v>
      </c>
      <c r="H16" s="154" t="s">
        <v>265</v>
      </c>
      <c r="I16" s="155" t="s">
        <v>266</v>
      </c>
      <c r="J16" s="156" t="s">
        <v>267</v>
      </c>
    </row>
    <row r="17" spans="2:13" ht="18" customHeight="1">
      <c r="B17" s="324">
        <v>1</v>
      </c>
      <c r="C17" s="325"/>
      <c r="D17" s="325"/>
      <c r="E17" s="325"/>
      <c r="F17" s="325"/>
      <c r="G17" s="157"/>
      <c r="H17" s="158"/>
      <c r="I17" s="159"/>
      <c r="J17" s="160"/>
      <c r="L17" s="134" t="s">
        <v>268</v>
      </c>
      <c r="M17" s="193">
        <v>6.5</v>
      </c>
    </row>
    <row r="18" spans="2:13" ht="18" customHeight="1">
      <c r="B18" s="324"/>
      <c r="C18" s="320" t="s">
        <v>269</v>
      </c>
      <c r="D18" s="320"/>
      <c r="E18" s="320"/>
      <c r="F18" s="320"/>
      <c r="G18" s="161">
        <f>'Bilgi Giriş Sayfası'!G3</f>
        <v>1</v>
      </c>
      <c r="H18" s="162" t="s">
        <v>238</v>
      </c>
      <c r="I18" s="194">
        <f>'Bilgi Giriş Sayfası'!J3</f>
        <v>21700</v>
      </c>
      <c r="J18" s="195">
        <f>G18*I18</f>
        <v>21700</v>
      </c>
    </row>
    <row r="19" spans="2:13" ht="18" customHeight="1">
      <c r="B19" s="324"/>
      <c r="C19" s="320" t="s">
        <v>270</v>
      </c>
      <c r="D19" s="320"/>
      <c r="E19" s="320"/>
      <c r="F19" s="320"/>
      <c r="G19" s="165"/>
      <c r="H19" s="162"/>
      <c r="I19" s="196"/>
      <c r="J19" s="195"/>
    </row>
    <row r="20" spans="2:13" ht="18" customHeight="1">
      <c r="B20" s="324"/>
      <c r="C20" s="320" t="s">
        <v>271</v>
      </c>
      <c r="D20" s="320"/>
      <c r="E20" s="320"/>
      <c r="F20" s="320"/>
      <c r="G20" s="165"/>
      <c r="H20" s="162"/>
      <c r="I20" s="196"/>
      <c r="J20" s="195"/>
    </row>
    <row r="21" spans="2:13" ht="18" customHeight="1">
      <c r="B21" s="324"/>
      <c r="C21" s="320" t="s">
        <v>272</v>
      </c>
      <c r="D21" s="320"/>
      <c r="E21" s="320"/>
      <c r="F21" s="320"/>
      <c r="G21" s="165"/>
      <c r="H21" s="162"/>
      <c r="I21" s="196"/>
      <c r="J21" s="195"/>
    </row>
    <row r="22" spans="2:13" ht="18" customHeight="1">
      <c r="B22" s="324"/>
      <c r="C22" s="320" t="s">
        <v>273</v>
      </c>
      <c r="D22" s="320"/>
      <c r="E22" s="320"/>
      <c r="F22" s="320"/>
      <c r="G22" s="165"/>
      <c r="H22" s="162"/>
      <c r="I22" s="196"/>
      <c r="J22" s="195"/>
    </row>
    <row r="23" spans="2:13" ht="18" customHeight="1">
      <c r="B23" s="324"/>
      <c r="C23" s="320" t="s">
        <v>274</v>
      </c>
      <c r="D23" s="320"/>
      <c r="E23" s="320"/>
      <c r="F23" s="320"/>
      <c r="G23" s="165"/>
      <c r="H23" s="162"/>
      <c r="I23" s="196"/>
      <c r="J23" s="195"/>
    </row>
    <row r="24" spans="2:13" ht="18" customHeight="1">
      <c r="B24" s="324"/>
      <c r="C24" s="320" t="s">
        <v>275</v>
      </c>
      <c r="D24" s="320"/>
      <c r="E24" s="320"/>
      <c r="F24" s="320"/>
      <c r="G24" s="165"/>
      <c r="H24" s="162"/>
      <c r="I24" s="196"/>
      <c r="J24" s="195"/>
    </row>
    <row r="25" spans="2:13" ht="18" customHeight="1">
      <c r="B25" s="324"/>
      <c r="C25" s="320" t="s">
        <v>276</v>
      </c>
      <c r="D25" s="320"/>
      <c r="E25" s="320"/>
      <c r="F25" s="320"/>
      <c r="G25" s="165"/>
      <c r="H25" s="162"/>
      <c r="I25" s="196"/>
      <c r="J25" s="195"/>
    </row>
    <row r="26" spans="2:13" ht="18" customHeight="1">
      <c r="B26" s="324"/>
      <c r="C26" s="320" t="s">
        <v>277</v>
      </c>
      <c r="D26" s="320"/>
      <c r="E26" s="320"/>
      <c r="F26" s="320"/>
      <c r="G26" s="165"/>
      <c r="H26" s="162"/>
      <c r="I26" s="196"/>
      <c r="J26" s="195"/>
    </row>
    <row r="27" spans="2:13" ht="18" customHeight="1">
      <c r="B27" s="324"/>
      <c r="C27" s="320" t="s">
        <v>278</v>
      </c>
      <c r="D27" s="320"/>
      <c r="E27" s="320"/>
      <c r="F27" s="320"/>
      <c r="G27" s="165"/>
      <c r="H27" s="162"/>
      <c r="I27" s="196"/>
      <c r="J27" s="195"/>
      <c r="M27" s="135"/>
    </row>
    <row r="28" spans="2:13" ht="18" customHeight="1">
      <c r="B28" s="324"/>
      <c r="C28" s="320" t="str">
        <f>IF('Bilgi Giriş Sayfası'!C26='Parametre Sayfası'!H14,"Oksijen Torcu Yerli (200 mm'ye Kadar)",IF('Bilgi Giriş Sayfası'!C26='Parametre Sayfası'!H15,"Tanaka Oksijen Torcu (200 mm'ye Kadar Kesim)",IF('Bilgi Giriş Sayfası'!C26='Parametre Sayfası'!H16,"Oksijen Torcu İthal (200 mm'ye Kadar)",IF('Bilgi Giriş Sayfası'!C26='Parametre Sayfası'!H17," "))))</f>
        <v>Tanaka Oksijen Torcu (200 mm'ye Kadar Kesim)</v>
      </c>
      <c r="D28" s="320"/>
      <c r="E28" s="320"/>
      <c r="F28" s="320"/>
      <c r="G28" s="165"/>
      <c r="H28" s="162"/>
      <c r="I28" s="196"/>
      <c r="J28" s="195"/>
    </row>
    <row r="29" spans="2:13" ht="18" customHeight="1">
      <c r="B29" s="324"/>
      <c r="C29" s="320" t="str">
        <f>IF('Bilgi Giriş Sayfası'!F26='Parametre Sayfası'!J14,"2 KVA Güç Kaynağı",IF('Bilgi Giriş Sayfası'!F26='Parametre Sayfası'!J15," "))</f>
        <v>2 KVA Güç Kaynağı</v>
      </c>
      <c r="D29" s="320"/>
      <c r="E29" s="320"/>
      <c r="F29" s="320"/>
      <c r="G29" s="161" t="str">
        <f>IF('Bilgi Giriş Sayfası'!G6=1,"1",IF('Bilgi Giriş Sayfası'!G6=0," "))</f>
        <v xml:space="preserve"> </v>
      </c>
      <c r="H29" s="161" t="str">
        <f>IF('Bilgi Giriş Sayfası'!G6=1,"Adet",IF('Bilgi Giriş Sayfası'!G6=0," "))</f>
        <v xml:space="preserve"> </v>
      </c>
      <c r="I29" s="196" t="str">
        <f>IF('Bilgi Giriş Sayfası'!G6=1,'Bilgi Giriş Sayfası'!F6/M17,IF('Bilgi Giriş Sayfası'!G6=0," "))</f>
        <v xml:space="preserve"> </v>
      </c>
      <c r="J29" s="195" t="str">
        <f>IF('Bilgi Giriş Sayfası'!G6=1,'Bilgi Giriş Sayfası'!F6*'Bilgi Giriş Sayfası'!G6/M17,IF('Bilgi Giriş Sayfası'!G6=0,""))</f>
        <v/>
      </c>
    </row>
    <row r="30" spans="2:13" ht="18" customHeight="1">
      <c r="B30" s="324"/>
      <c r="C30" s="320" t="str">
        <f>IF('Bilgi Giriş Sayfası'!F25='Parametre Sayfası'!R4,"6000 M³ Fan",IF('Bilgi Giriş Sayfası'!F25='Parametre Sayfası'!R5,"20.000 M³ Fan",IF('Bilgi Giriş Sayfası'!F25='Parametre Sayfası'!R3," ")))</f>
        <v>20.000 M³ Fan</v>
      </c>
      <c r="D30" s="320"/>
      <c r="E30" s="320"/>
      <c r="F30" s="320"/>
      <c r="G30" s="161" t="str">
        <f>IF('Bilgi Giriş Sayfası'!G5=1,"1",IF('Bilgi Giriş Sayfası'!G5=0," "))</f>
        <v xml:space="preserve"> </v>
      </c>
      <c r="H30" s="162" t="str">
        <f>IF('Bilgi Giriş Sayfası'!G5=1,"Adet",IF('Bilgi Giriş Sayfası'!G5=0," "))</f>
        <v xml:space="preserve"> </v>
      </c>
      <c r="I30" s="196" t="str">
        <f>IF('Bilgi Giriş Sayfası'!G5=1,'Bilgi Giriş Sayfası'!F5/M17,IF('Bilgi Giriş Sayfası'!G5=0," "))</f>
        <v xml:space="preserve"> </v>
      </c>
      <c r="J30" s="195" t="str">
        <f>IF('Bilgi Giriş Sayfası'!G5=1,'Bilgi Giriş Sayfası'!F5*'Bilgi Giriş Sayfası'!G5/M17,IF('Bilgi Giriş Sayfası'!G5=0,""))</f>
        <v/>
      </c>
    </row>
    <row r="31" spans="2:13" ht="18" customHeight="1">
      <c r="B31" s="324"/>
      <c r="C31" s="320" t="str">
        <f>IF('Bilgi Giriş Sayfası'!C27='Parametre Sayfası'!M14,"Kompresör Dahildir",IF('Bilgi Giriş Sayfası'!C27='Parametre Sayfası'!M15,"  "))</f>
        <v xml:space="preserve">  </v>
      </c>
      <c r="D31" s="320"/>
      <c r="E31" s="320"/>
      <c r="F31" s="320"/>
      <c r="G31" s="161" t="str">
        <f>IF('Bilgi Giriş Sayfası'!G4=1,"1",IF('Bilgi Giriş Sayfası'!G4=0," "))</f>
        <v>1</v>
      </c>
      <c r="H31" s="162" t="str">
        <f>IF('Bilgi Giriş Sayfası'!G4=1,"Adet",IF('Bilgi Giriş Sayfası'!G4=0," "))</f>
        <v>Adet</v>
      </c>
      <c r="I31" s="196">
        <f>IF('Bilgi Giriş Sayfası'!G4=1,'Bilgi Giriş Sayfası'!F4/M17,IF('Bilgi Giriş Sayfası'!G4=0," "))</f>
        <v>0</v>
      </c>
      <c r="J31" s="195">
        <f>IF('Bilgi Giriş Sayfası'!G4=1,'Bilgi Giriş Sayfası'!F4*'Bilgi Giriş Sayfası'!G4/M17,IF('Bilgi Giriş Sayfası'!G4=0,""))</f>
        <v>0</v>
      </c>
    </row>
    <row r="32" spans="2:13" ht="18" customHeight="1">
      <c r="B32" s="324"/>
      <c r="C32" s="320" t="str">
        <f>IF('Bilgi Giriş Sayfası'!F27='Parametre Sayfası'!O14,"Kurutucu Dahildir",IF('Bilgi Giriş Sayfası'!F27='Parametre Sayfası'!O15,"  "))</f>
        <v>Kurutucu Dahildir</v>
      </c>
      <c r="D32" s="320"/>
      <c r="E32" s="320"/>
      <c r="F32" s="320"/>
      <c r="G32" s="161" t="str">
        <f>IF('Bilgi Giriş Sayfası'!G7=1,"1",IF('Bilgi Giriş Sayfası'!G7=0," "))</f>
        <v>1</v>
      </c>
      <c r="H32" s="162" t="str">
        <f>IF('Bilgi Giriş Sayfası'!G7=1,"Adet",IF('Bilgi Giriş Sayfası'!G7=0," "))</f>
        <v>Adet</v>
      </c>
      <c r="I32" s="196">
        <f>IF('Bilgi Giriş Sayfası'!G7=1,'Bilgi Giriş Sayfası'!F7/M17,IF('Bilgi Giriş Sayfası'!G7=0," "))</f>
        <v>0</v>
      </c>
      <c r="J32" s="195">
        <f>IF('Bilgi Giriş Sayfası'!G7=1,'Bilgi Giriş Sayfası'!F7*'Bilgi Giriş Sayfası'!G7/M17,IF('Bilgi Giriş Sayfası'!G7=0,""))</f>
        <v>0</v>
      </c>
    </row>
    <row r="33" spans="2:10" ht="18" customHeight="1">
      <c r="B33" s="324"/>
      <c r="C33" s="320" t="s">
        <v>279</v>
      </c>
      <c r="D33" s="320"/>
      <c r="E33" s="320"/>
      <c r="F33" s="320"/>
      <c r="G33" s="165"/>
      <c r="H33" s="162"/>
      <c r="I33" s="196"/>
      <c r="J33" s="195"/>
    </row>
    <row r="34" spans="2:10" ht="18" customHeight="1">
      <c r="B34" s="324"/>
      <c r="C34" s="321" t="s">
        <v>280</v>
      </c>
      <c r="D34" s="321"/>
      <c r="E34" s="321"/>
      <c r="F34" s="321"/>
      <c r="G34" s="169"/>
      <c r="H34" s="170"/>
      <c r="I34" s="197"/>
      <c r="J34" s="198"/>
    </row>
    <row r="35" spans="2:10" ht="18" customHeight="1">
      <c r="B35" s="173"/>
      <c r="C35" s="174"/>
      <c r="D35" s="174"/>
      <c r="E35" s="174"/>
      <c r="F35" s="174"/>
      <c r="G35" s="175"/>
      <c r="H35" s="176"/>
      <c r="I35" s="177" t="s">
        <v>267</v>
      </c>
      <c r="J35" s="199">
        <f>SUM(J18:J34)</f>
        <v>21700</v>
      </c>
    </row>
    <row r="36" spans="2:10" ht="18" customHeight="1">
      <c r="B36" s="173"/>
      <c r="C36" s="174"/>
      <c r="D36" s="174"/>
      <c r="E36" s="179" t="str">
        <f>IF('Bilgi Giriş Sayfası'!F8='Parametre Sayfası'!B14,"1,01",IF('Bilgi Giriş Sayfası'!F8='Parametre Sayfası'!B16,"1,18",IF('Bilgi Giriş Sayfası'!F8='Parametre Sayfası'!B17,"1")))</f>
        <v>1</v>
      </c>
      <c r="F36" s="179"/>
      <c r="G36" s="180"/>
      <c r="H36" s="181"/>
      <c r="I36" s="200" t="s">
        <v>121</v>
      </c>
      <c r="J36" s="201" t="s">
        <v>121</v>
      </c>
    </row>
    <row r="37" spans="2:10" ht="18" customHeight="1">
      <c r="B37" s="173"/>
      <c r="C37" s="174"/>
      <c r="D37" s="174"/>
      <c r="E37" s="179">
        <f>J35*E36</f>
        <v>21700</v>
      </c>
      <c r="F37" s="179"/>
      <c r="G37" s="136"/>
      <c r="H37" s="183"/>
      <c r="I37" s="202" t="s">
        <v>121</v>
      </c>
      <c r="J37" s="201" t="s">
        <v>121</v>
      </c>
    </row>
    <row r="38" spans="2:10" ht="15.75">
      <c r="B38" s="137"/>
      <c r="C38" s="184"/>
      <c r="D38" s="184"/>
      <c r="E38" s="184"/>
      <c r="F38" s="184"/>
      <c r="G38" s="318"/>
      <c r="H38" s="318"/>
      <c r="I38" s="318"/>
      <c r="J38" s="318"/>
    </row>
    <row r="39" spans="2:10" ht="15" customHeight="1">
      <c r="B39" s="185" t="s">
        <v>281</v>
      </c>
      <c r="C39" s="186" t="s">
        <v>244</v>
      </c>
      <c r="H39" s="136"/>
      <c r="I39" s="136"/>
      <c r="J39" s="122"/>
    </row>
    <row r="40" spans="2:10" s="134" customFormat="1" ht="15" customHeight="1">
      <c r="B40" s="185" t="s">
        <v>282</v>
      </c>
      <c r="C40" s="186" t="s">
        <v>246</v>
      </c>
      <c r="G40" s="135"/>
    </row>
    <row r="41" spans="2:10" s="134" customFormat="1" ht="15" customHeight="1">
      <c r="B41" s="185" t="s">
        <v>283</v>
      </c>
      <c r="C41" s="186">
        <v>30059</v>
      </c>
      <c r="G41" s="135"/>
    </row>
    <row r="42" spans="2:10" s="134" customFormat="1" ht="15" customHeight="1">
      <c r="B42" s="185" t="s">
        <v>248</v>
      </c>
      <c r="C42" s="186" t="s">
        <v>249</v>
      </c>
      <c r="G42" s="135"/>
    </row>
    <row r="43" spans="2:10" s="134" customFormat="1" ht="15" customHeight="1">
      <c r="B43" s="185" t="s">
        <v>284</v>
      </c>
      <c r="C43" s="203" t="s">
        <v>285</v>
      </c>
      <c r="G43" s="135"/>
    </row>
    <row r="44" spans="2:10" s="134" customFormat="1" ht="15" customHeight="1">
      <c r="B44" s="185"/>
      <c r="C44" s="186"/>
      <c r="D44" s="187"/>
      <c r="E44" s="187"/>
      <c r="F44" s="187"/>
      <c r="G44" s="187"/>
    </row>
    <row r="45" spans="2:10" s="134" customFormat="1" ht="15" customHeight="1">
      <c r="B45" s="185"/>
      <c r="C45" s="186"/>
      <c r="D45" s="188"/>
      <c r="E45" s="188"/>
      <c r="F45" s="188"/>
      <c r="G45" s="188"/>
    </row>
    <row r="46" spans="2:10" s="134" customFormat="1">
      <c r="B46" s="185"/>
      <c r="C46" s="189"/>
      <c r="D46" s="188"/>
      <c r="E46" s="188"/>
      <c r="F46" s="188"/>
      <c r="G46" s="188"/>
    </row>
    <row r="47" spans="2:10" s="134" customFormat="1">
      <c r="B47" s="185"/>
      <c r="C47" s="186"/>
      <c r="D47" s="188"/>
      <c r="E47" s="188"/>
      <c r="F47" s="188"/>
      <c r="G47" s="188"/>
    </row>
    <row r="48" spans="2:10" s="134" customFormat="1" ht="15" customHeight="1">
      <c r="B48" s="188"/>
      <c r="C48" s="188"/>
      <c r="D48" s="188"/>
      <c r="E48" s="188"/>
      <c r="F48" s="188"/>
      <c r="G48" s="188"/>
    </row>
    <row r="49" spans="2:10" s="134" customFormat="1" ht="15" customHeight="1">
      <c r="B49" s="188"/>
      <c r="C49" s="188"/>
      <c r="D49" s="188"/>
      <c r="E49" s="188"/>
      <c r="F49" s="188"/>
      <c r="G49" s="188"/>
    </row>
    <row r="50" spans="2:10" ht="15" customHeight="1">
      <c r="B50" s="338" t="s">
        <v>286</v>
      </c>
      <c r="C50" s="338"/>
      <c r="D50" s="338"/>
      <c r="E50" s="338"/>
      <c r="F50" s="338"/>
      <c r="G50" s="338"/>
      <c r="H50" s="338"/>
      <c r="I50" s="338"/>
      <c r="J50" s="338"/>
    </row>
    <row r="51" spans="2:10" ht="15" customHeight="1">
      <c r="B51" s="338"/>
      <c r="C51" s="338"/>
      <c r="D51" s="338"/>
      <c r="E51" s="338"/>
      <c r="F51" s="338"/>
      <c r="G51" s="338"/>
      <c r="H51" s="338"/>
      <c r="I51" s="338"/>
      <c r="J51" s="338"/>
    </row>
    <row r="52" spans="2:10" ht="15" customHeight="1">
      <c r="B52" s="338"/>
      <c r="C52" s="338"/>
      <c r="D52" s="338"/>
      <c r="E52" s="338"/>
      <c r="F52" s="338"/>
      <c r="G52" s="338"/>
      <c r="H52" s="338"/>
      <c r="I52" s="338"/>
      <c r="J52" s="338"/>
    </row>
    <row r="53" spans="2:10" s="134" customFormat="1" ht="21" customHeight="1">
      <c r="C53" s="190"/>
      <c r="D53" s="122"/>
      <c r="E53" s="122"/>
      <c r="F53" s="122"/>
    </row>
    <row r="54" spans="2:10" s="134" customFormat="1" ht="14.25">
      <c r="C54" s="122"/>
      <c r="D54" s="122"/>
      <c r="E54" s="122"/>
      <c r="F54" s="122"/>
    </row>
    <row r="55" spans="2:10" s="134" customFormat="1" ht="14.25"/>
    <row r="56" spans="2:10" s="134" customFormat="1" ht="14.25"/>
    <row r="57" spans="2:10" s="134" customFormat="1" ht="14.25"/>
    <row r="58" spans="2:10" s="134" customFormat="1" ht="14.25"/>
  </sheetData>
  <mergeCells count="39">
    <mergeCell ref="B1:J1"/>
    <mergeCell ref="F2:J2"/>
    <mergeCell ref="F3:J3"/>
    <mergeCell ref="F4:J4"/>
    <mergeCell ref="F5:J5"/>
    <mergeCell ref="F6:J6"/>
    <mergeCell ref="B7:J7"/>
    <mergeCell ref="B8:B9"/>
    <mergeCell ref="C8:F9"/>
    <mergeCell ref="I8:J8"/>
    <mergeCell ref="I9:J9"/>
    <mergeCell ref="B10:B11"/>
    <mergeCell ref="C10:F11"/>
    <mergeCell ref="I11:J11"/>
    <mergeCell ref="D12:F12"/>
    <mergeCell ref="I12:J12"/>
    <mergeCell ref="B14:J14"/>
    <mergeCell ref="C16:F16"/>
    <mergeCell ref="B17:B34"/>
    <mergeCell ref="C17:F17"/>
    <mergeCell ref="C18:F18"/>
    <mergeCell ref="C19:F19"/>
    <mergeCell ref="C20:F20"/>
    <mergeCell ref="C21:F21"/>
    <mergeCell ref="C22:F22"/>
    <mergeCell ref="C23:F23"/>
    <mergeCell ref="C24:F24"/>
    <mergeCell ref="C25:F25"/>
    <mergeCell ref="C26:F26"/>
    <mergeCell ref="C27:F27"/>
    <mergeCell ref="C28:F28"/>
    <mergeCell ref="C29:F29"/>
    <mergeCell ref="G38:J38"/>
    <mergeCell ref="B50:J52"/>
    <mergeCell ref="C30:F30"/>
    <mergeCell ref="C31:F31"/>
    <mergeCell ref="C32:F32"/>
    <mergeCell ref="C33:F33"/>
    <mergeCell ref="C34:F34"/>
  </mergeCells>
  <printOptions horizontalCentered="1"/>
  <pageMargins left="0" right="0" top="0.196527777777778" bottom="0.196527777777778" header="0.511811023622047" footer="0.511811023622047"/>
  <pageSetup paperSize="9" scale="9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TotalTime>71</TotalTime>
  <Application>Microsoft Excel</Application>
  <DocSecurity>0</DocSecurity>
  <ScaleCrop>false</ScaleCrop>
  <HeadingPairs>
    <vt:vector size="4" baseType="variant">
      <vt:variant>
        <vt:lpstr>Çalışma Sayfaları</vt:lpstr>
      </vt:variant>
      <vt:variant>
        <vt:i4>14</vt:i4>
      </vt:variant>
      <vt:variant>
        <vt:lpstr>Adlandırılmış Aralıklar</vt:lpstr>
      </vt:variant>
      <vt:variant>
        <vt:i4>12</vt:i4>
      </vt:variant>
    </vt:vector>
  </HeadingPairs>
  <TitlesOfParts>
    <vt:vector size="26" baseType="lpstr">
      <vt:lpstr>Parametre Sayfası</vt:lpstr>
      <vt:lpstr>Bilgi Giriş Sayfası</vt:lpstr>
      <vt:lpstr>Teklif</vt:lpstr>
      <vt:lpstr>Quote English Arabic</vt:lpstr>
      <vt:lpstr>Quote English</vt:lpstr>
      <vt:lpstr>Teklif USD</vt:lpstr>
      <vt:lpstr>Proforma TL</vt:lpstr>
      <vt:lpstr>Proforma Türkçe USD</vt:lpstr>
      <vt:lpstr>Proforma USD</vt:lpstr>
      <vt:lpstr>Proforma EURO</vt:lpstr>
      <vt:lpstr>Proforma (ingilizce-euro)</vt:lpstr>
      <vt:lpstr>Proforma (ingilizce-usd)</vt:lpstr>
      <vt:lpstr>Sözleşme</vt:lpstr>
      <vt:lpstr>Teklifler</vt:lpstr>
      <vt:lpstr>Red_Line</vt:lpstr>
      <vt:lpstr>'Proforma (ingilizce-euro)'!Yazdırma_Alanı</vt:lpstr>
      <vt:lpstr>'Proforma (ingilizce-usd)'!Yazdırma_Alanı</vt:lpstr>
      <vt:lpstr>'Proforma EURO'!Yazdırma_Alanı</vt:lpstr>
      <vt:lpstr>'Proforma TL'!Yazdırma_Alanı</vt:lpstr>
      <vt:lpstr>'Proforma Türkçe USD'!Yazdırma_Alanı</vt:lpstr>
      <vt:lpstr>'Proforma USD'!Yazdırma_Alanı</vt:lpstr>
      <vt:lpstr>'Quote English'!Yazdırma_Alanı</vt:lpstr>
      <vt:lpstr>'Quote English Arabic'!Yazdırma_Alanı</vt:lpstr>
      <vt:lpstr>Sözleşme!Yazdırma_Alanı</vt:lpstr>
      <vt:lpstr>Teklif!Yazdırma_Alanı</vt:lpstr>
      <vt:lpstr>'Teklif USD'!Yazdırma_Alanı</vt:lpstr>
    </vt:vector>
  </TitlesOfParts>
  <Company>MoTuN TNCTR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Progressive</dc:creator>
  <dc:description/>
  <cp:lastModifiedBy>ronaldinho424</cp:lastModifiedBy>
  <cp:revision>5</cp:revision>
  <cp:lastPrinted>2021-10-01T08:04:41Z</cp:lastPrinted>
  <dcterms:created xsi:type="dcterms:W3CDTF">2016-01-03T11:43:24Z</dcterms:created>
  <dcterms:modified xsi:type="dcterms:W3CDTF">2022-01-26T14:20:26Z</dcterms:modified>
  <dc:language>tr-TR</dc:language>
</cp:coreProperties>
</file>