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b114499ef3b6e5/MUNKA/PAPERS/rat normal value/"/>
    </mc:Choice>
  </mc:AlternateContent>
  <xr:revisionPtr revIDLastSave="1336" documentId="8_{22664CA7-A27F-4A2C-9F65-A87905C1C7BB}" xr6:coauthVersionLast="47" xr6:coauthVersionMax="47" xr10:uidLastSave="{7E5E1BE0-62FC-4733-8DEE-D9AFD873685E}"/>
  <workbookProtection workbookAlgorithmName="SHA-512" workbookHashValue="UP3TvAn2jXexg0i1w73YpjIv4hhVnVJWcmkAHKfNNNdM8sb2QeUj8Eq5mYqWW4A+tFGtButUkEQfDxSXtRpoyA==" workbookSaltValue="Qr+ZIDnzq/YceOVsdhSZWw==" workbookSpinCount="100000" lockStructure="1"/>
  <bookViews>
    <workbookView xWindow="1029" yWindow="-103" windowWidth="24788" windowHeight="17349" xr2:uid="{F9A8D150-E143-4C46-8CF1-3AF27E166EA9}"/>
  </bookViews>
  <sheets>
    <sheet name="Calculator" sheetId="2" r:id="rId1"/>
    <sheet name="Raw" sheetId="9" r:id="rId2"/>
    <sheet name="G" sheetId="10" r:id="rId3"/>
    <sheet name="H" sheetId="11" r:id="rId4"/>
    <sheet name="EELV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F13" i="2"/>
  <c r="H13" i="2" s="1"/>
  <c r="F12" i="2"/>
  <c r="H12" i="2" s="1"/>
  <c r="F11" i="2"/>
  <c r="H11" i="2" s="1"/>
  <c r="F10" i="2"/>
  <c r="L10" i="2" s="1"/>
  <c r="G10" i="2"/>
  <c r="G12" i="2"/>
  <c r="G11" i="2"/>
  <c r="L13" i="2" l="1"/>
  <c r="K10" i="2"/>
  <c r="L12" i="2"/>
  <c r="K12" i="2"/>
  <c r="K13" i="2"/>
  <c r="K11" i="2"/>
  <c r="L11" i="2"/>
  <c r="I13" i="2"/>
  <c r="J13" i="2" s="1"/>
  <c r="I10" i="2"/>
  <c r="J10" i="2" s="1"/>
  <c r="H10" i="2"/>
  <c r="I12" i="2"/>
  <c r="J12" i="2" s="1"/>
  <c r="I11" i="2"/>
  <c r="J11" i="2" s="1"/>
</calcChain>
</file>

<file path=xl/sharedStrings.xml><?xml version="1.0" encoding="utf-8"?>
<sst xmlns="http://schemas.openxmlformats.org/spreadsheetml/2006/main" count="129" uniqueCount="44">
  <si>
    <t>Mu</t>
  </si>
  <si>
    <t>Sigma</t>
  </si>
  <si>
    <t>Strain</t>
  </si>
  <si>
    <t>Sex</t>
  </si>
  <si>
    <t>PEEP0</t>
  </si>
  <si>
    <t>PEEP1</t>
  </si>
  <si>
    <t>PEEP2</t>
  </si>
  <si>
    <t>PEEP3</t>
  </si>
  <si>
    <t>PEEP4</t>
  </si>
  <si>
    <t>PEEP6</t>
  </si>
  <si>
    <t>Raw</t>
  </si>
  <si>
    <t>G</t>
  </si>
  <si>
    <t>H</t>
  </si>
  <si>
    <t>EELV</t>
  </si>
  <si>
    <t>Mass (g)</t>
  </si>
  <si>
    <t>z-score</t>
  </si>
  <si>
    <t>Measured values</t>
  </si>
  <si>
    <t>Condition</t>
  </si>
  <si>
    <t>Percentile</t>
  </si>
  <si>
    <t>LLN (5%)</t>
  </si>
  <si>
    <t>ULN (95%)</t>
  </si>
  <si>
    <t>Male</t>
  </si>
  <si>
    <t>Coefficients</t>
  </si>
  <si>
    <t>a0 (intercept)</t>
  </si>
  <si>
    <t>a1 (sqrt(mass [g]))</t>
  </si>
  <si>
    <t>a2 (strain=Wistar)</t>
  </si>
  <si>
    <t>a3 (sex=male)</t>
  </si>
  <si>
    <t>b0 (intercept)</t>
  </si>
  <si>
    <t>b1 (mass [g])</t>
  </si>
  <si>
    <t>---</t>
  </si>
  <si>
    <t>b2 (strain = Wistar)</t>
  </si>
  <si>
    <t>b3 (sex = male)</t>
  </si>
  <si>
    <t>Predicted value</t>
  </si>
  <si>
    <t>Wistar</t>
  </si>
  <si>
    <t>REFERENCE EQUATIONS FOR RESPIRATORY MECHANICS AND END-EXPIRATORY LUNG VOLUME IN RATS (REFORM)
Lung mechanics and volume prediction sheet</t>
  </si>
  <si>
    <t>EELV [ml]</t>
  </si>
  <si>
    <r>
      <t>Raw [cmH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O∙s/l]</t>
    </r>
  </si>
  <si>
    <r>
      <t>cmH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charset val="238"/>
        <scheme val="minor"/>
      </rPr>
      <t>O.s/l</t>
    </r>
  </si>
  <si>
    <r>
      <t>cmH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charset val="238"/>
        <scheme val="minor"/>
      </rPr>
      <t>O/l</t>
    </r>
  </si>
  <si>
    <t>ml</t>
  </si>
  <si>
    <r>
      <t>PEEP (cmH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</si>
  <si>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t>To prevent extrapolation beyond observed data, the calculator restricts mass inputs to ranges actually observed for each strain-sex combination: Sprague-Dawley males (160-750g), Sprague-Dawley females (160-380g), Wistar males (160-540g), Wistar females (160-370g).
Further sheets contain the same coefficients as Table 3 of the original publication.</t>
  </si>
  <si>
    <r>
      <t>G [cmH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O/l]</t>
    </r>
  </si>
  <si>
    <r>
      <t>H [cmH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O/l]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</si>
</sst>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000"/>
    <numFmt numFmtId="167" formatCode="0.00000"/>
  </numFmts>
  <fonts count="10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3F3F76"/>
      <name val="Calibri"/>
      <family val="2"/>
    </font>
    <font>
      <sz val="11"/>
      <color theme="1"/>
      <name val="Calibri"/>
      <family val="2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vertAlign val="sub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4" fillId="2" borderId="1" applyNumberFormat="0" applyAlignment="0" applyProtection="0"/>
    <xf numFmtId="0" fontId="5" fillId="0" borderId="0"/>
    <xf numFmtId="0" fontId="3" fillId="0" borderId="0"/>
    <xf numFmtId="9" fontId="7" fillId="0" borderId="0" applyFont="0" applyFill="0" applyBorder="0" applyAlignment="0" applyProtection="0"/>
  </cellStyleXfs>
  <cellXfs count="72">
    <xf numFmtId="0" fontId="0" fillId="0" borderId="0" xfId="0"/>
    <xf numFmtId="0" fontId="1" fillId="3" borderId="5" xfId="0" applyFont="1" applyFill="1" applyBorder="1"/>
    <xf numFmtId="0" fontId="1" fillId="3" borderId="3" xfId="0" applyFont="1" applyFill="1" applyBorder="1"/>
    <xf numFmtId="11" fontId="1" fillId="3" borderId="9" xfId="0" applyNumberFormat="1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3" xfId="0" applyFont="1" applyBorder="1"/>
    <xf numFmtId="167" fontId="2" fillId="0" borderId="31" xfId="0" applyNumberFormat="1" applyFont="1" applyBorder="1" applyAlignment="1">
      <alignment horizontal="right"/>
    </xf>
    <xf numFmtId="0" fontId="1" fillId="0" borderId="29" xfId="0" applyFont="1" applyBorder="1"/>
    <xf numFmtId="167" fontId="2" fillId="0" borderId="28" xfId="0" applyNumberFormat="1" applyFont="1" applyBorder="1" applyAlignment="1">
      <alignment horizontal="right"/>
    </xf>
    <xf numFmtId="0" fontId="1" fillId="0" borderId="30" xfId="0" applyFont="1" applyBorder="1"/>
    <xf numFmtId="167" fontId="2" fillId="0" borderId="21" xfId="0" applyNumberFormat="1" applyFont="1" applyBorder="1" applyAlignment="1">
      <alignment horizontal="right"/>
    </xf>
    <xf numFmtId="0" fontId="1" fillId="3" borderId="3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167" fontId="2" fillId="0" borderId="28" xfId="0" applyNumberFormat="1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2" fontId="2" fillId="3" borderId="4" xfId="0" applyNumberFormat="1" applyFont="1" applyFill="1" applyBorder="1" applyAlignment="1" applyProtection="1">
      <alignment horizontal="center"/>
      <protection locked="0"/>
    </xf>
    <xf numFmtId="164" fontId="2" fillId="0" borderId="3" xfId="0" applyNumberFormat="1" applyFont="1" applyBorder="1" applyAlignment="1" applyProtection="1">
      <alignment horizontal="center" vertical="center"/>
      <protection hidden="1"/>
    </xf>
    <xf numFmtId="164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165" fontId="0" fillId="0" borderId="16" xfId="0" applyNumberFormat="1" applyBorder="1" applyAlignment="1" applyProtection="1">
      <alignment horizontal="center" vertical="center"/>
      <protection hidden="1"/>
    </xf>
    <xf numFmtId="9" fontId="0" fillId="0" borderId="16" xfId="5" applyFont="1" applyBorder="1" applyAlignment="1" applyProtection="1">
      <alignment horizontal="center" vertical="center"/>
      <protection hidden="1"/>
    </xf>
    <xf numFmtId="2" fontId="0" fillId="0" borderId="16" xfId="0" applyNumberFormat="1" applyBorder="1" applyAlignment="1" applyProtection="1">
      <alignment horizontal="center" vertical="center"/>
      <protection hidden="1"/>
    </xf>
    <xf numFmtId="2" fontId="0" fillId="0" borderId="4" xfId="0" applyNumberFormat="1" applyBorder="1" applyAlignment="1" applyProtection="1">
      <alignment horizontal="center" vertical="center"/>
      <protection hidden="1"/>
    </xf>
    <xf numFmtId="164" fontId="2" fillId="0" borderId="5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165" fontId="0" fillId="0" borderId="2" xfId="0" applyNumberFormat="1" applyBorder="1" applyAlignment="1" applyProtection="1">
      <alignment horizontal="center" vertical="center"/>
      <protection hidden="1"/>
    </xf>
    <xf numFmtId="9" fontId="0" fillId="0" borderId="2" xfId="5" applyFont="1" applyBorder="1" applyAlignment="1" applyProtection="1">
      <alignment horizontal="center" vertical="center"/>
      <protection hidden="1"/>
    </xf>
    <xf numFmtId="2" fontId="0" fillId="0" borderId="2" xfId="0" applyNumberFormat="1" applyBorder="1" applyAlignment="1" applyProtection="1">
      <alignment horizontal="center" vertical="center"/>
      <protection hidden="1"/>
    </xf>
    <xf numFmtId="2" fontId="0" fillId="0" borderId="6" xfId="0" applyNumberFormat="1" applyBorder="1" applyAlignment="1" applyProtection="1">
      <alignment horizontal="center" vertical="center"/>
      <protection hidden="1"/>
    </xf>
    <xf numFmtId="164" fontId="2" fillId="0" borderId="2" xfId="0" applyNumberFormat="1" applyFont="1" applyBorder="1" applyAlignment="1" applyProtection="1">
      <alignment horizontal="center" vertical="center"/>
      <protection hidden="1"/>
    </xf>
    <xf numFmtId="164" fontId="2" fillId="0" borderId="9" xfId="0" applyNumberFormat="1" applyFont="1" applyBorder="1" applyAlignment="1" applyProtection="1">
      <alignment horizontal="center" vertical="center"/>
      <protection hidden="1"/>
    </xf>
    <xf numFmtId="164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165" fontId="0" fillId="0" borderId="11" xfId="0" applyNumberFormat="1" applyBorder="1" applyAlignment="1" applyProtection="1">
      <alignment horizontal="center" vertical="center"/>
      <protection hidden="1"/>
    </xf>
    <xf numFmtId="9" fontId="0" fillId="0" borderId="11" xfId="5" applyFont="1" applyBorder="1" applyAlignment="1" applyProtection="1">
      <alignment horizontal="center" vertical="center"/>
      <protection hidden="1"/>
    </xf>
    <xf numFmtId="2" fontId="0" fillId="0" borderId="11" xfId="0" applyNumberFormat="1" applyBorder="1" applyAlignment="1" applyProtection="1">
      <alignment horizontal="center" vertical="center"/>
      <protection hidden="1"/>
    </xf>
    <xf numFmtId="2" fontId="0" fillId="0" borderId="10" xfId="0" applyNumberFormat="1" applyBorder="1" applyAlignment="1" applyProtection="1">
      <alignment horizontal="center" vertical="center"/>
      <protection hidden="1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wrapText="1"/>
    </xf>
    <xf numFmtId="0" fontId="1" fillId="0" borderId="3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</cellXfs>
  <cellStyles count="6">
    <cellStyle name="Input 2" xfId="2" xr:uid="{D42DE94C-6643-4504-9E94-5E8C9A49FAF8}"/>
    <cellStyle name="Normál" xfId="0" builtinId="0"/>
    <cellStyle name="Normal 2" xfId="3" xr:uid="{251A8C2E-9683-4F94-89DD-0FC2E1C7D368}"/>
    <cellStyle name="Normál 2" xfId="1" xr:uid="{DB7E6874-40C4-4294-8DD6-03CF7059C1E3}"/>
    <cellStyle name="Normal_FEF2575 females" xfId="4" xr:uid="{3964CCCB-BA4C-4990-8F96-AA8D305E625C}"/>
    <cellStyle name="Százalék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0D01-DA99-4804-BD18-6BDE9309DE35}">
  <sheetPr>
    <tabColor theme="9" tint="0.79998168889431442"/>
  </sheetPr>
  <dimension ref="A1:R13"/>
  <sheetViews>
    <sheetView tabSelected="1" workbookViewId="0">
      <selection activeCell="F10" sqref="F10"/>
    </sheetView>
  </sheetViews>
  <sheetFormatPr defaultRowHeight="14.6" x14ac:dyDescent="0.4"/>
  <cols>
    <col min="1" max="1" width="16.53515625" bestFit="1" customWidth="1"/>
    <col min="2" max="2" width="16.69140625" bestFit="1" customWidth="1"/>
    <col min="5" max="5" width="10.69140625" customWidth="1"/>
    <col min="6" max="6" width="13.3046875" customWidth="1"/>
    <col min="7" max="7" width="10.69140625" customWidth="1"/>
    <col min="8" max="8" width="12.3828125" customWidth="1"/>
    <col min="9" max="10" width="10.69140625" customWidth="1"/>
    <col min="11" max="12" width="8.3046875" customWidth="1"/>
    <col min="18" max="18" width="13.3046875" bestFit="1" customWidth="1"/>
  </cols>
  <sheetData>
    <row r="1" spans="1:18" ht="33" customHeight="1" thickBot="1" x14ac:dyDescent="0.45">
      <c r="A1" s="60" t="s">
        <v>34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</row>
    <row r="2" spans="1:18" ht="15" thickBot="1" x14ac:dyDescent="0.45">
      <c r="A2" s="8"/>
    </row>
    <row r="3" spans="1:18" ht="16.3" thickBot="1" x14ac:dyDescent="0.45">
      <c r="A3" s="56" t="s">
        <v>17</v>
      </c>
      <c r="B3" s="57"/>
    </row>
    <row r="4" spans="1:18" ht="17.25" customHeight="1" x14ac:dyDescent="0.4">
      <c r="A4" s="2" t="s">
        <v>2</v>
      </c>
      <c r="B4" s="28" t="s">
        <v>33</v>
      </c>
      <c r="D4" s="63" t="s">
        <v>41</v>
      </c>
      <c r="E4" s="64"/>
      <c r="F4" s="64"/>
      <c r="G4" s="64"/>
      <c r="H4" s="64"/>
      <c r="I4" s="64"/>
      <c r="J4" s="64"/>
      <c r="K4" s="64"/>
      <c r="L4" s="65"/>
    </row>
    <row r="5" spans="1:18" ht="17.25" customHeight="1" x14ac:dyDescent="0.4">
      <c r="A5" s="1" t="s">
        <v>3</v>
      </c>
      <c r="B5" s="29" t="s">
        <v>21</v>
      </c>
      <c r="D5" s="66"/>
      <c r="E5" s="67"/>
      <c r="F5" s="67"/>
      <c r="G5" s="67"/>
      <c r="H5" s="67"/>
      <c r="I5" s="67"/>
      <c r="J5" s="67"/>
      <c r="K5" s="67"/>
      <c r="L5" s="68"/>
    </row>
    <row r="6" spans="1:18" ht="17.25" customHeight="1" x14ac:dyDescent="0.4">
      <c r="A6" s="1" t="s">
        <v>14</v>
      </c>
      <c r="B6" s="29">
        <v>170</v>
      </c>
      <c r="D6" s="66"/>
      <c r="E6" s="67"/>
      <c r="F6" s="67"/>
      <c r="G6" s="67"/>
      <c r="H6" s="67"/>
      <c r="I6" s="67"/>
      <c r="J6" s="67"/>
      <c r="K6" s="67"/>
      <c r="L6" s="68"/>
    </row>
    <row r="7" spans="1:18" ht="17.600000000000001" thickBot="1" x14ac:dyDescent="0.6">
      <c r="A7" s="3" t="s">
        <v>40</v>
      </c>
      <c r="B7" s="30" t="s">
        <v>4</v>
      </c>
      <c r="D7" s="69"/>
      <c r="E7" s="70"/>
      <c r="F7" s="70"/>
      <c r="G7" s="70"/>
      <c r="H7" s="70"/>
      <c r="I7" s="70"/>
      <c r="J7" s="70"/>
      <c r="K7" s="70"/>
      <c r="L7" s="71"/>
    </row>
    <row r="8" spans="1:18" ht="15" thickBot="1" x14ac:dyDescent="0.45"/>
    <row r="9" spans="1:18" ht="29.6" thickBot="1" x14ac:dyDescent="0.45">
      <c r="A9" s="58" t="s">
        <v>16</v>
      </c>
      <c r="B9" s="59"/>
      <c r="D9" s="54"/>
      <c r="E9" s="55"/>
      <c r="F9" s="12" t="s">
        <v>0</v>
      </c>
      <c r="G9" s="13" t="s">
        <v>1</v>
      </c>
      <c r="H9" s="13" t="s">
        <v>32</v>
      </c>
      <c r="I9" s="13" t="s">
        <v>15</v>
      </c>
      <c r="J9" s="13" t="s">
        <v>18</v>
      </c>
      <c r="K9" s="13" t="s">
        <v>19</v>
      </c>
      <c r="L9" s="14" t="s">
        <v>20</v>
      </c>
      <c r="M9" s="4"/>
      <c r="N9" s="4"/>
      <c r="O9" s="4"/>
      <c r="P9" s="4"/>
      <c r="Q9" s="4"/>
      <c r="R9" s="4"/>
    </row>
    <row r="10" spans="1:18" ht="17.149999999999999" x14ac:dyDescent="0.4">
      <c r="A10" s="23" t="s">
        <v>36</v>
      </c>
      <c r="B10" s="31">
        <v>41.82</v>
      </c>
      <c r="D10" s="5" t="s">
        <v>10</v>
      </c>
      <c r="E10" s="9" t="s">
        <v>37</v>
      </c>
      <c r="F10" s="32">
        <f>IF(COUNTA($B$4:$B$7)=4,
Raw!$B$2+
SQRT($B$6)*Raw!$B$3+
IF($B$4="Wistar",Raw!$B$4,0)+
IF($B$5="Male",Raw!$B$5,0)+
VLOOKUP($B$7,Raw!$A$6:$B$11,2,FALSE),"")</f>
        <v>4.5871814267164712</v>
      </c>
      <c r="G10" s="33">
        <f>IF(COUNTA($B$4:$B$7)=4,EXP(
Raw!$B$12+
IF($B$4="Wistar",Raw!$B$14,0)+
VLOOKUP($B$7,Raw!$A$16:$B$21,2,FALSE)
),"")</f>
        <v>0.27247184263433089</v>
      </c>
      <c r="H10" s="34">
        <f>IF(F10,EXP(F10),"")</f>
        <v>98.217207262574092</v>
      </c>
      <c r="I10" s="35">
        <f>(LN($B10)-$F10)/$G10</f>
        <v>-3.1335595064104642</v>
      </c>
      <c r="J10" s="36">
        <f>IF(COUNT(I10),_xlfn.NORM.S.DIST(I10,TRUE),"")</f>
        <v>8.6349948583340822E-4</v>
      </c>
      <c r="K10" s="37">
        <f>EXP(_xlfn.NORM.INV(0.05,F10,G10))</f>
        <v>62.740371757855854</v>
      </c>
      <c r="L10" s="38">
        <f>EXP(_xlfn.NORM.INV(0.95,F10,G10))</f>
        <v>153.75458468257423</v>
      </c>
    </row>
    <row r="11" spans="1:18" ht="17.149999999999999" x14ac:dyDescent="0.4">
      <c r="A11" s="24" t="s">
        <v>42</v>
      </c>
      <c r="B11" s="29">
        <v>1705.38</v>
      </c>
      <c r="D11" s="6" t="s">
        <v>11</v>
      </c>
      <c r="E11" s="10" t="s">
        <v>38</v>
      </c>
      <c r="F11" s="39">
        <f>IF(COUNTA($B$4:$B$7)=4,G!$B$2+SQRT($B$6)*G!$B$3+IF($B$4="Wistar",G!$B$4,0)+IF($B$5="Male",G!$B$5,0)+VLOOKUP($B$7,G!$A$6:$B$11,2,FALSE),"")</f>
        <v>7.2024682239125832</v>
      </c>
      <c r="G11" s="40">
        <f>IF(COUNTA($B$4:$B$7)=4,EXP(G!$B$12+IF($B$5="Male",G!$B$15,0)+VLOOKUP($B$7,G!$A$16:$B$21,2,FALSE)),"")</f>
        <v>0.17737130061723314</v>
      </c>
      <c r="H11" s="41">
        <f t="shared" ref="H11:H12" si="0">IF(F11,EXP(F11),"")</f>
        <v>1342.7408627878876</v>
      </c>
      <c r="I11" s="42">
        <f t="shared" ref="I11:I12" si="1">(LN($B11)-$F11)/$G11</f>
        <v>1.3478787946002178</v>
      </c>
      <c r="J11" s="43">
        <f t="shared" ref="J11:J13" si="2">IF(COUNT(I11),_xlfn.NORM.S.DIST(I11,TRUE),"")</f>
        <v>0.91115131526141457</v>
      </c>
      <c r="K11" s="44">
        <f t="shared" ref="K11:K12" si="3">EXP(_xlfn.NORM.INV(0.05,F11,G11))</f>
        <v>1002.9675121658939</v>
      </c>
      <c r="L11" s="45">
        <f t="shared" ref="L11:L12" si="4">EXP(_xlfn.NORM.INV(0.95,F11,G11))</f>
        <v>1797.618569625359</v>
      </c>
    </row>
    <row r="12" spans="1:18" ht="17.149999999999999" x14ac:dyDescent="0.4">
      <c r="A12" s="24" t="s">
        <v>43</v>
      </c>
      <c r="B12" s="29">
        <v>6585.45</v>
      </c>
      <c r="D12" s="6" t="s">
        <v>12</v>
      </c>
      <c r="E12" s="10" t="s">
        <v>38</v>
      </c>
      <c r="F12" s="39">
        <f>IF(COUNTA($B$4:$B$7)=4,H!$B$2+SQRT($B$6)*H!$B$3+IF($B$4="Wistar",H!$B$4,0)+IF($B$5="Male",H!$B$5,0)+VLOOKUP($B$7,H!$A$6:$B$11,2,FALSE),"")</f>
        <v>8.8340746814849318</v>
      </c>
      <c r="G12" s="46">
        <f>IF(COUNTA($B$4:$B$7)=4,EXP(H!$B$12+IF($B$5="Male",H!$B$15,0)+$B$6*H!$B$13),"")</f>
        <v>0.15920905962480839</v>
      </c>
      <c r="H12" s="41">
        <f t="shared" si="0"/>
        <v>6864.1993356311759</v>
      </c>
      <c r="I12" s="42">
        <f t="shared" si="1"/>
        <v>-0.26039179309445504</v>
      </c>
      <c r="J12" s="43">
        <f t="shared" si="2"/>
        <v>0.3972807864175516</v>
      </c>
      <c r="K12" s="44">
        <f t="shared" si="3"/>
        <v>5282.7341933515063</v>
      </c>
      <c r="L12" s="45">
        <f t="shared" si="4"/>
        <v>8919.0996167435515</v>
      </c>
    </row>
    <row r="13" spans="1:18" ht="17.25" customHeight="1" thickBot="1" x14ac:dyDescent="0.45">
      <c r="A13" s="25" t="s">
        <v>35</v>
      </c>
      <c r="B13" s="30">
        <v>2</v>
      </c>
      <c r="D13" s="7" t="s">
        <v>13</v>
      </c>
      <c r="E13" s="11" t="s">
        <v>39</v>
      </c>
      <c r="F13" s="47">
        <f>IF(COUNTA($B$4:$B$7)=4,EELV!$B$2+SQRT($B$6)*EELV!$B$3+IF($B$4="Wistar",EELV!$B$4,0)+IF($B$5="Male",EELV!$B$5,0)+VLOOKUP($B$7,EELV!$A$6:$B$11,2,FALSE),"")</f>
        <v>1.9282354849512524</v>
      </c>
      <c r="G13" s="48">
        <f>IF(COUNTA($B$4:$B$7)=4,EXP(EELV!$B$12+$B$6*EELV!$B$13+IF($B$4="Wistar",EELV!$B$14,0)+IF($B$5="Male",EELV!$B$15,0)+VLOOKUP($B$7,EELV!$A$16:$B$21,2,FALSE)),"")</f>
        <v>0.48355065609035219</v>
      </c>
      <c r="H13" s="49">
        <f>IF(F13,F13,"")</f>
        <v>1.9282354849512524</v>
      </c>
      <c r="I13" s="50">
        <f>($B13-$F13)/$G13</f>
        <v>0.14841157621206552</v>
      </c>
      <c r="J13" s="51">
        <f t="shared" si="2"/>
        <v>0.55899101762677483</v>
      </c>
      <c r="K13" s="52">
        <f>(_xlfn.NORM.INV(0.05,F13,G13))</f>
        <v>1.1328654344662725</v>
      </c>
      <c r="L13" s="53">
        <f>(_xlfn.NORM.INV(0.95,F13,G13))</f>
        <v>2.7236055354362319</v>
      </c>
    </row>
  </sheetData>
  <sheetProtection algorithmName="SHA-512" hashValue="SooJ/EMxHb1w4PfXbbn0WpQ3hklDDQ+172chTLyB2gNzCpCWpUCMudk2UqvOsC6RFOK8CddmpQKuYL32SM+n2Q==" saltValue="GD9ICAjiK08GA//ZYy6/tQ==" spinCount="100000" sheet="1" objects="1" scenarios="1"/>
  <mergeCells count="5">
    <mergeCell ref="D9:E9"/>
    <mergeCell ref="A3:B3"/>
    <mergeCell ref="A9:B9"/>
    <mergeCell ref="A1:L1"/>
    <mergeCell ref="D4:L7"/>
  </mergeCells>
  <dataValidations disablePrompts="1" count="5">
    <dataValidation type="list" allowBlank="1" showInputMessage="1" showErrorMessage="1" sqref="B7" xr:uid="{3044700D-98D7-4C31-B781-D326775AEBA9}">
      <formula1>"PEEP0,PEEP1,PEEP2,PEEP3,PEEP4,PEEP6"</formula1>
    </dataValidation>
    <dataValidation type="list" allowBlank="1" showInputMessage="1" showErrorMessage="1" sqref="B5" xr:uid="{9AAF3BBB-3A18-4EBA-AA23-C56001D72EE9}">
      <formula1>"Female,Male"</formula1>
    </dataValidation>
    <dataValidation type="list" allowBlank="1" showInputMessage="1" showErrorMessage="1" sqref="B4" xr:uid="{E922B614-4443-41A5-9B76-1418F69F61F6}">
      <formula1>"Sprague-Dawley,Wistar"</formula1>
    </dataValidation>
    <dataValidation type="custom" allowBlank="1" showInputMessage="1" showErrorMessage="1" error="Data outside of prediction ranges._x000a_SPRD Males: 150-750 g_x000a_SPRD Females: 150-450 g_x000a_Wistar Males: 150-550 g_x000a_Wistar Females: 150-450 g" sqref="B6" xr:uid="{2A26A2A1-F29E-4D72-BEA9-1762599B2693}">
      <formula1>IF(AND(B4="Sprague-Dawley", B5="Male"), AND(B6&gt;=160, B6&lt;=750),    IF(AND(B4="Sprague-Dawley", B5="Female"), AND(B6&gt;=160, B6&lt;=380),       IF(AND(B4="Wistar", B5="Male"), AND(B6&gt;=160, B6&lt;=540),          AND(B6&gt;=160, B6&lt;=370))))</formula1>
    </dataValidation>
    <dataValidation type="decimal" operator="greaterThanOrEqual" allowBlank="1" showInputMessage="1" showErrorMessage="1" sqref="B10:B13" xr:uid="{829E49BE-A660-4434-A65B-3F16E391E513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3997-1727-4CA5-8057-715D6A514D8F}">
  <dimension ref="A1:B21"/>
  <sheetViews>
    <sheetView workbookViewId="0">
      <selection activeCell="B1" sqref="B1"/>
    </sheetView>
  </sheetViews>
  <sheetFormatPr defaultRowHeight="14.6" x14ac:dyDescent="0.4"/>
  <cols>
    <col min="1" max="1" width="19.84375" bestFit="1" customWidth="1"/>
    <col min="2" max="2" width="20.15234375" customWidth="1"/>
  </cols>
  <sheetData>
    <row r="1" spans="1:2" ht="17.600000000000001" thickBot="1" x14ac:dyDescent="0.45">
      <c r="A1" s="15" t="s">
        <v>22</v>
      </c>
      <c r="B1" s="16" t="s">
        <v>36</v>
      </c>
    </row>
    <row r="2" spans="1:2" x14ac:dyDescent="0.4">
      <c r="A2" s="17" t="s">
        <v>23</v>
      </c>
      <c r="B2" s="18">
        <v>5.3639999999999999</v>
      </c>
    </row>
    <row r="3" spans="1:2" x14ac:dyDescent="0.4">
      <c r="A3" s="19" t="s">
        <v>24</v>
      </c>
      <c r="B3" s="20">
        <v>-7.2609999999999994E-2</v>
      </c>
    </row>
    <row r="4" spans="1:2" x14ac:dyDescent="0.4">
      <c r="A4" s="19" t="s">
        <v>25</v>
      </c>
      <c r="B4" s="20">
        <v>-7.2270000000000001E-2</v>
      </c>
    </row>
    <row r="5" spans="1:2" x14ac:dyDescent="0.4">
      <c r="A5" s="19" t="s">
        <v>26</v>
      </c>
      <c r="B5" s="20">
        <v>0.24217</v>
      </c>
    </row>
    <row r="6" spans="1:2" x14ac:dyDescent="0.4">
      <c r="A6" s="19" t="s">
        <v>4</v>
      </c>
      <c r="B6" s="20">
        <v>0</v>
      </c>
    </row>
    <row r="7" spans="1:2" x14ac:dyDescent="0.4">
      <c r="A7" s="19" t="s">
        <v>5</v>
      </c>
      <c r="B7" s="20">
        <v>-0.20376</v>
      </c>
    </row>
    <row r="8" spans="1:2" x14ac:dyDescent="0.4">
      <c r="A8" s="19" t="s">
        <v>6</v>
      </c>
      <c r="B8" s="20">
        <v>-0.36403000000000002</v>
      </c>
    </row>
    <row r="9" spans="1:2" x14ac:dyDescent="0.4">
      <c r="A9" s="19" t="s">
        <v>7</v>
      </c>
      <c r="B9" s="20">
        <v>-0.51258999999999999</v>
      </c>
    </row>
    <row r="10" spans="1:2" x14ac:dyDescent="0.4">
      <c r="A10" s="19" t="s">
        <v>8</v>
      </c>
      <c r="B10" s="20">
        <v>-0.65403</v>
      </c>
    </row>
    <row r="11" spans="1:2" ht="15" thickBot="1" x14ac:dyDescent="0.45">
      <c r="A11" s="21" t="s">
        <v>9</v>
      </c>
      <c r="B11" s="22">
        <v>-0.96526999999999996</v>
      </c>
    </row>
    <row r="12" spans="1:2" x14ac:dyDescent="0.4">
      <c r="A12" s="17" t="s">
        <v>27</v>
      </c>
      <c r="B12" s="18">
        <v>-1.17594</v>
      </c>
    </row>
    <row r="13" spans="1:2" x14ac:dyDescent="0.4">
      <c r="A13" s="19" t="s">
        <v>28</v>
      </c>
      <c r="B13" s="26" t="s">
        <v>29</v>
      </c>
    </row>
    <row r="14" spans="1:2" x14ac:dyDescent="0.4">
      <c r="A14" s="19" t="s">
        <v>30</v>
      </c>
      <c r="B14" s="20">
        <v>-0.12428</v>
      </c>
    </row>
    <row r="15" spans="1:2" x14ac:dyDescent="0.4">
      <c r="A15" s="19" t="s">
        <v>31</v>
      </c>
      <c r="B15" s="26" t="s">
        <v>29</v>
      </c>
    </row>
    <row r="16" spans="1:2" x14ac:dyDescent="0.4">
      <c r="A16" s="19" t="s">
        <v>4</v>
      </c>
      <c r="B16" s="20">
        <v>0</v>
      </c>
    </row>
    <row r="17" spans="1:2" x14ac:dyDescent="0.4">
      <c r="A17" s="19" t="s">
        <v>5</v>
      </c>
      <c r="B17" s="20">
        <v>-0.19736000000000001</v>
      </c>
    </row>
    <row r="18" spans="1:2" x14ac:dyDescent="0.4">
      <c r="A18" s="19" t="s">
        <v>6</v>
      </c>
      <c r="B18" s="20">
        <v>-0.21221000000000001</v>
      </c>
    </row>
    <row r="19" spans="1:2" x14ac:dyDescent="0.4">
      <c r="A19" s="19" t="s">
        <v>7</v>
      </c>
      <c r="B19" s="20">
        <v>-0.16228999999999999</v>
      </c>
    </row>
    <row r="20" spans="1:2" x14ac:dyDescent="0.4">
      <c r="A20" s="19" t="s">
        <v>8</v>
      </c>
      <c r="B20" s="20">
        <v>-5.2260000000000001E-2</v>
      </c>
    </row>
    <row r="21" spans="1:2" ht="15" thickBot="1" x14ac:dyDescent="0.45">
      <c r="A21" s="21" t="s">
        <v>9</v>
      </c>
      <c r="B21" s="22">
        <v>6.3009999999999997E-2</v>
      </c>
    </row>
  </sheetData>
  <sheetProtection algorithmName="SHA-512" hashValue="uvwHFbeeI8YT/H7CZMcoDqR4n8SzB8IxtFAVJIcizC5ZKAvURAWwIpFdlJ1dFEQnhigLAYiwp7l88g7hBbWkGg==" saltValue="laGQw3cDvyp/kUDc5/ypR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D94B-22C2-4848-A8B2-C47F63DB34EE}">
  <dimension ref="A1:B21"/>
  <sheetViews>
    <sheetView workbookViewId="0">
      <selection activeCell="B2" sqref="B2"/>
    </sheetView>
  </sheetViews>
  <sheetFormatPr defaultRowHeight="14.6" x14ac:dyDescent="0.4"/>
  <cols>
    <col min="1" max="1" width="19.84375" bestFit="1" customWidth="1"/>
    <col min="2" max="2" width="20.15234375" customWidth="1"/>
  </cols>
  <sheetData>
    <row r="1" spans="1:2" ht="17.600000000000001" thickBot="1" x14ac:dyDescent="0.45">
      <c r="A1" s="15" t="s">
        <v>22</v>
      </c>
      <c r="B1" s="16" t="s">
        <v>42</v>
      </c>
    </row>
    <row r="2" spans="1:2" x14ac:dyDescent="0.4">
      <c r="A2" s="17" t="s">
        <v>23</v>
      </c>
      <c r="B2" s="18">
        <v>7.8759430000000004</v>
      </c>
    </row>
    <row r="3" spans="1:2" x14ac:dyDescent="0.4">
      <c r="A3" s="19" t="s">
        <v>24</v>
      </c>
      <c r="B3" s="20">
        <v>-6.0220999999999997E-2</v>
      </c>
    </row>
    <row r="4" spans="1:2" x14ac:dyDescent="0.4">
      <c r="A4" s="19" t="s">
        <v>25</v>
      </c>
      <c r="B4" s="20">
        <v>-5.7167000000000003E-2</v>
      </c>
    </row>
    <row r="5" spans="1:2" x14ac:dyDescent="0.4">
      <c r="A5" s="19" t="s">
        <v>26</v>
      </c>
      <c r="B5" s="20">
        <v>0.168878</v>
      </c>
    </row>
    <row r="6" spans="1:2" x14ac:dyDescent="0.4">
      <c r="A6" s="19" t="s">
        <v>4</v>
      </c>
      <c r="B6" s="20">
        <v>0</v>
      </c>
    </row>
    <row r="7" spans="1:2" x14ac:dyDescent="0.4">
      <c r="A7" s="19" t="s">
        <v>5</v>
      </c>
      <c r="B7" s="20">
        <v>-0.17255100000000001</v>
      </c>
    </row>
    <row r="8" spans="1:2" x14ac:dyDescent="0.4">
      <c r="A8" s="19" t="s">
        <v>6</v>
      </c>
      <c r="B8" s="20">
        <v>-0.27961900000000001</v>
      </c>
    </row>
    <row r="9" spans="1:2" x14ac:dyDescent="0.4">
      <c r="A9" s="19" t="s">
        <v>7</v>
      </c>
      <c r="B9" s="20">
        <v>-0.36855599999999999</v>
      </c>
    </row>
    <row r="10" spans="1:2" x14ac:dyDescent="0.4">
      <c r="A10" s="19" t="s">
        <v>8</v>
      </c>
      <c r="B10" s="20">
        <v>-0.45209199999999999</v>
      </c>
    </row>
    <row r="11" spans="1:2" ht="15" thickBot="1" x14ac:dyDescent="0.45">
      <c r="A11" s="21" t="s">
        <v>9</v>
      </c>
      <c r="B11" s="22">
        <v>-0.53716299999999995</v>
      </c>
    </row>
    <row r="12" spans="1:2" x14ac:dyDescent="0.4">
      <c r="A12" s="17" t="s">
        <v>27</v>
      </c>
      <c r="B12" s="18">
        <v>-1.85751</v>
      </c>
    </row>
    <row r="13" spans="1:2" x14ac:dyDescent="0.4">
      <c r="A13" s="19" t="s">
        <v>28</v>
      </c>
      <c r="B13" s="26" t="s">
        <v>29</v>
      </c>
    </row>
    <row r="14" spans="1:2" x14ac:dyDescent="0.4">
      <c r="A14" s="19" t="s">
        <v>30</v>
      </c>
      <c r="B14" s="26" t="s">
        <v>29</v>
      </c>
    </row>
    <row r="15" spans="1:2" x14ac:dyDescent="0.4">
      <c r="A15" s="19" t="s">
        <v>31</v>
      </c>
      <c r="B15" s="20">
        <v>0.128</v>
      </c>
    </row>
    <row r="16" spans="1:2" x14ac:dyDescent="0.4">
      <c r="A16" s="19" t="s">
        <v>4</v>
      </c>
      <c r="B16" s="20">
        <v>0</v>
      </c>
    </row>
    <row r="17" spans="1:2" x14ac:dyDescent="0.4">
      <c r="A17" s="19" t="s">
        <v>5</v>
      </c>
      <c r="B17" s="20">
        <v>-0.25485999999999998</v>
      </c>
    </row>
    <row r="18" spans="1:2" x14ac:dyDescent="0.4">
      <c r="A18" s="19" t="s">
        <v>6</v>
      </c>
      <c r="B18" s="20">
        <v>-0.29299999999999998</v>
      </c>
    </row>
    <row r="19" spans="1:2" x14ac:dyDescent="0.4">
      <c r="A19" s="19" t="s">
        <v>7</v>
      </c>
      <c r="B19" s="20">
        <v>-0.23963999999999999</v>
      </c>
    </row>
    <row r="20" spans="1:2" x14ac:dyDescent="0.4">
      <c r="A20" s="19" t="s">
        <v>8</v>
      </c>
      <c r="B20" s="20">
        <v>-0.26472000000000001</v>
      </c>
    </row>
    <row r="21" spans="1:2" ht="15" thickBot="1" x14ac:dyDescent="0.45">
      <c r="A21" s="21" t="s">
        <v>9</v>
      </c>
      <c r="B21" s="22">
        <v>-0.32089000000000001</v>
      </c>
    </row>
  </sheetData>
  <sheetProtection algorithmName="SHA-512" hashValue="C27D2dvkmjmfgwDPB4fVwJWlEbeUC/6bUX/Yd1ajh8pPPHBXcJTJOWvkECmDtjVLj3066AZvk4CQU+dQIYeBOQ==" saltValue="P0RT9f0/rBuBLrC5ByFpJ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EF09-2E35-45CD-BDA8-642B18CC00FE}">
  <dimension ref="A1:B21"/>
  <sheetViews>
    <sheetView workbookViewId="0">
      <selection activeCell="B1" sqref="B1"/>
    </sheetView>
  </sheetViews>
  <sheetFormatPr defaultRowHeight="14.6" x14ac:dyDescent="0.4"/>
  <cols>
    <col min="1" max="1" width="19.84375" bestFit="1" customWidth="1"/>
    <col min="2" max="2" width="20.15234375" customWidth="1"/>
  </cols>
  <sheetData>
    <row r="1" spans="1:2" ht="17.600000000000001" thickBot="1" x14ac:dyDescent="0.45">
      <c r="A1" s="15" t="s">
        <v>22</v>
      </c>
      <c r="B1" s="16" t="s">
        <v>43</v>
      </c>
    </row>
    <row r="2" spans="1:2" x14ac:dyDescent="0.4">
      <c r="A2" s="17" t="s">
        <v>23</v>
      </c>
      <c r="B2" s="18">
        <v>9.9862310000000001</v>
      </c>
    </row>
    <row r="3" spans="1:2" x14ac:dyDescent="0.4">
      <c r="A3" s="19" t="s">
        <v>24</v>
      </c>
      <c r="B3" s="20">
        <v>-9.9474999999999994E-2</v>
      </c>
    </row>
    <row r="4" spans="1:2" x14ac:dyDescent="0.4">
      <c r="A4" s="19" t="s">
        <v>25</v>
      </c>
      <c r="B4" s="20">
        <v>-5.6538999999999999E-2</v>
      </c>
    </row>
    <row r="5" spans="1:2" x14ac:dyDescent="0.4">
      <c r="A5" s="19" t="s">
        <v>26</v>
      </c>
      <c r="B5" s="20">
        <v>0.201378</v>
      </c>
    </row>
    <row r="6" spans="1:2" x14ac:dyDescent="0.4">
      <c r="A6" s="19" t="s">
        <v>4</v>
      </c>
      <c r="B6" s="20">
        <v>0</v>
      </c>
    </row>
    <row r="7" spans="1:2" x14ac:dyDescent="0.4">
      <c r="A7" s="19" t="s">
        <v>5</v>
      </c>
      <c r="B7" s="20">
        <v>-0.20777300000000001</v>
      </c>
    </row>
    <row r="8" spans="1:2" x14ac:dyDescent="0.4">
      <c r="A8" s="19" t="s">
        <v>6</v>
      </c>
      <c r="B8" s="20">
        <v>-0.39298499999999997</v>
      </c>
    </row>
    <row r="9" spans="1:2" x14ac:dyDescent="0.4">
      <c r="A9" s="19" t="s">
        <v>7</v>
      </c>
      <c r="B9" s="20">
        <v>-0.58629100000000001</v>
      </c>
    </row>
    <row r="10" spans="1:2" x14ac:dyDescent="0.4">
      <c r="A10" s="19" t="s">
        <v>8</v>
      </c>
      <c r="B10" s="20">
        <v>-0.76092099999999996</v>
      </c>
    </row>
    <row r="11" spans="1:2" ht="15" thickBot="1" x14ac:dyDescent="0.45">
      <c r="A11" s="21" t="s">
        <v>9</v>
      </c>
      <c r="B11" s="22">
        <v>-0.98447300000000004</v>
      </c>
    </row>
    <row r="12" spans="1:2" x14ac:dyDescent="0.4">
      <c r="A12" s="17" t="s">
        <v>27</v>
      </c>
      <c r="B12" s="18">
        <v>-1.8937060999999999</v>
      </c>
    </row>
    <row r="13" spans="1:2" x14ac:dyDescent="0.4">
      <c r="A13" s="19" t="s">
        <v>28</v>
      </c>
      <c r="B13" s="20">
        <v>7.8229999999999999E-4</v>
      </c>
    </row>
    <row r="14" spans="1:2" x14ac:dyDescent="0.4">
      <c r="A14" s="19" t="s">
        <v>30</v>
      </c>
      <c r="B14" s="26" t="s">
        <v>29</v>
      </c>
    </row>
    <row r="15" spans="1:2" x14ac:dyDescent="0.4">
      <c r="A15" s="19" t="s">
        <v>31</v>
      </c>
      <c r="B15" s="20">
        <v>-7.6822000000000001E-2</v>
      </c>
    </row>
    <row r="16" spans="1:2" x14ac:dyDescent="0.4">
      <c r="A16" s="19" t="s">
        <v>4</v>
      </c>
      <c r="B16" s="26" t="s">
        <v>29</v>
      </c>
    </row>
    <row r="17" spans="1:2" x14ac:dyDescent="0.4">
      <c r="A17" s="19" t="s">
        <v>5</v>
      </c>
      <c r="B17" s="26" t="s">
        <v>29</v>
      </c>
    </row>
    <row r="18" spans="1:2" x14ac:dyDescent="0.4">
      <c r="A18" s="19" t="s">
        <v>6</v>
      </c>
      <c r="B18" s="26" t="s">
        <v>29</v>
      </c>
    </row>
    <row r="19" spans="1:2" x14ac:dyDescent="0.4">
      <c r="A19" s="19" t="s">
        <v>7</v>
      </c>
      <c r="B19" s="26" t="s">
        <v>29</v>
      </c>
    </row>
    <row r="20" spans="1:2" x14ac:dyDescent="0.4">
      <c r="A20" s="19" t="s">
        <v>8</v>
      </c>
      <c r="B20" s="26" t="s">
        <v>29</v>
      </c>
    </row>
    <row r="21" spans="1:2" ht="15" thickBot="1" x14ac:dyDescent="0.45">
      <c r="A21" s="21" t="s">
        <v>9</v>
      </c>
      <c r="B21" s="27" t="s">
        <v>29</v>
      </c>
    </row>
  </sheetData>
  <sheetProtection algorithmName="SHA-512" hashValue="GoXLrCHj6WbPV1nt6bmuO11WfbxkP8PHa2r+NBmaOfpQf63tV7EgWu6ViH616ZT18yKOYY1qx8gWbnPmOoHGQQ==" saltValue="aMgrCS3YP+kPMHpEagMFQ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2DD6-3D2E-4120-BBFE-7B1C48A595B0}">
  <dimension ref="A1:B21"/>
  <sheetViews>
    <sheetView workbookViewId="0">
      <selection activeCell="B1" sqref="B1"/>
    </sheetView>
  </sheetViews>
  <sheetFormatPr defaultRowHeight="14.6" x14ac:dyDescent="0.4"/>
  <cols>
    <col min="1" max="1" width="19.84375" bestFit="1" customWidth="1"/>
    <col min="2" max="2" width="20.15234375" customWidth="1"/>
  </cols>
  <sheetData>
    <row r="1" spans="1:2" ht="15" thickBot="1" x14ac:dyDescent="0.45">
      <c r="A1" s="15" t="s">
        <v>22</v>
      </c>
      <c r="B1" s="16" t="s">
        <v>35</v>
      </c>
    </row>
    <row r="2" spans="1:2" x14ac:dyDescent="0.4">
      <c r="A2" s="17" t="s">
        <v>23</v>
      </c>
      <c r="B2" s="18">
        <v>-5.29284</v>
      </c>
    </row>
    <row r="3" spans="1:2" x14ac:dyDescent="0.4">
      <c r="A3" s="19" t="s">
        <v>24</v>
      </c>
      <c r="B3" s="20">
        <v>0.58809</v>
      </c>
    </row>
    <row r="4" spans="1:2" x14ac:dyDescent="0.4">
      <c r="A4" s="19" t="s">
        <v>25</v>
      </c>
      <c r="B4" s="20">
        <v>-0.16721</v>
      </c>
    </row>
    <row r="5" spans="1:2" x14ac:dyDescent="0.4">
      <c r="A5" s="19" t="s">
        <v>26</v>
      </c>
      <c r="B5" s="20">
        <v>-0.27947</v>
      </c>
    </row>
    <row r="6" spans="1:2" x14ac:dyDescent="0.4">
      <c r="A6" s="19" t="s">
        <v>4</v>
      </c>
      <c r="B6" s="20">
        <v>0</v>
      </c>
    </row>
    <row r="7" spans="1:2" x14ac:dyDescent="0.4">
      <c r="A7" s="19" t="s">
        <v>5</v>
      </c>
      <c r="B7" s="20">
        <v>0.82506000000000002</v>
      </c>
    </row>
    <row r="8" spans="1:2" x14ac:dyDescent="0.4">
      <c r="A8" s="19" t="s">
        <v>6</v>
      </c>
      <c r="B8" s="20">
        <v>1.5753600000000001</v>
      </c>
    </row>
    <row r="9" spans="1:2" x14ac:dyDescent="0.4">
      <c r="A9" s="19" t="s">
        <v>7</v>
      </c>
      <c r="B9" s="20">
        <v>2.4796</v>
      </c>
    </row>
    <row r="10" spans="1:2" x14ac:dyDescent="0.4">
      <c r="A10" s="19" t="s">
        <v>8</v>
      </c>
      <c r="B10" s="20">
        <v>3.4678200000000001</v>
      </c>
    </row>
    <row r="11" spans="1:2" ht="15" thickBot="1" x14ac:dyDescent="0.45">
      <c r="A11" s="21" t="s">
        <v>9</v>
      </c>
      <c r="B11" s="22">
        <v>5.3231999999999999</v>
      </c>
    </row>
    <row r="12" spans="1:2" x14ac:dyDescent="0.4">
      <c r="A12" s="17" t="s">
        <v>27</v>
      </c>
      <c r="B12" s="18">
        <v>-0.87845050000000002</v>
      </c>
    </row>
    <row r="13" spans="1:2" x14ac:dyDescent="0.4">
      <c r="A13" s="19" t="s">
        <v>28</v>
      </c>
      <c r="B13" s="20">
        <v>4.1314999999999998E-3</v>
      </c>
    </row>
    <row r="14" spans="1:2" x14ac:dyDescent="0.4">
      <c r="A14" s="19" t="s">
        <v>30</v>
      </c>
      <c r="B14" s="20">
        <v>-0.1394502</v>
      </c>
    </row>
    <row r="15" spans="1:2" x14ac:dyDescent="0.4">
      <c r="A15" s="19" t="s">
        <v>31</v>
      </c>
      <c r="B15" s="20">
        <v>-0.41105350000000002</v>
      </c>
    </row>
    <row r="16" spans="1:2" x14ac:dyDescent="0.4">
      <c r="A16" s="19" t="s">
        <v>4</v>
      </c>
      <c r="B16" s="20">
        <v>0</v>
      </c>
    </row>
    <row r="17" spans="1:2" x14ac:dyDescent="0.4">
      <c r="A17" s="19" t="s">
        <v>5</v>
      </c>
      <c r="B17" s="20">
        <v>2.2648999999999999E-2</v>
      </c>
    </row>
    <row r="18" spans="1:2" x14ac:dyDescent="0.4">
      <c r="A18" s="19" t="s">
        <v>6</v>
      </c>
      <c r="B18" s="20">
        <v>0.13399</v>
      </c>
    </row>
    <row r="19" spans="1:2" x14ac:dyDescent="0.4">
      <c r="A19" s="19" t="s">
        <v>7</v>
      </c>
      <c r="B19" s="20">
        <v>0.276252</v>
      </c>
    </row>
    <row r="20" spans="1:2" x14ac:dyDescent="0.4">
      <c r="A20" s="19" t="s">
        <v>8</v>
      </c>
      <c r="B20" s="20">
        <v>0.45724500000000001</v>
      </c>
    </row>
    <row r="21" spans="1:2" ht="15" thickBot="1" x14ac:dyDescent="0.45">
      <c r="A21" s="21" t="s">
        <v>9</v>
      </c>
      <c r="B21" s="22">
        <v>0.70147210000000004</v>
      </c>
    </row>
  </sheetData>
  <sheetProtection algorithmName="SHA-512" hashValue="1sIW04MEZgtxSOeEt6gtdK3P8++wUPovy8fHzRcpCgApP39hn/mMeYZzc5qBLwEWw+hSgYlHHPoxDdaRfrEkIQ==" saltValue="mpkgX1ONTAx39Q5Ysezof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Calculator</vt:lpstr>
      <vt:lpstr>Raw</vt:lpstr>
      <vt:lpstr>G</vt:lpstr>
      <vt:lpstr>H</vt:lpstr>
      <vt:lpstr>EELV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Fodor Gergely Dr.</dc:creator>
  <cp:lastModifiedBy>gergely fodor</cp:lastModifiedBy>
  <dcterms:created xsi:type="dcterms:W3CDTF">2025-06-20T09:00:00Z</dcterms:created>
  <dcterms:modified xsi:type="dcterms:W3CDTF">2025-08-28T21:54:34Z</dcterms:modified>
</cp:coreProperties>
</file>