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-PC\Google Drive\Colab Notebooks\Diseno Fundacion\"/>
    </mc:Choice>
  </mc:AlternateContent>
  <xr:revisionPtr revIDLastSave="0" documentId="13_ncr:1_{9F07F012-13BF-40F0-819B-0139E4A08005}" xr6:coauthVersionLast="45" xr6:coauthVersionMax="45" xr10:uidLastSave="{00000000-0000-0000-0000-000000000000}"/>
  <bookViews>
    <workbookView xWindow="3510" yWindow="3510" windowWidth="21600" windowHeight="11385" tabRatio="755" activeTab="5" xr2:uid="{00000000-000D-0000-FFFF-FFFF00000000}"/>
  </bookViews>
  <sheets>
    <sheet name="Datos" sheetId="2" r:id="rId1"/>
    <sheet name="Cálculo de cargas" sheetId="8" r:id="rId2"/>
    <sheet name="Zapata Método X - Y" sheetId="1" r:id="rId3"/>
    <sheet name="Rules" sheetId="13" r:id="rId4"/>
    <sheet name="State" sheetId="11" r:id="rId5"/>
    <sheet name="aux1" sheetId="14" r:id="rId6"/>
    <sheet name="Verifications" sheetId="12" r:id="rId7"/>
    <sheet name="Armaduras y anclajes" sheetId="9" r:id="rId8"/>
    <sheet name="Cálculo de estructura" sheetId="3" r:id="rId9"/>
    <sheet name="MC ESTRUCTURAS" sheetId="10" r:id="rId10"/>
  </sheets>
  <definedNames>
    <definedName name="_xlnm._FilterDatabase" localSheetId="2" hidden="1">'Zapata Método X - Y'!$A$1:$A$216</definedName>
    <definedName name="barras1">Datos!$B$239:$AG$250</definedName>
    <definedName name="barras11">Datos!$B$239:$B$250</definedName>
    <definedName name="barras12">Datos!$B$239:$AG$239</definedName>
    <definedName name="barras2">Datos!$B$254:$X$265</definedName>
    <definedName name="barras21">Datos!$B$254:$B$265</definedName>
    <definedName name="barras22">Datos!$B$254:$X$254</definedName>
    <definedName name="dbarras">Datos!$B$240:$B$250</definedName>
    <definedName name="ebarras">Datos!$D$254:$X$254</definedName>
    <definedName name="nbarras">Datos!$D$239:$AG$239</definedName>
    <definedName name="NOMBRES_PERFILES">Datos!$B$26:$B$220</definedName>
    <definedName name="Nombres_pernos">Datos!$B$229:$B$236</definedName>
    <definedName name="Nombres_suelos">Datos!$B$9:$B$21</definedName>
    <definedName name="PERFILES">Datos!$B$26:$G$220</definedName>
    <definedName name="Pernos">Datos!$B$229:$G$236</definedName>
    <definedName name="Print_Area" localSheetId="7">'Armaduras y anclajes'!$A$2:$P$202</definedName>
    <definedName name="Print_Area" localSheetId="1">'Cálculo de cargas'!$A$1:$M$133</definedName>
    <definedName name="Print_Area" localSheetId="8">'Cálculo de estructura'!$A$1:$O$77</definedName>
    <definedName name="Print_Area" localSheetId="9">'MC ESTRUCTURAS'!$A$1:$M$154</definedName>
    <definedName name="Print_Area" localSheetId="2">'Zapata Método X - Y'!$B$2:$R$216</definedName>
    <definedName name="Tipos_suelos">Datos!$B$9:$N$21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1" l="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27" i="11"/>
  <c r="C15" i="11" l="1"/>
  <c r="C16" i="11"/>
  <c r="C17" i="11"/>
  <c r="C18" i="11"/>
  <c r="C19" i="11"/>
  <c r="D24" i="1" l="1"/>
  <c r="D23" i="1"/>
  <c r="D22" i="1"/>
  <c r="D21" i="1"/>
  <c r="D20" i="1"/>
  <c r="D19" i="1"/>
  <c r="C20" i="11" l="1"/>
  <c r="C21" i="11"/>
  <c r="C22" i="11"/>
  <c r="E106" i="8"/>
  <c r="C106" i="8"/>
  <c r="C72" i="8"/>
  <c r="C10" i="11"/>
  <c r="C9" i="11"/>
  <c r="C7" i="11"/>
  <c r="C6" i="11"/>
  <c r="C3" i="11"/>
  <c r="C2" i="11"/>
  <c r="I108" i="8" l="1"/>
  <c r="D29" i="1" l="1"/>
  <c r="C23" i="11" s="1"/>
  <c r="A114" i="1"/>
  <c r="A118" i="1"/>
  <c r="A119" i="1" s="1"/>
  <c r="A120" i="1" s="1"/>
  <c r="A121" i="1" s="1"/>
  <c r="D255" i="9" l="1"/>
  <c r="D257" i="9" s="1"/>
  <c r="D223" i="9"/>
  <c r="D143" i="9"/>
  <c r="D75" i="9"/>
  <c r="D73" i="9"/>
  <c r="D20" i="9" l="1"/>
  <c r="D19" i="9" l="1"/>
  <c r="M170" i="1"/>
  <c r="M168" i="1"/>
  <c r="K139" i="1" l="1"/>
  <c r="K127" i="1"/>
  <c r="I116" i="8" l="1"/>
  <c r="I117" i="8"/>
  <c r="J59" i="1" s="1"/>
  <c r="I115" i="8"/>
  <c r="J107" i="8"/>
  <c r="J106" i="8"/>
  <c r="L106" i="8"/>
  <c r="L115" i="8" s="1"/>
  <c r="C92" i="8"/>
  <c r="I97" i="8" s="1"/>
  <c r="C93" i="8"/>
  <c r="J98" i="8" s="1"/>
  <c r="N91" i="8"/>
  <c r="I122" i="8" l="1"/>
  <c r="J97" i="8"/>
  <c r="J122" i="8" s="1"/>
  <c r="I98" i="8"/>
  <c r="E107" i="8"/>
  <c r="C107" i="8"/>
  <c r="C108" i="8" s="1"/>
  <c r="G107" i="8"/>
  <c r="N90" i="8"/>
  <c r="C90" i="8" s="1"/>
  <c r="L98" i="8" s="1"/>
  <c r="C63" i="8"/>
  <c r="C55" i="8"/>
  <c r="C64" i="8" s="1"/>
  <c r="C68" i="10"/>
  <c r="T30" i="1"/>
  <c r="C52" i="8" s="1"/>
  <c r="C51" i="8"/>
  <c r="C64" i="10" s="1"/>
  <c r="M47" i="8"/>
  <c r="D73" i="3"/>
  <c r="F179" i="9"/>
  <c r="D179" i="9"/>
  <c r="C185" i="9"/>
  <c r="D70" i="1"/>
  <c r="D52" i="1"/>
  <c r="J7" i="3"/>
  <c r="D218" i="9"/>
  <c r="H117" i="9"/>
  <c r="F117" i="9"/>
  <c r="C265" i="2"/>
  <c r="C264" i="2"/>
  <c r="C263" i="2"/>
  <c r="L263" i="2" s="1"/>
  <c r="C262" i="2"/>
  <c r="C261" i="2"/>
  <c r="C260" i="2"/>
  <c r="C259" i="2"/>
  <c r="D259" i="2" s="1"/>
  <c r="C258" i="2"/>
  <c r="C257" i="2"/>
  <c r="C256" i="2"/>
  <c r="C255" i="2"/>
  <c r="L255" i="2" s="1"/>
  <c r="D250" i="2"/>
  <c r="C250" i="2"/>
  <c r="C249" i="2"/>
  <c r="E249" i="2"/>
  <c r="C248" i="2"/>
  <c r="C247" i="2"/>
  <c r="C246" i="2"/>
  <c r="C245" i="2"/>
  <c r="C244" i="2"/>
  <c r="D244" i="2"/>
  <c r="C243" i="2"/>
  <c r="E243" i="2"/>
  <c r="C242" i="2"/>
  <c r="C241" i="2"/>
  <c r="C240" i="2"/>
  <c r="E240" i="2"/>
  <c r="E239" i="2"/>
  <c r="F239" i="2"/>
  <c r="E242" i="2"/>
  <c r="D243" i="2"/>
  <c r="D242" i="2"/>
  <c r="D247" i="2"/>
  <c r="D249" i="2"/>
  <c r="D255" i="2"/>
  <c r="H255" i="2"/>
  <c r="P255" i="2"/>
  <c r="T255" i="2"/>
  <c r="X255" i="2"/>
  <c r="F256" i="2"/>
  <c r="J256" i="2"/>
  <c r="N256" i="2"/>
  <c r="R256" i="2"/>
  <c r="V256" i="2"/>
  <c r="L257" i="2"/>
  <c r="X257" i="2"/>
  <c r="V258" i="2"/>
  <c r="H259" i="2"/>
  <c r="L259" i="2"/>
  <c r="P259" i="2"/>
  <c r="X259" i="2"/>
  <c r="F260" i="2"/>
  <c r="J260" i="2"/>
  <c r="N260" i="2"/>
  <c r="R260" i="2"/>
  <c r="V260" i="2"/>
  <c r="T261" i="2"/>
  <c r="J262" i="2"/>
  <c r="D263" i="2"/>
  <c r="H263" i="2"/>
  <c r="P263" i="2"/>
  <c r="T263" i="2"/>
  <c r="X263" i="2"/>
  <c r="F264" i="2"/>
  <c r="J264" i="2"/>
  <c r="N264" i="2"/>
  <c r="R264" i="2"/>
  <c r="V264" i="2"/>
  <c r="H265" i="2"/>
  <c r="X265" i="2"/>
  <c r="E247" i="2"/>
  <c r="I255" i="2"/>
  <c r="M255" i="2"/>
  <c r="Q255" i="2"/>
  <c r="U255" i="2"/>
  <c r="E256" i="2"/>
  <c r="G256" i="2"/>
  <c r="I256" i="2"/>
  <c r="K256" i="2"/>
  <c r="M256" i="2"/>
  <c r="O256" i="2"/>
  <c r="Q256" i="2"/>
  <c r="S256" i="2"/>
  <c r="U256" i="2"/>
  <c r="K257" i="2"/>
  <c r="M257" i="2"/>
  <c r="Q257" i="2"/>
  <c r="O258" i="2"/>
  <c r="I66" i="9" s="1"/>
  <c r="U258" i="2"/>
  <c r="E259" i="2"/>
  <c r="I259" i="2"/>
  <c r="K259" i="2"/>
  <c r="M259" i="2"/>
  <c r="Q259" i="2"/>
  <c r="S259" i="2"/>
  <c r="U259" i="2"/>
  <c r="E260" i="2"/>
  <c r="G260" i="2"/>
  <c r="I260" i="2"/>
  <c r="K260" i="2"/>
  <c r="M260" i="2"/>
  <c r="O260" i="2"/>
  <c r="Q260" i="2"/>
  <c r="S260" i="2"/>
  <c r="U260" i="2"/>
  <c r="G261" i="2"/>
  <c r="I261" i="2"/>
  <c r="Q261" i="2"/>
  <c r="E262" i="2"/>
  <c r="U262" i="2"/>
  <c r="E263" i="2"/>
  <c r="I263" i="2"/>
  <c r="K263" i="2"/>
  <c r="M263" i="2"/>
  <c r="Q263" i="2"/>
  <c r="S263" i="2"/>
  <c r="U263" i="2"/>
  <c r="E264" i="2"/>
  <c r="G264" i="2"/>
  <c r="I264" i="2"/>
  <c r="K264" i="2"/>
  <c r="M264" i="2"/>
  <c r="O264" i="2"/>
  <c r="Q264" i="2"/>
  <c r="S264" i="2"/>
  <c r="U264" i="2"/>
  <c r="G265" i="2"/>
  <c r="O265" i="2"/>
  <c r="Q265" i="2"/>
  <c r="D238" i="9"/>
  <c r="D236" i="9"/>
  <c r="D233" i="9"/>
  <c r="D234" i="9"/>
  <c r="D215" i="9"/>
  <c r="D225" i="9" s="1"/>
  <c r="D229" i="9" s="1"/>
  <c r="D216" i="9"/>
  <c r="C149" i="10"/>
  <c r="C150" i="10"/>
  <c r="C147" i="10"/>
  <c r="C113" i="10"/>
  <c r="C102" i="10"/>
  <c r="E117" i="10"/>
  <c r="C117" i="10"/>
  <c r="E116" i="10"/>
  <c r="C116" i="10"/>
  <c r="E109" i="10"/>
  <c r="C109" i="10"/>
  <c r="E108" i="10"/>
  <c r="C108" i="10"/>
  <c r="E107" i="10"/>
  <c r="C107" i="10"/>
  <c r="C87" i="10"/>
  <c r="C86" i="10"/>
  <c r="C85" i="10"/>
  <c r="C84" i="10"/>
  <c r="G77" i="10"/>
  <c r="I77" i="10"/>
  <c r="G78" i="10"/>
  <c r="I78" i="10"/>
  <c r="G76" i="10"/>
  <c r="I76" i="10"/>
  <c r="C58" i="10"/>
  <c r="D58" i="10"/>
  <c r="E58" i="10"/>
  <c r="D59" i="10"/>
  <c r="E59" i="10"/>
  <c r="D60" i="10"/>
  <c r="E60" i="10"/>
  <c r="D61" i="10"/>
  <c r="E61" i="10"/>
  <c r="D63" i="10"/>
  <c r="E63" i="10"/>
  <c r="D64" i="10"/>
  <c r="E64" i="10"/>
  <c r="D65" i="10"/>
  <c r="E65" i="10"/>
  <c r="C67" i="10"/>
  <c r="D67" i="10"/>
  <c r="E67" i="10"/>
  <c r="D68" i="10"/>
  <c r="E68" i="10"/>
  <c r="D69" i="10"/>
  <c r="E69" i="10"/>
  <c r="B59" i="10"/>
  <c r="B60" i="10"/>
  <c r="B61" i="10"/>
  <c r="B63" i="10"/>
  <c r="B64" i="10"/>
  <c r="B65" i="10"/>
  <c r="B67" i="10"/>
  <c r="B68" i="10"/>
  <c r="B69" i="10"/>
  <c r="B58" i="10"/>
  <c r="G26" i="10"/>
  <c r="G25" i="10"/>
  <c r="G24" i="10"/>
  <c r="G27" i="10" s="1"/>
  <c r="G23" i="10"/>
  <c r="C7" i="10"/>
  <c r="C6" i="10"/>
  <c r="D127" i="9"/>
  <c r="H137" i="9" s="1"/>
  <c r="D126" i="9"/>
  <c r="H135" i="9" s="1"/>
  <c r="D32" i="1"/>
  <c r="I141" i="9"/>
  <c r="F141" i="9"/>
  <c r="D74" i="9"/>
  <c r="F113" i="9" s="1"/>
  <c r="H77" i="3"/>
  <c r="G152" i="10"/>
  <c r="C148" i="10"/>
  <c r="D198" i="9"/>
  <c r="D197" i="9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6" i="2"/>
  <c r="D76" i="9"/>
  <c r="C63" i="10"/>
  <c r="D53" i="3"/>
  <c r="D52" i="3"/>
  <c r="D51" i="3"/>
  <c r="D50" i="3"/>
  <c r="H49" i="3" s="1"/>
  <c r="D49" i="3"/>
  <c r="D31" i="3"/>
  <c r="D30" i="3"/>
  <c r="D29" i="3"/>
  <c r="D28" i="3"/>
  <c r="D27" i="3"/>
  <c r="F29" i="3"/>
  <c r="D21" i="9"/>
  <c r="D64" i="9"/>
  <c r="G116" i="10"/>
  <c r="C76" i="10"/>
  <c r="F72" i="8"/>
  <c r="C12" i="11" s="1"/>
  <c r="C8" i="10"/>
  <c r="C59" i="10"/>
  <c r="I54" i="3"/>
  <c r="D60" i="3"/>
  <c r="D38" i="1"/>
  <c r="D211" i="1" s="1"/>
  <c r="D53" i="1"/>
  <c r="K137" i="1"/>
  <c r="E90" i="1"/>
  <c r="V98" i="1"/>
  <c r="V92" i="1"/>
  <c r="D30" i="1"/>
  <c r="K124" i="1"/>
  <c r="D45" i="1"/>
  <c r="D44" i="1"/>
  <c r="D86" i="1" s="1"/>
  <c r="D43" i="1"/>
  <c r="D25" i="9" s="1"/>
  <c r="D42" i="1"/>
  <c r="D41" i="1"/>
  <c r="D40" i="1"/>
  <c r="D39" i="1"/>
  <c r="V93" i="1" s="1"/>
  <c r="D37" i="1"/>
  <c r="D207" i="1" s="1"/>
  <c r="X20" i="1"/>
  <c r="G239" i="2"/>
  <c r="F247" i="2"/>
  <c r="F246" i="2"/>
  <c r="F241" i="2"/>
  <c r="F240" i="2"/>
  <c r="F249" i="2"/>
  <c r="D108" i="1"/>
  <c r="G115" i="8"/>
  <c r="G125" i="10" s="1"/>
  <c r="E248" i="2"/>
  <c r="E244" i="2"/>
  <c r="G241" i="2"/>
  <c r="F242" i="2"/>
  <c r="F244" i="2"/>
  <c r="G117" i="10"/>
  <c r="G116" i="8"/>
  <c r="G126" i="10"/>
  <c r="G246" i="2"/>
  <c r="H239" i="2"/>
  <c r="H242" i="2" s="1"/>
  <c r="G244" i="2"/>
  <c r="G249" i="2"/>
  <c r="I239" i="2"/>
  <c r="H247" i="2"/>
  <c r="I247" i="2"/>
  <c r="D200" i="9"/>
  <c r="D61" i="3"/>
  <c r="D62" i="3" s="1"/>
  <c r="C104" i="10"/>
  <c r="D55" i="3"/>
  <c r="D56" i="3" s="1"/>
  <c r="C122" i="8"/>
  <c r="C132" i="10" s="1"/>
  <c r="H27" i="3"/>
  <c r="W255" i="2"/>
  <c r="F255" i="2"/>
  <c r="J255" i="2"/>
  <c r="N255" i="2"/>
  <c r="R255" i="2"/>
  <c r="V255" i="2"/>
  <c r="G255" i="2"/>
  <c r="K255" i="2"/>
  <c r="O255" i="2"/>
  <c r="F257" i="2"/>
  <c r="J257" i="2"/>
  <c r="R257" i="2"/>
  <c r="W259" i="2"/>
  <c r="F259" i="2"/>
  <c r="J259" i="2"/>
  <c r="N259" i="2"/>
  <c r="R259" i="2"/>
  <c r="V259" i="2"/>
  <c r="W261" i="2"/>
  <c r="J261" i="2"/>
  <c r="R261" i="2"/>
  <c r="V261" i="2"/>
  <c r="W263" i="2"/>
  <c r="F263" i="2"/>
  <c r="J263" i="2"/>
  <c r="N263" i="2"/>
  <c r="R263" i="2"/>
  <c r="V263" i="2"/>
  <c r="W265" i="2"/>
  <c r="F265" i="2"/>
  <c r="R265" i="2"/>
  <c r="V265" i="2"/>
  <c r="D241" i="2"/>
  <c r="E241" i="2"/>
  <c r="W256" i="2"/>
  <c r="D256" i="2"/>
  <c r="H256" i="2"/>
  <c r="L256" i="2"/>
  <c r="P256" i="2"/>
  <c r="T256" i="2"/>
  <c r="X256" i="2"/>
  <c r="P258" i="2"/>
  <c r="X258" i="2"/>
  <c r="W260" i="2"/>
  <c r="D260" i="2"/>
  <c r="H260" i="2"/>
  <c r="L260" i="2"/>
  <c r="P260" i="2"/>
  <c r="T260" i="2"/>
  <c r="X260" i="2"/>
  <c r="W262" i="2"/>
  <c r="T262" i="2"/>
  <c r="W264" i="2"/>
  <c r="D264" i="2"/>
  <c r="H264" i="2"/>
  <c r="L264" i="2"/>
  <c r="P264" i="2"/>
  <c r="T264" i="2"/>
  <c r="X264" i="2"/>
  <c r="J115" i="8"/>
  <c r="I125" i="10"/>
  <c r="I116" i="10"/>
  <c r="C65" i="10" l="1"/>
  <c r="C8" i="11"/>
  <c r="C56" i="8"/>
  <c r="C11" i="11" s="1"/>
  <c r="B21" i="12" s="1"/>
  <c r="C46" i="11" s="1"/>
  <c r="C26" i="11"/>
  <c r="C47" i="8"/>
  <c r="C4" i="11" s="1"/>
  <c r="C24" i="11"/>
  <c r="C79" i="8"/>
  <c r="C92" i="10" s="1"/>
  <c r="F73" i="8"/>
  <c r="F245" i="2"/>
  <c r="G245" i="2"/>
  <c r="E245" i="2"/>
  <c r="H245" i="2"/>
  <c r="D245" i="2"/>
  <c r="I245" i="2"/>
  <c r="I244" i="2"/>
  <c r="I242" i="2"/>
  <c r="J239" i="2"/>
  <c r="I243" i="2"/>
  <c r="I249" i="2"/>
  <c r="I241" i="2"/>
  <c r="I240" i="2"/>
  <c r="D64" i="3"/>
  <c r="H243" i="2"/>
  <c r="F248" i="2"/>
  <c r="H248" i="2"/>
  <c r="D248" i="2"/>
  <c r="G248" i="2"/>
  <c r="J258" i="2"/>
  <c r="K258" i="2"/>
  <c r="Q258" i="2"/>
  <c r="N258" i="2"/>
  <c r="E258" i="2"/>
  <c r="M258" i="2"/>
  <c r="S258" i="2"/>
  <c r="D258" i="2"/>
  <c r="T258" i="2"/>
  <c r="F258" i="2"/>
  <c r="H258" i="2"/>
  <c r="R258" i="2"/>
  <c r="G258" i="2"/>
  <c r="W258" i="2"/>
  <c r="I258" i="2"/>
  <c r="L258" i="2"/>
  <c r="R262" i="2"/>
  <c r="I262" i="2"/>
  <c r="Q262" i="2"/>
  <c r="F262" i="2"/>
  <c r="V262" i="2"/>
  <c r="K262" i="2"/>
  <c r="S262" i="2"/>
  <c r="L262" i="2"/>
  <c r="N262" i="2"/>
  <c r="M262" i="2"/>
  <c r="D262" i="2"/>
  <c r="X262" i="2"/>
  <c r="G262" i="2"/>
  <c r="H262" i="2"/>
  <c r="O262" i="2"/>
  <c r="P262" i="2"/>
  <c r="I99" i="8"/>
  <c r="I124" i="8" s="1"/>
  <c r="J60" i="1" s="1"/>
  <c r="I123" i="8"/>
  <c r="I248" i="2"/>
  <c r="H249" i="2"/>
  <c r="H241" i="2"/>
  <c r="H240" i="2"/>
  <c r="H244" i="2"/>
  <c r="H246" i="2"/>
  <c r="D33" i="3"/>
  <c r="D34" i="3" s="1"/>
  <c r="G242" i="2"/>
  <c r="G247" i="2"/>
  <c r="J115" i="9"/>
  <c r="J117" i="9" s="1"/>
  <c r="I32" i="3"/>
  <c r="E250" i="2"/>
  <c r="F250" i="2"/>
  <c r="G250" i="2"/>
  <c r="H250" i="2"/>
  <c r="I250" i="2"/>
  <c r="P257" i="2"/>
  <c r="G257" i="2"/>
  <c r="O257" i="2"/>
  <c r="I101" i="9" s="1"/>
  <c r="U257" i="2"/>
  <c r="D257" i="2"/>
  <c r="T257" i="2"/>
  <c r="I257" i="2"/>
  <c r="N257" i="2"/>
  <c r="E257" i="2"/>
  <c r="S257" i="2"/>
  <c r="W257" i="2"/>
  <c r="V257" i="2"/>
  <c r="H257" i="2"/>
  <c r="H261" i="2"/>
  <c r="X261" i="2"/>
  <c r="K261" i="2"/>
  <c r="S261" i="2"/>
  <c r="L261" i="2"/>
  <c r="E261" i="2"/>
  <c r="M261" i="2"/>
  <c r="U261" i="2"/>
  <c r="N261" i="2"/>
  <c r="D261" i="2"/>
  <c r="O261" i="2"/>
  <c r="F261" i="2"/>
  <c r="P261" i="2"/>
  <c r="P265" i="2"/>
  <c r="K265" i="2"/>
  <c r="S265" i="2"/>
  <c r="D265" i="2"/>
  <c r="T265" i="2"/>
  <c r="E265" i="2"/>
  <c r="M265" i="2"/>
  <c r="U265" i="2"/>
  <c r="N265" i="2"/>
  <c r="L265" i="2"/>
  <c r="I265" i="2"/>
  <c r="J265" i="2"/>
  <c r="D38" i="3"/>
  <c r="D39" i="3" s="1"/>
  <c r="D40" i="3" s="1"/>
  <c r="D42" i="3" s="1"/>
  <c r="J8" i="3"/>
  <c r="C9" i="10" s="1"/>
  <c r="C115" i="8"/>
  <c r="C125" i="10" s="1"/>
  <c r="E63" i="8"/>
  <c r="E115" i="8" s="1"/>
  <c r="E125" i="10" s="1"/>
  <c r="E108" i="8"/>
  <c r="E118" i="10" s="1"/>
  <c r="D240" i="2"/>
  <c r="G240" i="2"/>
  <c r="J240" i="2"/>
  <c r="F243" i="2"/>
  <c r="G243" i="2"/>
  <c r="D246" i="2"/>
  <c r="I246" i="2"/>
  <c r="C78" i="8"/>
  <c r="C91" i="10" s="1"/>
  <c r="F85" i="10"/>
  <c r="D240" i="9"/>
  <c r="D244" i="9" s="1"/>
  <c r="E246" i="2"/>
  <c r="G108" i="8"/>
  <c r="L107" i="8"/>
  <c r="L116" i="8" s="1"/>
  <c r="O263" i="2"/>
  <c r="G263" i="2"/>
  <c r="O259" i="2"/>
  <c r="G259" i="2"/>
  <c r="S255" i="2"/>
  <c r="E255" i="2"/>
  <c r="T259" i="2"/>
  <c r="M117" i="9"/>
  <c r="D98" i="9"/>
  <c r="V94" i="1"/>
  <c r="V95" i="1" s="1"/>
  <c r="D31" i="1"/>
  <c r="C25" i="11" s="1"/>
  <c r="D43" i="9"/>
  <c r="V96" i="1"/>
  <c r="J116" i="8"/>
  <c r="I126" i="10" s="1"/>
  <c r="I117" i="10"/>
  <c r="C77" i="10"/>
  <c r="C116" i="8"/>
  <c r="C126" i="10" s="1"/>
  <c r="E64" i="8"/>
  <c r="C123" i="8"/>
  <c r="C133" i="10" s="1"/>
  <c r="E76" i="10"/>
  <c r="E122" i="8"/>
  <c r="E132" i="10" s="1"/>
  <c r="C103" i="10"/>
  <c r="G97" i="8"/>
  <c r="C118" i="10"/>
  <c r="J108" i="8" l="1"/>
  <c r="J117" i="8" s="1"/>
  <c r="K59" i="1" s="1"/>
  <c r="C48" i="8"/>
  <c r="C61" i="10" s="1"/>
  <c r="J99" i="8"/>
  <c r="I109" i="10" s="1"/>
  <c r="C85" i="8"/>
  <c r="E85" i="8" s="1"/>
  <c r="E98" i="10" s="1"/>
  <c r="L99" i="8"/>
  <c r="C80" i="8"/>
  <c r="C93" i="10" s="1"/>
  <c r="C69" i="10"/>
  <c r="C69" i="8"/>
  <c r="C76" i="8" s="1"/>
  <c r="F78" i="8" s="1"/>
  <c r="I78" i="8" s="1"/>
  <c r="C65" i="8"/>
  <c r="C124" i="8" s="1"/>
  <c r="C134" i="10" s="1"/>
  <c r="C60" i="10"/>
  <c r="C13" i="11"/>
  <c r="C83" i="8"/>
  <c r="C84" i="8"/>
  <c r="F86" i="10"/>
  <c r="L123" i="8"/>
  <c r="G118" i="10"/>
  <c r="G117" i="8"/>
  <c r="K239" i="2"/>
  <c r="J249" i="2"/>
  <c r="J241" i="2"/>
  <c r="J243" i="2"/>
  <c r="J250" i="2"/>
  <c r="J246" i="2"/>
  <c r="J242" i="2"/>
  <c r="J247" i="2"/>
  <c r="J244" i="2"/>
  <c r="G98" i="8"/>
  <c r="G99" i="8" s="1"/>
  <c r="L97" i="8"/>
  <c r="L122" i="8" s="1"/>
  <c r="L108" i="8"/>
  <c r="L117" i="8" s="1"/>
  <c r="M59" i="1" s="1"/>
  <c r="T5" i="3"/>
  <c r="J248" i="2"/>
  <c r="J245" i="2"/>
  <c r="D161" i="1"/>
  <c r="D187" i="1"/>
  <c r="D92" i="1"/>
  <c r="E123" i="8"/>
  <c r="E133" i="10" s="1"/>
  <c r="E116" i="8"/>
  <c r="E126" i="10" s="1"/>
  <c r="E77" i="10"/>
  <c r="J123" i="8"/>
  <c r="I133" i="10" s="1"/>
  <c r="I108" i="10"/>
  <c r="G107" i="10"/>
  <c r="G122" i="8"/>
  <c r="G132" i="10" s="1"/>
  <c r="I127" i="10" l="1"/>
  <c r="I118" i="10"/>
  <c r="C5" i="11"/>
  <c r="C98" i="10"/>
  <c r="J124" i="8"/>
  <c r="K60" i="1" s="1"/>
  <c r="F79" i="8"/>
  <c r="F92" i="10" s="1"/>
  <c r="C89" i="10"/>
  <c r="F91" i="10"/>
  <c r="F80" i="8"/>
  <c r="I80" i="8" s="1"/>
  <c r="I93" i="10" s="1"/>
  <c r="C82" i="10"/>
  <c r="C131" i="8"/>
  <c r="D61" i="1" s="1"/>
  <c r="D60" i="1"/>
  <c r="D162" i="1" s="1"/>
  <c r="D165" i="1" s="1"/>
  <c r="C78" i="10"/>
  <c r="C117" i="8"/>
  <c r="E65" i="8"/>
  <c r="E131" i="8" s="1"/>
  <c r="F61" i="1" s="1"/>
  <c r="L124" i="8"/>
  <c r="M60" i="1" s="1"/>
  <c r="E84" i="8"/>
  <c r="C130" i="8"/>
  <c r="C97" i="10"/>
  <c r="C129" i="8"/>
  <c r="C139" i="10" s="1"/>
  <c r="C96" i="10"/>
  <c r="E83" i="8"/>
  <c r="K249" i="2"/>
  <c r="K244" i="2"/>
  <c r="K246" i="2"/>
  <c r="K247" i="2"/>
  <c r="L239" i="2"/>
  <c r="K242" i="2"/>
  <c r="K241" i="2"/>
  <c r="K243" i="2"/>
  <c r="K245" i="2"/>
  <c r="K248" i="2"/>
  <c r="K250" i="2"/>
  <c r="K240" i="2"/>
  <c r="H59" i="1"/>
  <c r="G127" i="10"/>
  <c r="G83" i="8"/>
  <c r="I83" i="8" s="1"/>
  <c r="I129" i="8" s="1"/>
  <c r="H175" i="1"/>
  <c r="H182" i="1"/>
  <c r="H177" i="1"/>
  <c r="H180" i="1"/>
  <c r="H148" i="1"/>
  <c r="H150" i="1" s="1"/>
  <c r="H156" i="1"/>
  <c r="H153" i="1"/>
  <c r="I107" i="10"/>
  <c r="I132" i="10"/>
  <c r="G123" i="8"/>
  <c r="G133" i="10" s="1"/>
  <c r="G108" i="10"/>
  <c r="J83" i="8"/>
  <c r="L83" i="8" s="1"/>
  <c r="L129" i="8" s="1"/>
  <c r="I91" i="10"/>
  <c r="I134" i="10" l="1"/>
  <c r="I79" i="8"/>
  <c r="I92" i="10" s="1"/>
  <c r="D117" i="1"/>
  <c r="D120" i="1" s="1"/>
  <c r="D126" i="1" s="1"/>
  <c r="D93" i="1"/>
  <c r="D96" i="1" s="1"/>
  <c r="D71" i="1"/>
  <c r="D74" i="1" s="1"/>
  <c r="C141" i="10"/>
  <c r="J12" i="3"/>
  <c r="D168" i="1"/>
  <c r="F93" i="10"/>
  <c r="D59" i="1"/>
  <c r="C127" i="10"/>
  <c r="E78" i="10"/>
  <c r="E124" i="8"/>
  <c r="E117" i="8"/>
  <c r="E96" i="10"/>
  <c r="E129" i="8"/>
  <c r="E139" i="10" s="1"/>
  <c r="D80" i="9"/>
  <c r="D86" i="9" s="1"/>
  <c r="C140" i="10"/>
  <c r="E97" i="10"/>
  <c r="E130" i="8"/>
  <c r="L242" i="2"/>
  <c r="L247" i="2"/>
  <c r="L243" i="2"/>
  <c r="L241" i="2"/>
  <c r="L249" i="2"/>
  <c r="L244" i="2"/>
  <c r="L240" i="2"/>
  <c r="L250" i="2"/>
  <c r="L246" i="2"/>
  <c r="M239" i="2"/>
  <c r="L248" i="2"/>
  <c r="L245" i="2"/>
  <c r="D132" i="1"/>
  <c r="D135" i="1" s="1"/>
  <c r="D209" i="1"/>
  <c r="D213" i="1" s="1"/>
  <c r="D188" i="1"/>
  <c r="D191" i="1" s="1"/>
  <c r="D131" i="1"/>
  <c r="D134" i="1" s="1"/>
  <c r="J13" i="3"/>
  <c r="E141" i="10"/>
  <c r="G124" i="8"/>
  <c r="H60" i="1" s="1"/>
  <c r="G109" i="10"/>
  <c r="G129" i="8"/>
  <c r="G139" i="10" s="1"/>
  <c r="G96" i="10"/>
  <c r="J129" i="8"/>
  <c r="I139" i="10" s="1"/>
  <c r="I96" i="10"/>
  <c r="G84" i="8" l="1"/>
  <c r="I84" i="8" s="1"/>
  <c r="I130" i="8" s="1"/>
  <c r="G85" i="8"/>
  <c r="I85" i="8" s="1"/>
  <c r="I131" i="8" s="1"/>
  <c r="J61" i="1" s="1"/>
  <c r="J85" i="8"/>
  <c r="J131" i="8" s="1"/>
  <c r="K61" i="1" s="1"/>
  <c r="D139" i="1" s="1"/>
  <c r="J84" i="8"/>
  <c r="L84" i="8" s="1"/>
  <c r="L130" i="8" s="1"/>
  <c r="D82" i="9" s="1"/>
  <c r="F60" i="1"/>
  <c r="D72" i="1" s="1"/>
  <c r="E134" i="10"/>
  <c r="F59" i="1"/>
  <c r="E127" i="10"/>
  <c r="D133" i="9"/>
  <c r="E140" i="10"/>
  <c r="M244" i="2"/>
  <c r="M241" i="2"/>
  <c r="M240" i="2"/>
  <c r="M243" i="2"/>
  <c r="N239" i="2"/>
  <c r="M242" i="2"/>
  <c r="M247" i="2"/>
  <c r="M249" i="2"/>
  <c r="M245" i="2"/>
  <c r="M246" i="2"/>
  <c r="M248" i="2"/>
  <c r="M250" i="2"/>
  <c r="D99" i="1"/>
  <c r="H99" i="1" s="1"/>
  <c r="D124" i="1"/>
  <c r="D189" i="1"/>
  <c r="D192" i="1" s="1"/>
  <c r="D169" i="1"/>
  <c r="K168" i="1" s="1"/>
  <c r="L168" i="1" s="1"/>
  <c r="H168" i="1"/>
  <c r="G134" i="10"/>
  <c r="G130" i="8" l="1"/>
  <c r="D132" i="9" s="1"/>
  <c r="D137" i="9" s="1"/>
  <c r="H244" i="9" s="1"/>
  <c r="G98" i="10"/>
  <c r="G97" i="10"/>
  <c r="D140" i="1"/>
  <c r="G131" i="8"/>
  <c r="J14" i="3" s="1"/>
  <c r="D66" i="3" s="1"/>
  <c r="J15" i="3"/>
  <c r="D44" i="3" s="1"/>
  <c r="J130" i="8"/>
  <c r="D157" i="9" s="1"/>
  <c r="F161" i="9" s="1"/>
  <c r="L85" i="8"/>
  <c r="L131" i="8" s="1"/>
  <c r="M61" i="1" s="1"/>
  <c r="D77" i="1" s="1"/>
  <c r="D131" i="9"/>
  <c r="D135" i="9" s="1"/>
  <c r="I141" i="10"/>
  <c r="I98" i="10"/>
  <c r="I97" i="10"/>
  <c r="D94" i="1"/>
  <c r="D97" i="1" s="1"/>
  <c r="D101" i="1" s="1"/>
  <c r="H101" i="1" s="1"/>
  <c r="D118" i="1"/>
  <c r="D121" i="1" s="1"/>
  <c r="D125" i="1" s="1"/>
  <c r="D163" i="1"/>
  <c r="D166" i="1" s="1"/>
  <c r="N249" i="2"/>
  <c r="N244" i="2"/>
  <c r="N246" i="2"/>
  <c r="N250" i="2"/>
  <c r="N243" i="2"/>
  <c r="N241" i="2"/>
  <c r="N247" i="2"/>
  <c r="N240" i="2"/>
  <c r="O239" i="2"/>
  <c r="N242" i="2"/>
  <c r="N245" i="2"/>
  <c r="N248" i="2"/>
  <c r="D197" i="1"/>
  <c r="H197" i="1" s="1"/>
  <c r="D195" i="1"/>
  <c r="H195" i="1" s="1"/>
  <c r="H169" i="1"/>
  <c r="H124" i="1"/>
  <c r="D75" i="1"/>
  <c r="D80" i="1" s="1"/>
  <c r="H80" i="1" s="1"/>
  <c r="D78" i="1"/>
  <c r="D100" i="1"/>
  <c r="H100" i="1" s="1"/>
  <c r="E141" i="9" l="1"/>
  <c r="J137" i="9"/>
  <c r="F137" i="9"/>
  <c r="D81" i="9"/>
  <c r="D87" i="9" s="1"/>
  <c r="F99" i="9" s="1"/>
  <c r="G140" i="10"/>
  <c r="H61" i="1"/>
  <c r="D205" i="1" s="1"/>
  <c r="E215" i="1" s="1"/>
  <c r="H229" i="9"/>
  <c r="K229" i="9" s="1"/>
  <c r="G141" i="10"/>
  <c r="D137" i="1"/>
  <c r="D138" i="1"/>
  <c r="D156" i="9"/>
  <c r="D177" i="9" s="1"/>
  <c r="D183" i="9" s="1"/>
  <c r="D195" i="9"/>
  <c r="F201" i="9" s="1"/>
  <c r="D196" i="1"/>
  <c r="H196" i="1" s="1"/>
  <c r="D194" i="1"/>
  <c r="H194" i="1" s="1"/>
  <c r="I140" i="10"/>
  <c r="F135" i="9"/>
  <c r="J135" i="9"/>
  <c r="D127" i="1"/>
  <c r="P239" i="2"/>
  <c r="O249" i="2"/>
  <c r="O247" i="2"/>
  <c r="O242" i="2"/>
  <c r="O240" i="2"/>
  <c r="O244" i="2"/>
  <c r="O250" i="2"/>
  <c r="O246" i="2"/>
  <c r="O241" i="2"/>
  <c r="O243" i="2"/>
  <c r="O245" i="2"/>
  <c r="O248" i="2"/>
  <c r="D102" i="1"/>
  <c r="H102" i="1" s="1"/>
  <c r="D170" i="1"/>
  <c r="D171" i="1"/>
  <c r="H171" i="1" s="1"/>
  <c r="H139" i="1"/>
  <c r="I139" i="1" s="1"/>
  <c r="D79" i="1"/>
  <c r="H78" i="1"/>
  <c r="D77" i="3"/>
  <c r="G66" i="3"/>
  <c r="H77" i="1"/>
  <c r="F244" i="9"/>
  <c r="K244" i="9"/>
  <c r="G44" i="3"/>
  <c r="D96" i="9" l="1"/>
  <c r="D88" i="9"/>
  <c r="D107" i="9" s="1"/>
  <c r="D109" i="9" s="1"/>
  <c r="D111" i="9" s="1"/>
  <c r="F229" i="9"/>
  <c r="H257" i="9"/>
  <c r="K257" i="9" s="1"/>
  <c r="E248" i="9"/>
  <c r="I248" i="9" s="1"/>
  <c r="I217" i="1"/>
  <c r="B20" i="12" s="1"/>
  <c r="C45" i="11" s="1"/>
  <c r="H215" i="1"/>
  <c r="H137" i="1"/>
  <c r="I137" i="1" s="1"/>
  <c r="P247" i="2"/>
  <c r="P243" i="2"/>
  <c r="P241" i="2"/>
  <c r="P249" i="2"/>
  <c r="Q239" i="2"/>
  <c r="P244" i="2"/>
  <c r="P246" i="2"/>
  <c r="P250" i="2"/>
  <c r="P242" i="2"/>
  <c r="P245" i="2"/>
  <c r="P248" i="2"/>
  <c r="P240" i="2"/>
  <c r="H170" i="1"/>
  <c r="K170" i="1"/>
  <c r="L170" i="1" s="1"/>
  <c r="I124" i="1"/>
  <c r="H127" i="1"/>
  <c r="I127" i="1" s="1"/>
  <c r="A66" i="1"/>
  <c r="A115" i="1" s="1"/>
  <c r="H79" i="1"/>
  <c r="K77" i="3"/>
  <c r="J152" i="10" s="1"/>
  <c r="C152" i="10"/>
  <c r="E152" i="10" s="1"/>
  <c r="F77" i="3"/>
  <c r="F257" i="9" l="1"/>
  <c r="F248" i="9"/>
  <c r="Q241" i="2"/>
  <c r="Q240" i="2"/>
  <c r="Q249" i="2"/>
  <c r="R239" i="2"/>
  <c r="Q247" i="2"/>
  <c r="Q244" i="2"/>
  <c r="Q246" i="2"/>
  <c r="Q248" i="2"/>
  <c r="Q245" i="2"/>
  <c r="Q242" i="2"/>
  <c r="Q250" i="2"/>
  <c r="Q243" i="2"/>
  <c r="A67" i="1"/>
  <c r="A113" i="1"/>
  <c r="L124" i="1" s="1"/>
  <c r="B4" i="12" s="1"/>
  <c r="C29" i="11" s="1"/>
  <c r="A88" i="1"/>
  <c r="A91" i="1" s="1"/>
  <c r="A92" i="1" s="1"/>
  <c r="A93" i="1" s="1"/>
  <c r="A94" i="1" s="1"/>
  <c r="A95" i="1" s="1"/>
  <c r="A96" i="1" s="1"/>
  <c r="A97" i="1" s="1"/>
  <c r="A98" i="1" s="1"/>
  <c r="A99" i="1" s="1"/>
  <c r="P67" i="1"/>
  <c r="D85" i="1"/>
  <c r="K86" i="1" s="1"/>
  <c r="B2" i="12" s="1"/>
  <c r="C27" i="11" s="1"/>
  <c r="A144" i="1" l="1"/>
  <c r="M182" i="1" s="1"/>
  <c r="R247" i="2"/>
  <c r="R242" i="2"/>
  <c r="S239" i="2"/>
  <c r="R241" i="2"/>
  <c r="R246" i="2"/>
  <c r="R243" i="2"/>
  <c r="R248" i="2"/>
  <c r="R240" i="2"/>
  <c r="R244" i="2"/>
  <c r="R249" i="2"/>
  <c r="R250" i="2"/>
  <c r="R245" i="2"/>
  <c r="P89" i="1"/>
  <c r="A89" i="1"/>
  <c r="A90" i="1" s="1"/>
  <c r="D107" i="1"/>
  <c r="D26" i="9" s="1"/>
  <c r="D27" i="9" s="1"/>
  <c r="D30" i="9" s="1"/>
  <c r="D33" i="9" s="1"/>
  <c r="F44" i="9" s="1"/>
  <c r="A68" i="1"/>
  <c r="A116" i="1"/>
  <c r="A100" i="1"/>
  <c r="A101" i="1" s="1"/>
  <c r="K108" i="1"/>
  <c r="B3" i="12" s="1"/>
  <c r="C28" i="11" s="1"/>
  <c r="N170" i="1" l="1"/>
  <c r="B13" i="12" s="1"/>
  <c r="C38" i="11" s="1"/>
  <c r="N153" i="1"/>
  <c r="I153" i="1" s="1"/>
  <c r="M175" i="1"/>
  <c r="I175" i="1" s="1"/>
  <c r="N148" i="1"/>
  <c r="I148" i="1" s="1"/>
  <c r="M180" i="1"/>
  <c r="N180" i="1" s="1"/>
  <c r="B16" i="12" s="1"/>
  <c r="C41" i="11" s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N156" i="1"/>
  <c r="I156" i="1" s="1"/>
  <c r="M177" i="1"/>
  <c r="P145" i="1"/>
  <c r="N150" i="1"/>
  <c r="P150" i="1" s="1"/>
  <c r="B9" i="12" s="1"/>
  <c r="C34" i="11" s="1"/>
  <c r="N168" i="1"/>
  <c r="B12" i="12" s="1"/>
  <c r="C37" i="11" s="1"/>
  <c r="S242" i="2"/>
  <c r="S249" i="2"/>
  <c r="T239" i="2"/>
  <c r="S244" i="2"/>
  <c r="S250" i="2"/>
  <c r="S247" i="2"/>
  <c r="S246" i="2"/>
  <c r="S241" i="2"/>
  <c r="S248" i="2"/>
  <c r="S240" i="2"/>
  <c r="S243" i="2"/>
  <c r="S245" i="2"/>
  <c r="D29" i="9"/>
  <c r="D32" i="9" s="1"/>
  <c r="D52" i="9" s="1"/>
  <c r="D54" i="9" s="1"/>
  <c r="D56" i="9" s="1"/>
  <c r="D58" i="9" s="1"/>
  <c r="A69" i="1"/>
  <c r="N182" i="1"/>
  <c r="B17" i="12" s="1"/>
  <c r="C42" i="11" s="1"/>
  <c r="I182" i="1"/>
  <c r="A102" i="1"/>
  <c r="A103" i="1" s="1"/>
  <c r="A104" i="1" s="1"/>
  <c r="A105" i="1" s="1"/>
  <c r="A106" i="1" s="1"/>
  <c r="A107" i="1" s="1"/>
  <c r="A108" i="1" s="1"/>
  <c r="A109" i="1" s="1"/>
  <c r="D41" i="9"/>
  <c r="N175" i="1" l="1"/>
  <c r="B14" i="12" s="1"/>
  <c r="C39" i="11" s="1"/>
  <c r="P156" i="1"/>
  <c r="B11" i="12" s="1"/>
  <c r="C36" i="11" s="1"/>
  <c r="P148" i="1"/>
  <c r="B8" i="12" s="1"/>
  <c r="C33" i="11" s="1"/>
  <c r="P153" i="1"/>
  <c r="B10" i="12" s="1"/>
  <c r="C35" i="11" s="1"/>
  <c r="I150" i="1"/>
  <c r="I180" i="1"/>
  <c r="T249" i="2"/>
  <c r="T242" i="2"/>
  <c r="T241" i="2"/>
  <c r="T244" i="2"/>
  <c r="T243" i="2"/>
  <c r="U239" i="2"/>
  <c r="T247" i="2"/>
  <c r="T250" i="2"/>
  <c r="T240" i="2"/>
  <c r="T245" i="2"/>
  <c r="T246" i="2"/>
  <c r="T248" i="2"/>
  <c r="A70" i="1"/>
  <c r="N177" i="1"/>
  <c r="B15" i="12" s="1"/>
  <c r="C40" i="11" s="1"/>
  <c r="I177" i="1"/>
  <c r="A158" i="1"/>
  <c r="A159" i="1" s="1"/>
  <c r="U243" i="2" l="1"/>
  <c r="U249" i="2"/>
  <c r="U242" i="2"/>
  <c r="U246" i="2"/>
  <c r="U241" i="2"/>
  <c r="U247" i="2"/>
  <c r="V239" i="2"/>
  <c r="U244" i="2"/>
  <c r="U240" i="2"/>
  <c r="U248" i="2"/>
  <c r="U250" i="2"/>
  <c r="U245" i="2"/>
  <c r="A71" i="1"/>
  <c r="A72" i="1" s="1"/>
  <c r="A73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W239" i="2" l="1"/>
  <c r="V249" i="2"/>
  <c r="V242" i="2"/>
  <c r="V243" i="2"/>
  <c r="V244" i="2"/>
  <c r="V240" i="2"/>
  <c r="V246" i="2"/>
  <c r="V247" i="2"/>
  <c r="V245" i="2"/>
  <c r="V250" i="2"/>
  <c r="V241" i="2"/>
  <c r="V248" i="2"/>
  <c r="A74" i="1"/>
  <c r="A123" i="1" s="1"/>
  <c r="L127" i="1" s="1"/>
  <c r="B5" i="12" s="1"/>
  <c r="C30" i="11" s="1"/>
  <c r="A122" i="1"/>
  <c r="A172" i="1"/>
  <c r="A173" i="1" s="1"/>
  <c r="A174" i="1" s="1"/>
  <c r="A175" i="1" s="1"/>
  <c r="A176" i="1" s="1"/>
  <c r="A177" i="1" s="1"/>
  <c r="A178" i="1" s="1"/>
  <c r="X239" i="2" l="1"/>
  <c r="W246" i="2"/>
  <c r="W247" i="2"/>
  <c r="W241" i="2"/>
  <c r="W240" i="2"/>
  <c r="W249" i="2"/>
  <c r="W248" i="2"/>
  <c r="W243" i="2"/>
  <c r="W242" i="2"/>
  <c r="W244" i="2"/>
  <c r="W250" i="2"/>
  <c r="W245" i="2"/>
  <c r="A124" i="1"/>
  <c r="A125" i="1" s="1"/>
  <c r="A126" i="1" s="1"/>
  <c r="L137" i="1" s="1"/>
  <c r="B6" i="12" s="1"/>
  <c r="C31" i="1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179" i="1"/>
  <c r="A180" i="1" s="1"/>
  <c r="A181" i="1" s="1"/>
  <c r="A182" i="1" s="1"/>
  <c r="A183" i="1" s="1"/>
  <c r="A127" i="1" l="1"/>
  <c r="A128" i="1" s="1"/>
  <c r="A129" i="1" s="1"/>
  <c r="X241" i="2"/>
  <c r="X247" i="2"/>
  <c r="X246" i="2"/>
  <c r="X240" i="2"/>
  <c r="X250" i="2"/>
  <c r="X244" i="2"/>
  <c r="X243" i="2"/>
  <c r="X249" i="2"/>
  <c r="Y239" i="2"/>
  <c r="X242" i="2"/>
  <c r="X248" i="2"/>
  <c r="X245" i="2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L139" i="1" l="1"/>
  <c r="B7" i="12" s="1"/>
  <c r="C32" i="11" s="1"/>
  <c r="A195" i="1"/>
  <c r="A196" i="1" s="1"/>
  <c r="A197" i="1" s="1"/>
  <c r="A198" i="1" s="1"/>
  <c r="A199" i="1" s="1"/>
  <c r="L196" i="1"/>
  <c r="L194" i="1"/>
  <c r="Z239" i="2"/>
  <c r="Y242" i="2"/>
  <c r="Y246" i="2"/>
  <c r="Y247" i="2"/>
  <c r="Y244" i="2"/>
  <c r="Y249" i="2"/>
  <c r="Y240" i="2"/>
  <c r="Y243" i="2"/>
  <c r="Y250" i="2"/>
  <c r="Y241" i="2"/>
  <c r="Y248" i="2"/>
  <c r="Y245" i="2"/>
  <c r="A130" i="1"/>
  <c r="O194" i="1" l="1"/>
  <c r="B18" i="12" s="1"/>
  <c r="C43" i="11" s="1"/>
  <c r="M194" i="1"/>
  <c r="O196" i="1"/>
  <c r="B19" i="12" s="1"/>
  <c r="C44" i="11" s="1"/>
  <c r="M196" i="1"/>
  <c r="Z247" i="2"/>
  <c r="Z243" i="2"/>
  <c r="Z240" i="2"/>
  <c r="AA239" i="2"/>
  <c r="Z242" i="2"/>
  <c r="Z248" i="2"/>
  <c r="Z241" i="2"/>
  <c r="Z244" i="2"/>
  <c r="Z246" i="2"/>
  <c r="Z249" i="2"/>
  <c r="Z245" i="2"/>
  <c r="Z250" i="2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B239" i="2" l="1"/>
  <c r="AA244" i="2"/>
  <c r="AA247" i="2"/>
  <c r="AA246" i="2"/>
  <c r="AA240" i="2"/>
  <c r="AA249" i="2"/>
  <c r="AA242" i="2"/>
  <c r="AA250" i="2"/>
  <c r="AA243" i="2"/>
  <c r="AA241" i="2"/>
  <c r="AA248" i="2"/>
  <c r="AA245" i="2"/>
  <c r="AB242" i="2" l="1"/>
  <c r="AB244" i="2"/>
  <c r="AB247" i="2"/>
  <c r="AB246" i="2"/>
  <c r="AC239" i="2"/>
  <c r="AB241" i="2"/>
  <c r="AB243" i="2"/>
  <c r="AB240" i="2"/>
  <c r="AB248" i="2"/>
  <c r="AB249" i="2"/>
  <c r="AB245" i="2"/>
  <c r="AB250" i="2"/>
  <c r="AD239" i="2" l="1"/>
  <c r="AC243" i="2"/>
  <c r="AC246" i="2"/>
  <c r="AC244" i="2"/>
  <c r="AC249" i="2"/>
  <c r="AC247" i="2"/>
  <c r="AC242" i="2"/>
  <c r="AC241" i="2"/>
  <c r="AC250" i="2"/>
  <c r="AC240" i="2"/>
  <c r="AC245" i="2"/>
  <c r="AC248" i="2"/>
  <c r="AD241" i="2" l="1"/>
  <c r="AD246" i="2"/>
  <c r="AD244" i="2"/>
  <c r="AD242" i="2"/>
  <c r="AD240" i="2"/>
  <c r="AD249" i="2"/>
  <c r="AD247" i="2"/>
  <c r="AE239" i="2"/>
  <c r="AD243" i="2"/>
  <c r="AD245" i="2"/>
  <c r="AD248" i="2"/>
  <c r="AD250" i="2"/>
  <c r="AE240" i="2" l="1"/>
  <c r="AE243" i="2"/>
  <c r="AE241" i="2"/>
  <c r="AE250" i="2"/>
  <c r="AE242" i="2"/>
  <c r="AE247" i="2"/>
  <c r="AE246" i="2"/>
  <c r="AF239" i="2"/>
  <c r="AE249" i="2"/>
  <c r="AE244" i="2"/>
  <c r="AE245" i="2"/>
  <c r="AE248" i="2"/>
  <c r="AF246" i="2" l="1"/>
  <c r="AF249" i="2"/>
  <c r="AF250" i="2"/>
  <c r="AF243" i="2"/>
  <c r="AF247" i="2"/>
  <c r="AG239" i="2"/>
  <c r="AF241" i="2"/>
  <c r="AF240" i="2"/>
  <c r="AF244" i="2"/>
  <c r="AF248" i="2"/>
  <c r="AF242" i="2"/>
  <c r="AF245" i="2"/>
  <c r="AG247" i="2" l="1"/>
  <c r="AG250" i="2"/>
  <c r="AG243" i="2"/>
  <c r="AG244" i="2"/>
  <c r="AG242" i="2"/>
  <c r="AG241" i="2"/>
  <c r="AG240" i="2"/>
  <c r="AG249" i="2"/>
  <c r="AG246" i="2"/>
  <c r="AG248" i="2"/>
  <c r="AG245" i="2"/>
</calcChain>
</file>

<file path=xl/sharedStrings.xml><?xml version="1.0" encoding="utf-8"?>
<sst xmlns="http://schemas.openxmlformats.org/spreadsheetml/2006/main" count="1602" uniqueCount="832">
  <si>
    <t>B          :</t>
  </si>
  <si>
    <t>A          :</t>
  </si>
  <si>
    <t>a          :</t>
  </si>
  <si>
    <t>b          :</t>
  </si>
  <si>
    <t>m</t>
  </si>
  <si>
    <t>Ancho zapata, según dirección de análisis</t>
  </si>
  <si>
    <t>Profundidad de zapata</t>
  </si>
  <si>
    <t>Profundidad del pedestal</t>
  </si>
  <si>
    <t>Ancho del pedestal</t>
  </si>
  <si>
    <t>Espesor de la zapata</t>
  </si>
  <si>
    <t>Altura pedestal</t>
  </si>
  <si>
    <t>Altura relleno</t>
  </si>
  <si>
    <t>Altura napa</t>
  </si>
  <si>
    <t>Altura total de la fundación</t>
  </si>
  <si>
    <t>α          :</t>
  </si>
  <si>
    <t>Angulo de cono de arrancamiento</t>
  </si>
  <si>
    <t>⁰</t>
  </si>
  <si>
    <t>Geometría:</t>
  </si>
  <si>
    <t>Suelo de fundación:</t>
  </si>
  <si>
    <t>Diseño de Zapatas mediante el método X - Y</t>
  </si>
  <si>
    <t>º</t>
  </si>
  <si>
    <t>Angulo fricción</t>
  </si>
  <si>
    <t>ф          :</t>
  </si>
  <si>
    <t>Tipo de suelo</t>
  </si>
  <si>
    <t>Forma de trabajo</t>
  </si>
  <si>
    <t>Cohesión</t>
  </si>
  <si>
    <t>Angulo de fricción</t>
  </si>
  <si>
    <t>Angulo cono arrancamiento</t>
  </si>
  <si>
    <t>Peso unitario suelo arrancamiento</t>
  </si>
  <si>
    <t>Peso unitario suelo aplastamiento</t>
  </si>
  <si>
    <t>Peso unitario hormigón arrancamiento</t>
  </si>
  <si>
    <t>Peso unitario hormigón aplastamiento</t>
  </si>
  <si>
    <t>Tensión admisible suelo vertical</t>
  </si>
  <si>
    <t>Tensión admisible suelo horizontal</t>
  </si>
  <si>
    <t>Balasto</t>
  </si>
  <si>
    <t>vertical</t>
  </si>
  <si>
    <t>Horizontal</t>
  </si>
  <si>
    <t>t/m2</t>
  </si>
  <si>
    <t>t/m3</t>
  </si>
  <si>
    <t>ANC</t>
  </si>
  <si>
    <t>-</t>
  </si>
  <si>
    <t>2F</t>
  </si>
  <si>
    <t>F</t>
  </si>
  <si>
    <t>2C</t>
  </si>
  <si>
    <t>C</t>
  </si>
  <si>
    <t>3F</t>
  </si>
  <si>
    <t>4C</t>
  </si>
  <si>
    <t>5F</t>
  </si>
  <si>
    <t>5C</t>
  </si>
  <si>
    <t>6F</t>
  </si>
  <si>
    <t>6C</t>
  </si>
  <si>
    <t>7C</t>
  </si>
  <si>
    <t>Peso suelo aplastamiento</t>
  </si>
  <si>
    <t>Peso suelo arrancamiento</t>
  </si>
  <si>
    <t>Peso hormigón aplastamiento</t>
  </si>
  <si>
    <t>Peso hormigón arrancamiento</t>
  </si>
  <si>
    <t>Presión admisible neta vertical</t>
  </si>
  <si>
    <t>Presión admisible neta horizontal</t>
  </si>
  <si>
    <t>Peso hormigón</t>
  </si>
  <si>
    <t>Materiales:</t>
  </si>
  <si>
    <t>Solicitaciones:</t>
  </si>
  <si>
    <t>ton</t>
  </si>
  <si>
    <t>Verificación de la tensión de contacto máxima en el suelo</t>
  </si>
  <si>
    <t>Caso 1: Carga vertical de compresión y excentricidades menores a un sexto de sus dimensiones en planta</t>
  </si>
  <si>
    <t>W</t>
  </si>
  <si>
    <t>Tensión máxima en el suelo</t>
  </si>
  <si>
    <t>Caso 2: Carga Vertical de compresión y resultante usualmente fuera de tercio central</t>
  </si>
  <si>
    <t>Peso del suelo sobre la fundación</t>
  </si>
  <si>
    <t>Peso del suelo sobre la estructura con el cono</t>
  </si>
  <si>
    <t>Az    :</t>
  </si>
  <si>
    <t>m2</t>
  </si>
  <si>
    <t>An   :</t>
  </si>
  <si>
    <t>Ar    :</t>
  </si>
  <si>
    <t>Vc1   :</t>
  </si>
  <si>
    <t>Vc2   :</t>
  </si>
  <si>
    <t>m3</t>
  </si>
  <si>
    <t>Area zapata</t>
  </si>
  <si>
    <t>Area superior del relleno considerando cono</t>
  </si>
  <si>
    <t>Area de la napa considerando cono</t>
  </si>
  <si>
    <t>Volúmen cono entre superficie del relleno y napa</t>
  </si>
  <si>
    <t>Volúmen cono entre napa y zapata</t>
  </si>
  <si>
    <t>Tensión admisible del suelo</t>
  </si>
  <si>
    <t>Tensión máxima admisible del relleno</t>
  </si>
  <si>
    <t>Cargas normales:</t>
  </si>
  <si>
    <t>Cargas eventuales</t>
  </si>
  <si>
    <r>
      <t>e</t>
    </r>
    <r>
      <rPr>
        <vertAlign val="subscript"/>
        <sz val="11"/>
        <color indexed="8"/>
        <rFont val="Frutiger-Light"/>
      </rPr>
      <t>z</t>
    </r>
    <r>
      <rPr>
        <sz val="11"/>
        <color indexed="8"/>
        <rFont val="Frutiger-Light"/>
      </rPr>
      <t xml:space="preserve">         :</t>
    </r>
  </si>
  <si>
    <r>
      <t>H</t>
    </r>
    <r>
      <rPr>
        <vertAlign val="subscript"/>
        <sz val="11"/>
        <color indexed="8"/>
        <rFont val="Frutiger-Light"/>
      </rPr>
      <t>p</t>
    </r>
    <r>
      <rPr>
        <sz val="11"/>
        <color indexed="8"/>
        <rFont val="Frutiger-Light"/>
      </rPr>
      <t xml:space="preserve">         :</t>
    </r>
  </si>
  <si>
    <r>
      <t>H</t>
    </r>
    <r>
      <rPr>
        <vertAlign val="subscript"/>
        <sz val="11"/>
        <color indexed="8"/>
        <rFont val="Frutiger-Light"/>
      </rPr>
      <t>r</t>
    </r>
    <r>
      <rPr>
        <sz val="11"/>
        <color indexed="8"/>
        <rFont val="Frutiger-Light"/>
      </rPr>
      <t xml:space="preserve">         :</t>
    </r>
  </si>
  <si>
    <r>
      <t>H</t>
    </r>
    <r>
      <rPr>
        <vertAlign val="subscript"/>
        <sz val="11"/>
        <color indexed="8"/>
        <rFont val="Frutiger-Light"/>
      </rPr>
      <t>n</t>
    </r>
    <r>
      <rPr>
        <sz val="11"/>
        <color indexed="8"/>
        <rFont val="Frutiger-Light"/>
      </rPr>
      <t xml:space="preserve">         :</t>
    </r>
  </si>
  <si>
    <r>
      <t>H</t>
    </r>
    <r>
      <rPr>
        <vertAlign val="subscript"/>
        <sz val="11"/>
        <color indexed="8"/>
        <rFont val="Frutiger-Light"/>
      </rPr>
      <t>t</t>
    </r>
    <r>
      <rPr>
        <sz val="11"/>
        <color indexed="8"/>
        <rFont val="Frutiger-Light"/>
      </rPr>
      <t xml:space="preserve">         :</t>
    </r>
  </si>
  <si>
    <r>
      <t>t/m</t>
    </r>
    <r>
      <rPr>
        <vertAlign val="superscript"/>
        <sz val="11"/>
        <color indexed="8"/>
        <rFont val="Frutiger-Light"/>
      </rPr>
      <t>3</t>
    </r>
  </si>
  <si>
    <r>
      <t>γ</t>
    </r>
    <r>
      <rPr>
        <vertAlign val="subscript"/>
        <sz val="12"/>
        <color indexed="8"/>
        <rFont val="Frutiger-Light"/>
      </rPr>
      <t>apl</t>
    </r>
    <r>
      <rPr>
        <sz val="12"/>
        <color indexed="8"/>
        <rFont val="Frutiger-Light"/>
      </rPr>
      <t xml:space="preserve">       :</t>
    </r>
  </si>
  <si>
    <r>
      <t>γ</t>
    </r>
    <r>
      <rPr>
        <vertAlign val="subscript"/>
        <sz val="12"/>
        <color indexed="8"/>
        <rFont val="Frutiger-Light"/>
      </rPr>
      <t>hor apl</t>
    </r>
    <r>
      <rPr>
        <sz val="12"/>
        <color indexed="8"/>
        <rFont val="Frutiger-Light"/>
      </rPr>
      <t xml:space="preserve">   :</t>
    </r>
  </si>
  <si>
    <r>
      <t>σ</t>
    </r>
    <r>
      <rPr>
        <vertAlign val="subscript"/>
        <sz val="12"/>
        <color indexed="8"/>
        <rFont val="Frutiger-Light"/>
      </rPr>
      <t xml:space="preserve">adm ver </t>
    </r>
    <r>
      <rPr>
        <sz val="12"/>
        <color indexed="8"/>
        <rFont val="Frutiger-Light"/>
      </rPr>
      <t xml:space="preserve"> :</t>
    </r>
  </si>
  <si>
    <r>
      <t>t/m</t>
    </r>
    <r>
      <rPr>
        <vertAlign val="superscript"/>
        <sz val="11"/>
        <color indexed="8"/>
        <rFont val="Frutiger-Light"/>
      </rPr>
      <t>2</t>
    </r>
  </si>
  <si>
    <r>
      <t>γ</t>
    </r>
    <r>
      <rPr>
        <vertAlign val="subscript"/>
        <sz val="12"/>
        <color indexed="8"/>
        <rFont val="Frutiger-Light"/>
      </rPr>
      <t>rell</t>
    </r>
    <r>
      <rPr>
        <sz val="12"/>
        <color indexed="8"/>
        <rFont val="Frutiger-Light"/>
      </rPr>
      <t xml:space="preserve">        :</t>
    </r>
  </si>
  <si>
    <r>
      <t>σ</t>
    </r>
    <r>
      <rPr>
        <vertAlign val="subscript"/>
        <sz val="12"/>
        <color indexed="8"/>
        <rFont val="Frutiger-Light"/>
      </rPr>
      <t xml:space="preserve">max adm </t>
    </r>
    <r>
      <rPr>
        <sz val="12"/>
        <color indexed="8"/>
        <rFont val="Frutiger-Light"/>
      </rPr>
      <t>:</t>
    </r>
  </si>
  <si>
    <r>
      <t>γ</t>
    </r>
    <r>
      <rPr>
        <vertAlign val="subscript"/>
        <sz val="12"/>
        <color indexed="8"/>
        <rFont val="Frutiger-Light"/>
      </rPr>
      <t xml:space="preserve">hor       </t>
    </r>
    <r>
      <rPr>
        <sz val="12"/>
        <color indexed="8"/>
        <rFont val="Frutiger-Light"/>
      </rPr>
      <t xml:space="preserve">   :</t>
    </r>
  </si>
  <si>
    <r>
      <t>σ</t>
    </r>
    <r>
      <rPr>
        <vertAlign val="subscript"/>
        <sz val="12"/>
        <color indexed="8"/>
        <rFont val="Frutiger-Light"/>
      </rPr>
      <t xml:space="preserve">max      </t>
    </r>
    <r>
      <rPr>
        <sz val="12"/>
        <color indexed="8"/>
        <rFont val="Frutiger-Light"/>
      </rPr>
      <t>:</t>
    </r>
  </si>
  <si>
    <r>
      <t>σ</t>
    </r>
    <r>
      <rPr>
        <vertAlign val="subscript"/>
        <sz val="12"/>
        <color indexed="8"/>
        <rFont val="Frutiger-Light"/>
      </rPr>
      <t xml:space="preserve">adm      </t>
    </r>
    <r>
      <rPr>
        <sz val="12"/>
        <color indexed="8"/>
        <rFont val="Frutiger-Light"/>
      </rPr>
      <t>:</t>
    </r>
  </si>
  <si>
    <t>Verificación del volcamiento de la fundación</t>
  </si>
  <si>
    <t>Nmax (ton)</t>
  </si>
  <si>
    <t>Nmin (ton)</t>
  </si>
  <si>
    <t>CC1</t>
  </si>
  <si>
    <t>CC2</t>
  </si>
  <si>
    <t>CC3</t>
  </si>
  <si>
    <t>CC4</t>
  </si>
  <si>
    <t>Cargas a nivel de sello de fundación</t>
  </si>
  <si>
    <t>Carga vertical máxima de compresión sobre el pedestal</t>
  </si>
  <si>
    <t>Carga vertical mínima de compresión sobre el pedestal</t>
  </si>
  <si>
    <t>P max</t>
  </si>
  <si>
    <t>P min</t>
  </si>
  <si>
    <t>Carga máxima, considerando un 75% del suelo de relleno</t>
  </si>
  <si>
    <t>Carga mínima, considerando un 75% del suelo de relleno</t>
  </si>
  <si>
    <t>ex max</t>
  </si>
  <si>
    <t>ex min</t>
  </si>
  <si>
    <r>
      <t>γ</t>
    </r>
    <r>
      <rPr>
        <vertAlign val="subscript"/>
        <sz val="12"/>
        <color indexed="8"/>
        <rFont val="Frutiger-Light"/>
      </rPr>
      <t xml:space="preserve">boy      </t>
    </r>
    <r>
      <rPr>
        <sz val="12"/>
        <color indexed="8"/>
        <rFont val="Frutiger-Light"/>
      </rPr>
      <t xml:space="preserve">   :</t>
    </r>
  </si>
  <si>
    <t>W3</t>
  </si>
  <si>
    <t>Empuje vertical hacia arriba debido al volumen desplazado por el hormigon</t>
  </si>
  <si>
    <t>Combinación =</t>
  </si>
  <si>
    <t>Peso relleno humedo</t>
  </si>
  <si>
    <t>Peso relleno boyante</t>
  </si>
  <si>
    <t>Carga máxima, considerando un 75% del suelo de relleno (se considera la acción de la napa)</t>
  </si>
  <si>
    <t>Carga mínima, considerando un 75% del suelo de relleno (se considera la acción de la napa)</t>
  </si>
  <si>
    <t>Estabilidad de la fundación al deslizamiento</t>
  </si>
  <si>
    <t>Solicitaciones según fabricante</t>
  </si>
  <si>
    <t>Peso total fundación para masa sísmica</t>
  </si>
  <si>
    <t>Centro gravedad fundación para carga sísmica</t>
  </si>
  <si>
    <t>t</t>
  </si>
  <si>
    <t>Wf</t>
  </si>
  <si>
    <t>Hf</t>
  </si>
  <si>
    <t>FD =</t>
  </si>
  <si>
    <t>Fuerza deslizante</t>
  </si>
  <si>
    <t>FRf =</t>
  </si>
  <si>
    <t>μ =</t>
  </si>
  <si>
    <t>Coeficiente de roce</t>
  </si>
  <si>
    <t>Fuerza resistente por fricción mínima</t>
  </si>
  <si>
    <t>FRc =</t>
  </si>
  <si>
    <t>Fuerza resistente por cohesión</t>
  </si>
  <si>
    <t>FR =</t>
  </si>
  <si>
    <t>Fuerza resistente total al desplazamiento</t>
  </si>
  <si>
    <t>FD</t>
  </si>
  <si>
    <t>FR</t>
  </si>
  <si>
    <t>TIPOS DE SUELO</t>
  </si>
  <si>
    <t>PROPIEDADES DE PERFILES</t>
  </si>
  <si>
    <t>L100x10</t>
  </si>
  <si>
    <t>L100x12</t>
  </si>
  <si>
    <t>L100x6</t>
  </si>
  <si>
    <t>L100x8</t>
  </si>
  <si>
    <t>L110x10</t>
  </si>
  <si>
    <t>L110x12</t>
  </si>
  <si>
    <t>L110x14</t>
  </si>
  <si>
    <t>L120x10</t>
  </si>
  <si>
    <t>L120x11</t>
  </si>
  <si>
    <t>L120x12</t>
  </si>
  <si>
    <t>L120x13</t>
  </si>
  <si>
    <t>L120x15</t>
  </si>
  <si>
    <t>L120x8</t>
  </si>
  <si>
    <t>L1-3/4"x1-1/4"x1/8</t>
  </si>
  <si>
    <t>L1-3/4"x1-3/4"x1/4</t>
  </si>
  <si>
    <t>L1-3/4"x1-3/4"x1/8</t>
  </si>
  <si>
    <t>L1-3/4"x1-3/4"x3/16</t>
  </si>
  <si>
    <t>L130x12</t>
  </si>
  <si>
    <t>L130x14</t>
  </si>
  <si>
    <t>L130x16</t>
  </si>
  <si>
    <t>L140x13</t>
  </si>
  <si>
    <t>L140x15</t>
  </si>
  <si>
    <t>L150x10</t>
  </si>
  <si>
    <t>L150x12</t>
  </si>
  <si>
    <t>L150x14</t>
  </si>
  <si>
    <t>L150x15</t>
  </si>
  <si>
    <t>L150x16</t>
  </si>
  <si>
    <t>L150x18</t>
  </si>
  <si>
    <t>L160x15</t>
  </si>
  <si>
    <t>L160x17</t>
  </si>
  <si>
    <t>L160x19</t>
  </si>
  <si>
    <t>L180x15</t>
  </si>
  <si>
    <t>L180x16</t>
  </si>
  <si>
    <t>L180x18</t>
  </si>
  <si>
    <t>L180x20</t>
  </si>
  <si>
    <t>L2"x1-1/2"x1/8</t>
  </si>
  <si>
    <t>L2"x2"x1/4</t>
  </si>
  <si>
    <t>L2"x2"x1/8</t>
  </si>
  <si>
    <t>L2"x2"x3/16</t>
  </si>
  <si>
    <t>L2"x2"x3/8</t>
  </si>
  <si>
    <t>L2"x2"x5/16</t>
  </si>
  <si>
    <t>L200x16</t>
  </si>
  <si>
    <t>L200x18</t>
  </si>
  <si>
    <t>L200x20</t>
  </si>
  <si>
    <t>L200x24</t>
  </si>
  <si>
    <t>L2-1/2"x2"x1/4</t>
  </si>
  <si>
    <t>L2-1/2"x2"x1/8</t>
  </si>
  <si>
    <t>L2-1/2"x2"x3/16</t>
  </si>
  <si>
    <t>L2-1/2"x2"x3/8</t>
  </si>
  <si>
    <t>L2-1/2"x2"x5/16</t>
  </si>
  <si>
    <t>L2-1/2"x2-1/2"x1/2</t>
  </si>
  <si>
    <t>L2-1/2"x2-1/2"x1/4</t>
  </si>
  <si>
    <t>L2-1/2"x2-1/2"x1/8</t>
  </si>
  <si>
    <t>L2-1/2"x2-1/2"x3/16</t>
  </si>
  <si>
    <t>L2-1/2"x2-1/2"x3/8</t>
  </si>
  <si>
    <t>L2-1/2"x2-1/2"x5/16</t>
  </si>
  <si>
    <t>L3"x2"x1/2</t>
  </si>
  <si>
    <t>L3"x2"x1/4</t>
  </si>
  <si>
    <t>L3"x2"x3/16</t>
  </si>
  <si>
    <t>L3"x2"x3/8</t>
  </si>
  <si>
    <t>L3"x2"x5/16</t>
  </si>
  <si>
    <t>L3"x2-1/2"x1/2</t>
  </si>
  <si>
    <t>L3"x2-1/2"x1/4</t>
  </si>
  <si>
    <t>L3"x2-1/2"x3/16</t>
  </si>
  <si>
    <t>L3"x2-1/2"x3/8</t>
  </si>
  <si>
    <t>L3"x2-1/2"x5/16</t>
  </si>
  <si>
    <t>L3"x3"x1/2</t>
  </si>
  <si>
    <t>L3"x3"x1/4</t>
  </si>
  <si>
    <t>L3"x3"x3/16</t>
  </si>
  <si>
    <t>L3"x3"x3/8</t>
  </si>
  <si>
    <t>L3"x3"x5/16</t>
  </si>
  <si>
    <t>L3"x3"x7/16</t>
  </si>
  <si>
    <t>L3"x4"x3/16</t>
  </si>
  <si>
    <t>L3-1/2"x2-1/2"x1/2</t>
  </si>
  <si>
    <t>L3-1/2"x2-1/2"x1/4</t>
  </si>
  <si>
    <t>L3-1/2"x2-1/2"x3/8</t>
  </si>
  <si>
    <t>L3-1/2"x3"x1/2</t>
  </si>
  <si>
    <t>L3-1/2"x3"x1/4</t>
  </si>
  <si>
    <t>L3-1/2"x3"x3/8</t>
  </si>
  <si>
    <t>L3-1/2"x3"x5/16</t>
  </si>
  <si>
    <t>L3-1/2"x3-1/2"x1/2</t>
  </si>
  <si>
    <t>L3-1/2"x3-1/2"x1/4</t>
  </si>
  <si>
    <t>L3-1/2"x3-1/2"x1/8</t>
  </si>
  <si>
    <t>L3-1/2"x3-1/2"x3/16</t>
  </si>
  <si>
    <t>L3-1/2"x3-1/2"x3/8</t>
  </si>
  <si>
    <t>L3-1/2"x3-1/2"x5/16</t>
  </si>
  <si>
    <t>L4"x3"x1/2</t>
  </si>
  <si>
    <t>L4"x3"x1/4</t>
  </si>
  <si>
    <t>L4"x3"x3/8</t>
  </si>
  <si>
    <t>L4"x3"x5/16</t>
  </si>
  <si>
    <t>L4"x3"x7/16</t>
  </si>
  <si>
    <t>L4"x3-1/2"x1/2</t>
  </si>
  <si>
    <t>L4"x3-1/2"x1/4</t>
  </si>
  <si>
    <t>L4"x3-1/2"x3/8</t>
  </si>
  <si>
    <t>L4"x3-1/2"x5/16</t>
  </si>
  <si>
    <t>L4"x3-1/2"x7/16</t>
  </si>
  <si>
    <t>L4"x4"x1/2</t>
  </si>
  <si>
    <t>L4"x4"x1/4</t>
  </si>
  <si>
    <t>L4"x4"x3/4</t>
  </si>
  <si>
    <t>L4"x4"x3/8</t>
  </si>
  <si>
    <t>L4"x4"x5/16</t>
  </si>
  <si>
    <t>L4"x4"x5/8</t>
  </si>
  <si>
    <t>L4"x4"x7/16</t>
  </si>
  <si>
    <t>L40x3</t>
  </si>
  <si>
    <t>L40x4</t>
  </si>
  <si>
    <t>L40x5</t>
  </si>
  <si>
    <t>L40x6</t>
  </si>
  <si>
    <t>L45x3</t>
  </si>
  <si>
    <t>L45x4</t>
  </si>
  <si>
    <t>L45x5</t>
  </si>
  <si>
    <t>L45x6</t>
  </si>
  <si>
    <t>L5"x3"x1/2</t>
  </si>
  <si>
    <t>L5"x3"x1/4</t>
  </si>
  <si>
    <t>L5"x3"x3/8</t>
  </si>
  <si>
    <t>L5"x3"x5/16</t>
  </si>
  <si>
    <t>L5"x3"x7/16</t>
  </si>
  <si>
    <t>L5"x3-1/2"x1/2</t>
  </si>
  <si>
    <t>L5"x3-1/2"x1/4</t>
  </si>
  <si>
    <t>L5"x3-1/2"x3/4</t>
  </si>
  <si>
    <t>L5"x3-1/2"x3/8</t>
  </si>
  <si>
    <t>L5"x3-1/2"x5/16</t>
  </si>
  <si>
    <t>L5"x3-1/2"x5/8</t>
  </si>
  <si>
    <t>L5"x5"x1/2</t>
  </si>
  <si>
    <t>L5"x5"x3/7</t>
  </si>
  <si>
    <t>L5"x5"x3/8</t>
  </si>
  <si>
    <t>L5"x5"x5/16</t>
  </si>
  <si>
    <t>L5"x5"x5/8</t>
  </si>
  <si>
    <t>L5"x5"x7/16</t>
  </si>
  <si>
    <t>L5"x5"x7/8</t>
  </si>
  <si>
    <t>L50x3</t>
  </si>
  <si>
    <t>L50x4</t>
  </si>
  <si>
    <t>L50x5</t>
  </si>
  <si>
    <t>L50x6</t>
  </si>
  <si>
    <t>L55x5</t>
  </si>
  <si>
    <t>L55x6</t>
  </si>
  <si>
    <t>L6"x3-1/2"x1/2</t>
  </si>
  <si>
    <t>L6"x3-1/2"x3/8</t>
  </si>
  <si>
    <t>L6"x3-1/2"x5/16</t>
  </si>
  <si>
    <t>L6"x4"x1/2</t>
  </si>
  <si>
    <t>L6"x4"x3/4</t>
  </si>
  <si>
    <t>L6"x4"x3/8</t>
  </si>
  <si>
    <t>L6"x4"x5/16</t>
  </si>
  <si>
    <t>L6"x4"x5/8</t>
  </si>
  <si>
    <t>L6"x4"x7/16</t>
  </si>
  <si>
    <t>L6"x4"x7/8</t>
  </si>
  <si>
    <t>L6"x4"x9/16</t>
  </si>
  <si>
    <t>L6"x6"x1</t>
  </si>
  <si>
    <t>L6"x6"x1/2</t>
  </si>
  <si>
    <t>L6"x6"x3/4</t>
  </si>
  <si>
    <t>L6"x6"x3/8</t>
  </si>
  <si>
    <t>L6"x6"x5/16</t>
  </si>
  <si>
    <t>L6"x6"x5/8</t>
  </si>
  <si>
    <t>L6"x6"x7/16</t>
  </si>
  <si>
    <t>L6"x6"x7/8</t>
  </si>
  <si>
    <t>L6"x6"x9/16</t>
  </si>
  <si>
    <t>L60x4</t>
  </si>
  <si>
    <t>L60x5</t>
  </si>
  <si>
    <t>L60x6</t>
  </si>
  <si>
    <t>L60x8</t>
  </si>
  <si>
    <t>L65x5</t>
  </si>
  <si>
    <t>L65x6</t>
  </si>
  <si>
    <t>L65x7</t>
  </si>
  <si>
    <t>L7"x4"x1/2</t>
  </si>
  <si>
    <t>L7"x4"x3/4</t>
  </si>
  <si>
    <t>L7"x4"x3/8</t>
  </si>
  <si>
    <t>L7"x4"x5/8</t>
  </si>
  <si>
    <t>L70x5</t>
  </si>
  <si>
    <t>L70x6</t>
  </si>
  <si>
    <t>L70x7</t>
  </si>
  <si>
    <t>L75x6</t>
  </si>
  <si>
    <t>L75x7</t>
  </si>
  <si>
    <t>L8"x4"x1</t>
  </si>
  <si>
    <t>L8"x4"x1/2</t>
  </si>
  <si>
    <t>L8"x4"x3/4</t>
  </si>
  <si>
    <t>L8"x4"x9/16</t>
  </si>
  <si>
    <t>L8"x6"x1</t>
  </si>
  <si>
    <t>L8"x6"x1/2</t>
  </si>
  <si>
    <t>L8"x6"x3/4</t>
  </si>
  <si>
    <t>L8"x6"x5/8</t>
  </si>
  <si>
    <t>L8"x6"x7/16</t>
  </si>
  <si>
    <t>L8"x6"x7/8</t>
  </si>
  <si>
    <t>L8"x6"x9/16</t>
  </si>
  <si>
    <t>L8"x8"x1</t>
  </si>
  <si>
    <t>L8"x8"x1/2</t>
  </si>
  <si>
    <t>L8"x8"x1-1/8</t>
  </si>
  <si>
    <t>L8"x8"x3/4</t>
  </si>
  <si>
    <t>L8"x8"x5/8</t>
  </si>
  <si>
    <t>L8"x8"x7/8</t>
  </si>
  <si>
    <t>L8"x8"x9/16</t>
  </si>
  <si>
    <t>L80x10</t>
  </si>
  <si>
    <t>L80x6</t>
  </si>
  <si>
    <t>L80x7</t>
  </si>
  <si>
    <t>L80x8</t>
  </si>
  <si>
    <t>L90x8</t>
  </si>
  <si>
    <t>L90x9</t>
  </si>
  <si>
    <t>PERFIL</t>
  </si>
  <si>
    <t>AREA</t>
  </si>
  <si>
    <t>iu</t>
  </si>
  <si>
    <t>ix</t>
  </si>
  <si>
    <t>b</t>
  </si>
  <si>
    <t>e</t>
  </si>
  <si>
    <t>CANTONERAS</t>
  </si>
  <si>
    <t>A =</t>
  </si>
  <si>
    <t>cm2</t>
  </si>
  <si>
    <t>B =</t>
  </si>
  <si>
    <t>e =</t>
  </si>
  <si>
    <t>iu =</t>
  </si>
  <si>
    <t>ix =</t>
  </si>
  <si>
    <t>cm</t>
  </si>
  <si>
    <t>Ht =</t>
  </si>
  <si>
    <t>n =</t>
  </si>
  <si>
    <r>
      <rPr>
        <sz val="11"/>
        <color indexed="8"/>
        <rFont val="Calibri"/>
        <family val="2"/>
      </rPr>
      <t>α</t>
    </r>
    <r>
      <rPr>
        <sz val="11"/>
        <color indexed="8"/>
        <rFont val="Frutiger-Light"/>
      </rPr>
      <t xml:space="preserve"> =</t>
    </r>
  </si>
  <si>
    <t>°</t>
  </si>
  <si>
    <t>Altura total de la estructura</t>
  </si>
  <si>
    <t>Ancho basal</t>
  </si>
  <si>
    <t>Ángulo de las diagonales</t>
  </si>
  <si>
    <t>Numero de divisiones</t>
  </si>
  <si>
    <t>h =</t>
  </si>
  <si>
    <t>Altura de cada paso</t>
  </si>
  <si>
    <t>Solicitaciones Basales</t>
  </si>
  <si>
    <t>Nmax =</t>
  </si>
  <si>
    <t>Nmin =</t>
  </si>
  <si>
    <t>Q =</t>
  </si>
  <si>
    <t>M =</t>
  </si>
  <si>
    <t>t-m</t>
  </si>
  <si>
    <t>DIAGONALES</t>
  </si>
  <si>
    <t>B/e =</t>
  </si>
  <si>
    <t>Fy =</t>
  </si>
  <si>
    <t>E =</t>
  </si>
  <si>
    <t>kgf/cm2</t>
  </si>
  <si>
    <t>Fe =</t>
  </si>
  <si>
    <t>L =</t>
  </si>
  <si>
    <t>Longitud de pandeo</t>
  </si>
  <si>
    <t>Tensión crítica de pandeo elástico</t>
  </si>
  <si>
    <t>Cálculo de la tensión admisible:</t>
  </si>
  <si>
    <t>Fcr =</t>
  </si>
  <si>
    <t>Carga admisible de compresión (ASD)</t>
  </si>
  <si>
    <t>P adm =</t>
  </si>
  <si>
    <t>C max =</t>
  </si>
  <si>
    <t>Tensión de pandeo</t>
  </si>
  <si>
    <t>d =</t>
  </si>
  <si>
    <t>kg</t>
  </si>
  <si>
    <t>CC1:</t>
  </si>
  <si>
    <t>CC2:</t>
  </si>
  <si>
    <t>CC3:</t>
  </si>
  <si>
    <t>W1 =</t>
  </si>
  <si>
    <t>W2 =</t>
  </si>
  <si>
    <t>W3 =</t>
  </si>
  <si>
    <t>Soporte equipo</t>
  </si>
  <si>
    <t>Base estructura</t>
  </si>
  <si>
    <t>Sello fundación</t>
  </si>
  <si>
    <t>H1 =</t>
  </si>
  <si>
    <t>H2 =</t>
  </si>
  <si>
    <t>H3 =</t>
  </si>
  <si>
    <t>Altura del equipo</t>
  </si>
  <si>
    <t>Altura de la estructura</t>
  </si>
  <si>
    <t>Altura de la fundación</t>
  </si>
  <si>
    <t>Hg1 =</t>
  </si>
  <si>
    <t>Hg2 =</t>
  </si>
  <si>
    <t>Hg3 =</t>
  </si>
  <si>
    <t>Centro de masa de la estructura</t>
  </si>
  <si>
    <t>Centro de masa de la fundación (sin considerar relleno ni napa)</t>
  </si>
  <si>
    <t>Peso de la estructura</t>
  </si>
  <si>
    <t>Peso de la fundación (sin considerar relleno ni napa)</t>
  </si>
  <si>
    <t>HT =</t>
  </si>
  <si>
    <t>Altura total</t>
  </si>
  <si>
    <t>CALCULO DE ESFUERZOS POR ESTADOS DE CARGA</t>
  </si>
  <si>
    <t>Qb =</t>
  </si>
  <si>
    <t>Corte basal</t>
  </si>
  <si>
    <t>MS =</t>
  </si>
  <si>
    <t>Masa sísmica</t>
  </si>
  <si>
    <t>a/g =</t>
  </si>
  <si>
    <t>A/g =</t>
  </si>
  <si>
    <t>R =</t>
  </si>
  <si>
    <t>z    =</t>
  </si>
  <si>
    <t>%</t>
  </si>
  <si>
    <t>Ch =</t>
  </si>
  <si>
    <t>Cv =</t>
  </si>
  <si>
    <t>Coeficiente sísmico horizontal</t>
  </si>
  <si>
    <t>Coeficiente sísmico vertical</t>
  </si>
  <si>
    <t>Nivel 1</t>
  </si>
  <si>
    <t>Nivel 2</t>
  </si>
  <si>
    <t>Nivel 3</t>
  </si>
  <si>
    <t>F' 1 =</t>
  </si>
  <si>
    <t>F' 2 =</t>
  </si>
  <si>
    <t>F' 3 =</t>
  </si>
  <si>
    <t xml:space="preserve"> Altura desde el nivel de terreno al SF</t>
  </si>
  <si>
    <t>F'' 1 =</t>
  </si>
  <si>
    <t>F'' 2 =</t>
  </si>
  <si>
    <t>F'' 3 =</t>
  </si>
  <si>
    <t>F 1 =</t>
  </si>
  <si>
    <t>F 2 =</t>
  </si>
  <si>
    <t>F 3 =</t>
  </si>
  <si>
    <t>1.- PESO PROPIO</t>
  </si>
  <si>
    <t>2.- SISMO</t>
  </si>
  <si>
    <t>3.- VIENTO</t>
  </si>
  <si>
    <t>Av 1 =</t>
  </si>
  <si>
    <t>Av 2 =</t>
  </si>
  <si>
    <t>Qv =</t>
  </si>
  <si>
    <t>kg/m2</t>
  </si>
  <si>
    <t>m2/m</t>
  </si>
  <si>
    <t>Presión básica del viento</t>
  </si>
  <si>
    <t>Area expuesta al viento del equipo</t>
  </si>
  <si>
    <t>Area expuesta al viento de la estructura</t>
  </si>
  <si>
    <t>Fo =</t>
  </si>
  <si>
    <t>Carga de operación según fabricante</t>
  </si>
  <si>
    <t>4.- TIRÓN SOBRE TERMINALES MAS CARGA DE OPERACIÓN</t>
  </si>
  <si>
    <t>Peso propio + Carga de operación</t>
  </si>
  <si>
    <t>Peso propio + Carga de operación + Viento</t>
  </si>
  <si>
    <t>Peso propio + Carga de operación + Sismo</t>
  </si>
  <si>
    <t>N max ( kg )</t>
  </si>
  <si>
    <t>N min ( kg )</t>
  </si>
  <si>
    <t>Q ( kg )</t>
  </si>
  <si>
    <t>M ( kg-m )</t>
  </si>
  <si>
    <t>I.- DIAGRAMA</t>
  </si>
  <si>
    <t>II.- GEOMETRÍA Y PESOS</t>
  </si>
  <si>
    <t>III.- ESTADOS DE CARGA</t>
  </si>
  <si>
    <t>IV.- COMBINACIONES DE CARGA</t>
  </si>
  <si>
    <t>PP + Co</t>
  </si>
  <si>
    <t>PP + Co + V</t>
  </si>
  <si>
    <t>PP + Co + S</t>
  </si>
  <si>
    <t>ARMADURAS Y ANCLAJES</t>
  </si>
  <si>
    <t>Dimensiones zapata</t>
  </si>
  <si>
    <t>L' =</t>
  </si>
  <si>
    <t>Altura útil de la zapata</t>
  </si>
  <si>
    <t>Profundidad de la zapata</t>
  </si>
  <si>
    <t>Largo en voladizo de la zapata</t>
  </si>
  <si>
    <t xml:space="preserve">Solicitaciones </t>
  </si>
  <si>
    <t>q =</t>
  </si>
  <si>
    <t>Se consideran ambas tensiones iguales a la máxima tensión del suelo</t>
  </si>
  <si>
    <t>M max =</t>
  </si>
  <si>
    <t>Q max =</t>
  </si>
  <si>
    <t>t/m</t>
  </si>
  <si>
    <t>Mu =</t>
  </si>
  <si>
    <t>Corte último</t>
  </si>
  <si>
    <t>Qu =</t>
  </si>
  <si>
    <r>
      <rPr>
        <sz val="12"/>
        <color indexed="8"/>
        <rFont val="Frutiger-Light"/>
      </rPr>
      <t>σ</t>
    </r>
    <r>
      <rPr>
        <vertAlign val="subscript"/>
        <sz val="11"/>
        <color indexed="8"/>
        <rFont val="Frutiger-Light"/>
      </rPr>
      <t xml:space="preserve">2 </t>
    </r>
    <r>
      <rPr>
        <sz val="11"/>
        <color indexed="8"/>
        <rFont val="Frutiger-Light"/>
      </rPr>
      <t xml:space="preserve"> =</t>
    </r>
  </si>
  <si>
    <r>
      <rPr>
        <sz val="12"/>
        <color indexed="8"/>
        <rFont val="Frutiger-Light"/>
      </rPr>
      <t>σ</t>
    </r>
    <r>
      <rPr>
        <vertAlign val="subscript"/>
        <sz val="11"/>
        <color indexed="8"/>
        <rFont val="Frutiger-Light"/>
      </rPr>
      <t xml:space="preserve">1 </t>
    </r>
    <r>
      <rPr>
        <sz val="11"/>
        <color indexed="8"/>
        <rFont val="Frutiger-Light"/>
      </rPr>
      <t xml:space="preserve"> =</t>
    </r>
  </si>
  <si>
    <t>Factor de utilización de corte</t>
  </si>
  <si>
    <t>Vc =</t>
  </si>
  <si>
    <t>Resistencia al corte del hormigón</t>
  </si>
  <si>
    <t>f´c =</t>
  </si>
  <si>
    <t>fy =</t>
  </si>
  <si>
    <t>kg/cm2</t>
  </si>
  <si>
    <t>Factor de utilización de flexión (suponiendo sección controlada por tracción)</t>
  </si>
  <si>
    <t>PP relleno + PP zapata</t>
  </si>
  <si>
    <t>cm2/m</t>
  </si>
  <si>
    <t>Armadura mínima por retracción :</t>
  </si>
  <si>
    <t>As = As´=</t>
  </si>
  <si>
    <t>As/m =</t>
  </si>
  <si>
    <t>En ambas direcciones y en ambas caras</t>
  </si>
  <si>
    <t>Amin =</t>
  </si>
  <si>
    <t>Cuantía mínima por retracción</t>
  </si>
  <si>
    <t>Cubicación aproximada =</t>
  </si>
  <si>
    <t>Area estimada de viento =</t>
  </si>
  <si>
    <r>
      <t xml:space="preserve">(ex </t>
    </r>
    <r>
      <rPr>
        <vertAlign val="subscript"/>
        <sz val="11"/>
        <color indexed="8"/>
        <rFont val="Frutiger-Light"/>
      </rPr>
      <t>max</t>
    </r>
    <r>
      <rPr>
        <sz val="11"/>
        <color indexed="8"/>
        <rFont val="Frutiger-Light"/>
      </rPr>
      <t>)/B =</t>
    </r>
  </si>
  <si>
    <r>
      <t xml:space="preserve">(ex </t>
    </r>
    <r>
      <rPr>
        <vertAlign val="subscript"/>
        <sz val="11"/>
        <color indexed="8"/>
        <rFont val="Frutiger-Light"/>
      </rPr>
      <t>min</t>
    </r>
    <r>
      <rPr>
        <sz val="11"/>
        <color indexed="8"/>
        <rFont val="Frutiger-Light"/>
      </rPr>
      <t>)/B =</t>
    </r>
  </si>
  <si>
    <t>ARMADURA PEDESTAL</t>
  </si>
  <si>
    <t>Altura útil de la sección del pedestal</t>
  </si>
  <si>
    <t>Altura del pedestal</t>
  </si>
  <si>
    <t>b =</t>
  </si>
  <si>
    <t>Hp =</t>
  </si>
  <si>
    <t>Pmax =</t>
  </si>
  <si>
    <t>Qmax =</t>
  </si>
  <si>
    <t>Solicitaciones (al nivel de la base de la estructura)</t>
  </si>
  <si>
    <t>Solicitaciones últimas en la base del pedestal</t>
  </si>
  <si>
    <t>Pu =</t>
  </si>
  <si>
    <t>En cada cara</t>
  </si>
  <si>
    <t>En total</t>
  </si>
  <si>
    <t>Cuantía mínima (0,5% Ag)</t>
  </si>
  <si>
    <t>(En el total de la sección, ACI-318, 15.8.2.1)</t>
  </si>
  <si>
    <t>φ =</t>
  </si>
  <si>
    <t>m =</t>
  </si>
  <si>
    <t>ω =</t>
  </si>
  <si>
    <t>ρ =</t>
  </si>
  <si>
    <t>VERIFICACIÓN DEL APLASTAMIENTO DEL HORMIGON</t>
  </si>
  <si>
    <t>(SEGÚN ACI-318, 10.17)</t>
  </si>
  <si>
    <t>A1 =</t>
  </si>
  <si>
    <t>A2 =</t>
  </si>
  <si>
    <t>Armadura mínima (por cara en ambas direcciones)</t>
  </si>
  <si>
    <t>kgf</t>
  </si>
  <si>
    <t>Carga última de compresión</t>
  </si>
  <si>
    <t>Pn =</t>
  </si>
  <si>
    <t>Factor de utilización para compresión</t>
  </si>
  <si>
    <t>Resistencia al aplastamiento del hormigón</t>
  </si>
  <si>
    <r>
      <t>γ</t>
    </r>
    <r>
      <rPr>
        <vertAlign val="subscript"/>
        <sz val="12"/>
        <color indexed="8"/>
        <rFont val="Frutiger-Light"/>
      </rPr>
      <t>arr</t>
    </r>
    <r>
      <rPr>
        <sz val="12"/>
        <color indexed="8"/>
        <rFont val="Frutiger-Light"/>
      </rPr>
      <t xml:space="preserve">       </t>
    </r>
  </si>
  <si>
    <r>
      <t>σ</t>
    </r>
    <r>
      <rPr>
        <vertAlign val="subscript"/>
        <sz val="12"/>
        <color indexed="8"/>
        <rFont val="Frutiger-Light"/>
      </rPr>
      <t>adm hor</t>
    </r>
    <r>
      <rPr>
        <sz val="12"/>
        <color indexed="8"/>
        <rFont val="Frutiger-Light"/>
      </rPr>
      <t xml:space="preserve"> </t>
    </r>
  </si>
  <si>
    <t>PERNOS DE ANCLAJE</t>
  </si>
  <si>
    <t>Distancia entre pernos</t>
  </si>
  <si>
    <t>Número total de pernos</t>
  </si>
  <si>
    <t>ex/B</t>
  </si>
  <si>
    <r>
      <t>e</t>
    </r>
    <r>
      <rPr>
        <vertAlign val="subscript"/>
        <sz val="11"/>
        <color indexed="8"/>
        <rFont val="Frutiger-Light"/>
      </rPr>
      <t>g</t>
    </r>
    <r>
      <rPr>
        <sz val="11"/>
        <color indexed="8"/>
        <rFont val="Frutiger-Light"/>
      </rPr>
      <t xml:space="preserve">         :</t>
    </r>
  </si>
  <si>
    <t>Espesor de gravilla</t>
  </si>
  <si>
    <t>Solicitaciones</t>
  </si>
  <si>
    <t>kg-m</t>
  </si>
  <si>
    <t>Qp =</t>
  </si>
  <si>
    <t>Tp =</t>
  </si>
  <si>
    <t>At =</t>
  </si>
  <si>
    <t>Área de tracción</t>
  </si>
  <si>
    <t>Av =</t>
  </si>
  <si>
    <t>Área nominal</t>
  </si>
  <si>
    <t>Perno =</t>
  </si>
  <si>
    <t>in</t>
  </si>
  <si>
    <t>Diámetro del perno</t>
  </si>
  <si>
    <t>kg/cm²</t>
  </si>
  <si>
    <t xml:space="preserve">Tensión de fluencia </t>
  </si>
  <si>
    <t>ASTM A193 GR B7</t>
  </si>
  <si>
    <t>Tadm =</t>
  </si>
  <si>
    <t>Qadm =</t>
  </si>
  <si>
    <t>a =</t>
  </si>
  <si>
    <t>Ancho placa</t>
  </si>
  <si>
    <t>Largo Placa</t>
  </si>
  <si>
    <t>d' =</t>
  </si>
  <si>
    <t>Distancia mínima al borde de hormigón</t>
  </si>
  <si>
    <t>ft =</t>
  </si>
  <si>
    <t>Pernos ASTM A325 (Unión tipo aplastamiento)</t>
  </si>
  <si>
    <t>diámetro del perno</t>
  </si>
  <si>
    <t>An =</t>
  </si>
  <si>
    <t>Área nominal del perno</t>
  </si>
  <si>
    <t>Cantidad de pernos</t>
  </si>
  <si>
    <t>Fv =</t>
  </si>
  <si>
    <t>Tensión admisible</t>
  </si>
  <si>
    <r>
      <t>e</t>
    </r>
    <r>
      <rPr>
        <vertAlign val="subscript"/>
        <sz val="11"/>
        <color indexed="8"/>
        <rFont val="Frutiger-Light"/>
      </rPr>
      <t>c</t>
    </r>
    <r>
      <rPr>
        <sz val="11"/>
        <color indexed="8"/>
        <rFont val="Frutiger-Light"/>
      </rPr>
      <t xml:space="preserve">         :</t>
    </r>
  </si>
  <si>
    <t>Altura coronamiento</t>
  </si>
  <si>
    <t>S.F.       :</t>
  </si>
  <si>
    <t>Altura desde el sello de fundación al nivel del terreno</t>
  </si>
  <si>
    <t>Resistencia cilíndrica del hormigón (H25)</t>
  </si>
  <si>
    <r>
      <t>V</t>
    </r>
    <r>
      <rPr>
        <vertAlign val="subscript"/>
        <sz val="11"/>
        <color indexed="8"/>
        <rFont val="Frutiger-Light"/>
      </rPr>
      <t xml:space="preserve"> </t>
    </r>
    <r>
      <rPr>
        <sz val="11"/>
        <color indexed="8"/>
        <rFont val="Frutiger-Light"/>
      </rPr>
      <t xml:space="preserve">         :</t>
    </r>
  </si>
  <si>
    <r>
      <t>m</t>
    </r>
    <r>
      <rPr>
        <vertAlign val="superscript"/>
        <sz val="11"/>
        <color indexed="8"/>
        <rFont val="Frutiger-Light"/>
      </rPr>
      <t>3</t>
    </r>
  </si>
  <si>
    <t>Volúmen Fundación</t>
  </si>
  <si>
    <t>Verificación de la resistencia al Corte :</t>
  </si>
  <si>
    <t>NO REQUIERE ARMADURA POR CORTE</t>
  </si>
  <si>
    <t>Armadura a Flexión :</t>
  </si>
  <si>
    <t>Acol =</t>
  </si>
  <si>
    <t>Vu =</t>
  </si>
  <si>
    <t xml:space="preserve">PROPIEDADES GEOMÉTRICAS PERNOS </t>
  </si>
  <si>
    <t>Diámetro</t>
  </si>
  <si>
    <t>Área tracción</t>
  </si>
  <si>
    <t>mm</t>
  </si>
  <si>
    <t>in2</t>
  </si>
  <si>
    <t>1/2 "</t>
  </si>
  <si>
    <t>5/8 "</t>
  </si>
  <si>
    <t>3/4 "</t>
  </si>
  <si>
    <t>7/8 "</t>
  </si>
  <si>
    <t>1 "</t>
  </si>
  <si>
    <t>1 1/8 "</t>
  </si>
  <si>
    <t>1 1/4 "</t>
  </si>
  <si>
    <t>1 1/2 "</t>
  </si>
  <si>
    <t>VERIFICACIÓN DE PERFILES</t>
  </si>
  <si>
    <t>GEOMETRÍA BÁSICA DE LA ESTRUCTURA</t>
  </si>
  <si>
    <t>Dimensiones Pedestal</t>
  </si>
  <si>
    <t>CÁLCULO DE PLACA BASE</t>
  </si>
  <si>
    <t>Dimensiones</t>
  </si>
  <si>
    <t>Espesor de la placa</t>
  </si>
  <si>
    <t>T max =</t>
  </si>
  <si>
    <t>Ocultar cuando corresponda</t>
  </si>
  <si>
    <t>Datos Generales</t>
  </si>
  <si>
    <t>I.- Geometría</t>
  </si>
  <si>
    <t>II.- Materiales</t>
  </si>
  <si>
    <t>Hormigón</t>
  </si>
  <si>
    <t>Pernos de Conexión</t>
  </si>
  <si>
    <t>Acero Perfiles</t>
  </si>
  <si>
    <t>Pernos de Anclaje</t>
  </si>
  <si>
    <t>Placa Base</t>
  </si>
  <si>
    <t>H25</t>
  </si>
  <si>
    <t>A36</t>
  </si>
  <si>
    <t>ASTM A325</t>
  </si>
  <si>
    <t>CÁLCULO DE PERNOS DE CONEXIÓN</t>
  </si>
  <si>
    <t>f'c =</t>
  </si>
  <si>
    <r>
      <t>kg/cm</t>
    </r>
    <r>
      <rPr>
        <vertAlign val="superscript"/>
        <sz val="11"/>
        <color indexed="8"/>
        <rFont val="Frutiger-Light"/>
      </rPr>
      <t>2</t>
    </r>
  </si>
  <si>
    <t>fv =</t>
  </si>
  <si>
    <t>III.- Equipo</t>
  </si>
  <si>
    <t>Cálculo de cargas</t>
  </si>
  <si>
    <t>I.- Geometría y Pesos</t>
  </si>
  <si>
    <t>II.- Estados de Carga</t>
  </si>
  <si>
    <t>Cálculo de Pernos de Conexión</t>
  </si>
  <si>
    <t>1.- Peso Propio</t>
  </si>
  <si>
    <t>2.- Sismo</t>
  </si>
  <si>
    <t>3.- Viento</t>
  </si>
  <si>
    <t>4.- Tirón Sobre Terminales Mas Carga de Operación</t>
  </si>
  <si>
    <t>Compresión máxima en cada perno</t>
  </si>
  <si>
    <t>Tracción máxima en cada perno</t>
  </si>
  <si>
    <t>e min =</t>
  </si>
  <si>
    <t>kg-cm/cm</t>
  </si>
  <si>
    <t>Tensión de fluencia acero</t>
  </si>
  <si>
    <t>Espesor mínimo de la placa base</t>
  </si>
  <si>
    <t>Momentos obtenidos de la modelación computacional</t>
  </si>
  <si>
    <t>(INSERTAR IMÁGENES)</t>
  </si>
  <si>
    <t>Momento por unidad de longitud máximo en la dirección X producido por la tracción máxima</t>
  </si>
  <si>
    <t>Momento por unidad de longitud máximo en la dirección Y producido por la tracción máxima</t>
  </si>
  <si>
    <t>(Ambos momentos se evaluan a una distancia razonable del perfil)</t>
  </si>
  <si>
    <t>M max 2=</t>
  </si>
  <si>
    <t>Momento producido en la placa por la compresión del perfil</t>
  </si>
  <si>
    <t>Mx max 1=</t>
  </si>
  <si>
    <t>My max 1=</t>
  </si>
  <si>
    <t>III.- Combinaciones de Carga</t>
  </si>
  <si>
    <t>VERIFICACIÓN DE LA RESISTENCIA AL ARRANCAMIENTO DEL HORMIGÓN</t>
  </si>
  <si>
    <t>Lb =</t>
  </si>
  <si>
    <t>Lc =</t>
  </si>
  <si>
    <t>L ef =</t>
  </si>
  <si>
    <t>Distancia a borde del perno de anclaje</t>
  </si>
  <si>
    <t>Distancia entre pernos de anclaje</t>
  </si>
  <si>
    <r>
      <rPr>
        <sz val="11"/>
        <color indexed="8"/>
        <rFont val="Calibri"/>
        <family val="2"/>
      </rPr>
      <t>Ψ</t>
    </r>
    <r>
      <rPr>
        <sz val="11"/>
        <color indexed="8"/>
        <rFont val="Frutiger-Light"/>
      </rPr>
      <t xml:space="preserve"> =</t>
    </r>
  </si>
  <si>
    <t>Coeficiente de reducción por distancia a borde</t>
  </si>
  <si>
    <t>Área real de proyección superficial para 1 perno</t>
  </si>
  <si>
    <t>A nc =</t>
  </si>
  <si>
    <t>A nco =</t>
  </si>
  <si>
    <t>Área de proyección de del cono de un perno aislado</t>
  </si>
  <si>
    <t>k =</t>
  </si>
  <si>
    <t>Coeficiente de la resistencia a la tracción del hormigón</t>
  </si>
  <si>
    <t>(Pernos con cabeza embebidos en el hormigón)</t>
  </si>
  <si>
    <t>Nb =</t>
  </si>
  <si>
    <t>Resistencia a la tracción del cono de hormigón de un perno</t>
  </si>
  <si>
    <t>Ncb =</t>
  </si>
  <si>
    <t>Resistencia a la tracción del perno estudiado</t>
  </si>
  <si>
    <t>Factor de utilización para anclaje controlado por tracción</t>
  </si>
  <si>
    <t>φ Ncb =</t>
  </si>
  <si>
    <t>Resistencia a la tracción del hormigón</t>
  </si>
  <si>
    <t>A vco =</t>
  </si>
  <si>
    <t>A vc =</t>
  </si>
  <si>
    <t>Resistencia al arrancamiento por corte del cono de hormigón de un perno</t>
  </si>
  <si>
    <t>Resistencia al arrancamiento por corte del perno estudiado</t>
  </si>
  <si>
    <t>φ Vcb =</t>
  </si>
  <si>
    <t>Vb =</t>
  </si>
  <si>
    <t>Vcb =</t>
  </si>
  <si>
    <t>Vn =</t>
  </si>
  <si>
    <t>Interacción Corte Tracción</t>
  </si>
  <si>
    <t>VERIFICACIÓN DE LA ADHERENCIA ENTRE PERNO Y HORMIGÓN</t>
  </si>
  <si>
    <r>
      <rPr>
        <sz val="11"/>
        <color indexed="8"/>
        <rFont val="Calibri"/>
        <family val="2"/>
      </rPr>
      <t>σ</t>
    </r>
    <r>
      <rPr>
        <sz val="11"/>
        <color indexed="8"/>
        <rFont val="Frutiger-Light"/>
      </rPr>
      <t xml:space="preserve"> =</t>
    </r>
  </si>
  <si>
    <t>Tensión admisible de adherencia entre hormigón y perno</t>
  </si>
  <si>
    <t>"</t>
  </si>
  <si>
    <t>A adh =</t>
  </si>
  <si>
    <t>φ Nadh =</t>
  </si>
  <si>
    <t>Área de contanto entre perno y hormigón</t>
  </si>
  <si>
    <t>Nu =</t>
  </si>
  <si>
    <r>
      <t>Nota: Lb min = Lc min = 4</t>
    </r>
    <r>
      <rPr>
        <sz val="11"/>
        <color indexed="8"/>
        <rFont val="Calibri"/>
        <family val="2"/>
      </rPr>
      <t>φ</t>
    </r>
    <r>
      <rPr>
        <sz val="11"/>
        <color indexed="8"/>
        <rFont val="Frutiger-Light"/>
      </rPr>
      <t xml:space="preserve"> a 6</t>
    </r>
    <r>
      <rPr>
        <sz val="11"/>
        <color indexed="8"/>
        <rFont val="Calibri"/>
        <family val="2"/>
      </rPr>
      <t>φ</t>
    </r>
  </si>
  <si>
    <t>Área</t>
  </si>
  <si>
    <t>NUMERO DE BARRAS</t>
  </si>
  <si>
    <t>ESPACIAMIENTO (CM)</t>
  </si>
  <si>
    <t>φ</t>
  </si>
  <si>
    <t>@</t>
  </si>
  <si>
    <t>=</t>
  </si>
  <si>
    <t xml:space="preserve">Armadura a colocar en ambas caras </t>
  </si>
  <si>
    <t>y en ambas direcciones</t>
  </si>
  <si>
    <t>W1</t>
  </si>
  <si>
    <t>W1+W2</t>
  </si>
  <si>
    <t>W1+W2+W3</t>
  </si>
  <si>
    <t>(Combinación de carga: CC3)</t>
  </si>
  <si>
    <t>Armadura a colocar</t>
  </si>
  <si>
    <t>Factor de utilización para anclaje controlado por corte</t>
  </si>
  <si>
    <t>Longitud empotrada efectiva del perno (aprox.)</t>
  </si>
  <si>
    <t>Interacción corte - tracción (ACI 318 Apéndice D)</t>
  </si>
  <si>
    <t>ARMADURA ZAPATA</t>
  </si>
  <si>
    <t>S/E Sauzal</t>
  </si>
  <si>
    <t>S/E de Interconexión</t>
  </si>
  <si>
    <t>kg por nodo</t>
  </si>
  <si>
    <t>Tmax =</t>
  </si>
  <si>
    <t>Máximo esfuerzo producido en la placa</t>
  </si>
  <si>
    <t>Verificacion espesor mínimo de la placa</t>
  </si>
  <si>
    <t>Tadm=</t>
  </si>
  <si>
    <t xml:space="preserve">Centro de masa del equipo </t>
  </si>
  <si>
    <t>SE Los Colorados</t>
  </si>
  <si>
    <t>eliminar</t>
  </si>
  <si>
    <t>Qx ( kg )</t>
  </si>
  <si>
    <t>Qy ( kg )</t>
  </si>
  <si>
    <t>Mx ( kg-m )</t>
  </si>
  <si>
    <t>My ( kg-m )</t>
  </si>
  <si>
    <t>Av x1 =</t>
  </si>
  <si>
    <t>Av x2 =</t>
  </si>
  <si>
    <t>Area expuesta al viento del equipo en la dirección x</t>
  </si>
  <si>
    <t>Area expuesta al viento de la estructura en la dirección x</t>
  </si>
  <si>
    <t>Av y1 =</t>
  </si>
  <si>
    <t>Av y2 =</t>
  </si>
  <si>
    <t>Qx (ton)</t>
  </si>
  <si>
    <t>Qy (ton)</t>
  </si>
  <si>
    <t>Mx (ton-m)</t>
  </si>
  <si>
    <t>My (ton-m)</t>
  </si>
  <si>
    <t>Se debe cambiar esta combinación y probar con las 3 CC.</t>
  </si>
  <si>
    <t>N max</t>
  </si>
  <si>
    <t>N min</t>
  </si>
  <si>
    <t>ey max</t>
  </si>
  <si>
    <r>
      <t xml:space="preserve">(ey </t>
    </r>
    <r>
      <rPr>
        <vertAlign val="subscript"/>
        <sz val="11"/>
        <color indexed="8"/>
        <rFont val="Frutiger-Light"/>
      </rPr>
      <t>min</t>
    </r>
    <r>
      <rPr>
        <sz val="11"/>
        <color indexed="8"/>
        <rFont val="Frutiger-Light"/>
      </rPr>
      <t>)/A =</t>
    </r>
  </si>
  <si>
    <t>ey min</t>
  </si>
  <si>
    <r>
      <t xml:space="preserve">(ey </t>
    </r>
    <r>
      <rPr>
        <vertAlign val="subscript"/>
        <sz val="11"/>
        <color indexed="8"/>
        <rFont val="Frutiger-Light"/>
      </rPr>
      <t>max</t>
    </r>
    <r>
      <rPr>
        <sz val="11"/>
        <color indexed="8"/>
        <rFont val="Frutiger-Light"/>
      </rPr>
      <t>)/A =</t>
    </r>
  </si>
  <si>
    <t>Valor obtenido del gráfico de la figura nº4 en ETG-A.0.10 (para valor de [ex max, ey max])</t>
  </si>
  <si>
    <t>Valor obtenido del gráfico de la figura nº4 en ETG-A.0.10 (para valor de [ex min, ey min])</t>
  </si>
  <si>
    <t>K1 max:</t>
  </si>
  <si>
    <t>K2 max:</t>
  </si>
  <si>
    <t>K2 min:</t>
  </si>
  <si>
    <t>Se debe cambiar esta combinación y probar con las Cargas eventuales.</t>
  </si>
  <si>
    <t>Revisar tabla para extrar este valor a mano…</t>
  </si>
  <si>
    <t>Para solicitaciones en ambos ejes en forma simultánea</t>
  </si>
  <si>
    <t>Carga máxima, considerando un 50% del suelo de relleno (se considera la acción de la napa)</t>
  </si>
  <si>
    <t>Carga mínima, considerando un 50% del suelo de relleno (se considera la acción de la napa)</t>
  </si>
  <si>
    <t>r =</t>
  </si>
  <si>
    <t>Recubrimiento</t>
  </si>
  <si>
    <t>Momento máximo sin mayorar, admitido por el suelo y calculado en L'</t>
  </si>
  <si>
    <t>Corte máximo sin mayorar en L'</t>
  </si>
  <si>
    <t>Momento último (Mmax * 1,5)</t>
  </si>
  <si>
    <t>Corte último (Qmax * 1,5)</t>
  </si>
  <si>
    <t>Usar</t>
  </si>
  <si>
    <t>EN GENERAL NO APLICA PARA INTERRUPTORES</t>
  </si>
  <si>
    <t>|</t>
  </si>
  <si>
    <t>Se debe cambiar esta combinación y probar con las Cargas normales.</t>
  </si>
  <si>
    <t>Los valores son en la base de una fundación, es decir, los esfuerzos sobre el nivel de fundacion se dividieron por el número de fundaciones</t>
  </si>
  <si>
    <t>Peso del equipo</t>
  </si>
  <si>
    <t>Tensión de fluencia del acero de refuerzo (A63-42H)</t>
  </si>
  <si>
    <t>Action</t>
  </si>
  <si>
    <t>Actual State</t>
  </si>
  <si>
    <r>
      <t>e</t>
    </r>
    <r>
      <rPr>
        <vertAlign val="subscript"/>
        <sz val="11"/>
        <color indexed="8"/>
        <rFont val="Frutiger-Light"/>
      </rPr>
      <t>z</t>
    </r>
    <r>
      <rPr>
        <sz val="11"/>
        <color indexed="8"/>
        <rFont val="Frutiger-Light"/>
      </rPr>
      <t>=</t>
    </r>
  </si>
  <si>
    <r>
      <t>H</t>
    </r>
    <r>
      <rPr>
        <vertAlign val="subscript"/>
        <sz val="11"/>
        <color indexed="8"/>
        <rFont val="Frutiger-Light"/>
      </rPr>
      <t>p</t>
    </r>
    <r>
      <rPr>
        <sz val="11"/>
        <color indexed="8"/>
        <rFont val="Frutiger-Light"/>
      </rPr>
      <t xml:space="preserve"> =</t>
    </r>
  </si>
  <si>
    <r>
      <t>e</t>
    </r>
    <r>
      <rPr>
        <vertAlign val="subscript"/>
        <sz val="11"/>
        <color indexed="8"/>
        <rFont val="Frutiger-Light"/>
      </rPr>
      <t>g</t>
    </r>
    <r>
      <rPr>
        <sz val="11"/>
        <color indexed="8"/>
        <rFont val="Frutiger-Light"/>
      </rPr>
      <t xml:space="preserve"> =</t>
    </r>
  </si>
  <si>
    <r>
      <t>e</t>
    </r>
    <r>
      <rPr>
        <vertAlign val="subscript"/>
        <sz val="11"/>
        <color indexed="8"/>
        <rFont val="Frutiger-Light"/>
      </rPr>
      <t>c</t>
    </r>
    <r>
      <rPr>
        <sz val="11"/>
        <color indexed="8"/>
        <rFont val="Frutiger-Light"/>
      </rPr>
      <t xml:space="preserve"> =</t>
    </r>
  </si>
  <si>
    <r>
      <t>H</t>
    </r>
    <r>
      <rPr>
        <vertAlign val="subscript"/>
        <sz val="11"/>
        <color indexed="8"/>
        <rFont val="Frutiger-Light"/>
      </rPr>
      <t>n</t>
    </r>
    <r>
      <rPr>
        <sz val="11"/>
        <color indexed="8"/>
        <rFont val="Frutiger-Light"/>
      </rPr>
      <t xml:space="preserve"> =</t>
    </r>
  </si>
  <si>
    <r>
      <t>H</t>
    </r>
    <r>
      <rPr>
        <vertAlign val="subscript"/>
        <sz val="11"/>
        <color indexed="8"/>
        <rFont val="Frutiger-Light"/>
      </rPr>
      <t>r</t>
    </r>
    <r>
      <rPr>
        <sz val="11"/>
        <color indexed="8"/>
        <rFont val="Frutiger-Light"/>
      </rPr>
      <t xml:space="preserve"> =</t>
    </r>
  </si>
  <si>
    <r>
      <t>H</t>
    </r>
    <r>
      <rPr>
        <vertAlign val="subscript"/>
        <sz val="11"/>
        <color indexed="8"/>
        <rFont val="Frutiger-Light"/>
      </rPr>
      <t>t</t>
    </r>
    <r>
      <rPr>
        <sz val="11"/>
        <color indexed="8"/>
        <rFont val="Frutiger-Light"/>
      </rPr>
      <t xml:space="preserve"> =</t>
    </r>
  </si>
  <si>
    <t>S.F. =</t>
  </si>
  <si>
    <r>
      <t>V</t>
    </r>
    <r>
      <rPr>
        <sz val="11"/>
        <color rgb="FF000000"/>
        <rFont val="Frutiger-Light"/>
      </rPr>
      <t xml:space="preserve"> =</t>
    </r>
  </si>
  <si>
    <t>Verifications</t>
  </si>
  <si>
    <t>Tensión Admisible, Caso 1</t>
  </si>
  <si>
    <t>Tensión Admisible, Caso 2</t>
  </si>
  <si>
    <t>Volcamiento, Caso 1a</t>
  </si>
  <si>
    <t>Volcamiento, Caso 1b</t>
  </si>
  <si>
    <t>Volcamiento, Caso 1c</t>
  </si>
  <si>
    <t>Volcamiento, Caso 1d</t>
  </si>
  <si>
    <t>Volcamiento, Caso 2a</t>
  </si>
  <si>
    <t>Volcamiento, Caso 2b</t>
  </si>
  <si>
    <t>Volcamiento, Caso 2c</t>
  </si>
  <si>
    <t>Volcamiento, Caso 2d</t>
  </si>
  <si>
    <t>Volcamiento, Caso 2e</t>
  </si>
  <si>
    <t>Volcamiento, Caso 2f</t>
  </si>
  <si>
    <t>Volcamiento, Caso 2g</t>
  </si>
  <si>
    <t>Volcamiento, Caso 2h</t>
  </si>
  <si>
    <t>Volcamiento, Caso 2i</t>
  </si>
  <si>
    <t>Volcamiento, Caso 2j</t>
  </si>
  <si>
    <t>Volcamiento, Caso 2k</t>
  </si>
  <si>
    <t>Volcamiento, Caso 2l</t>
  </si>
  <si>
    <t>Estabilidad al deslizamiento</t>
  </si>
  <si>
    <t>F.S. =</t>
  </si>
  <si>
    <t>Actions rules</t>
  </si>
  <si>
    <r>
      <t>H</t>
    </r>
    <r>
      <rPr>
        <vertAlign val="subscript"/>
        <sz val="11"/>
        <color indexed="8"/>
        <rFont val="Frutiger-Light"/>
      </rPr>
      <t>p</t>
    </r>
    <r>
      <rPr>
        <sz val="11"/>
        <color indexed="8"/>
        <rFont val="Frutiger-Light"/>
      </rPr>
      <t xml:space="preserve"> +</t>
    </r>
  </si>
  <si>
    <r>
      <t>H</t>
    </r>
    <r>
      <rPr>
        <vertAlign val="subscript"/>
        <sz val="11"/>
        <color indexed="8"/>
        <rFont val="Frutiger-Light"/>
      </rPr>
      <t>p</t>
    </r>
    <r>
      <rPr>
        <sz val="11"/>
        <color indexed="8"/>
        <rFont val="Frutiger-Light"/>
      </rPr>
      <t xml:space="preserve"> -</t>
    </r>
  </si>
  <si>
    <t>B +</t>
  </si>
  <si>
    <t>B -</t>
  </si>
  <si>
    <t>A +</t>
  </si>
  <si>
    <t>A -</t>
  </si>
  <si>
    <t>b +</t>
  </si>
  <si>
    <t>b -</t>
  </si>
  <si>
    <t>a +</t>
  </si>
  <si>
    <t>a -</t>
  </si>
  <si>
    <t>sumar 0,05m</t>
  </si>
  <si>
    <t>restar 0,05m</t>
  </si>
  <si>
    <t>sumar 0,1m</t>
  </si>
  <si>
    <t>restar 0,1m</t>
  </si>
  <si>
    <r>
      <t>e</t>
    </r>
    <r>
      <rPr>
        <vertAlign val="subscript"/>
        <sz val="11"/>
        <color indexed="8"/>
        <rFont val="Frutiger-Light"/>
      </rPr>
      <t>z</t>
    </r>
    <r>
      <rPr>
        <sz val="11"/>
        <color rgb="FF000000"/>
        <rFont val="Frutiger-Light"/>
      </rPr>
      <t xml:space="preserve"> +</t>
    </r>
  </si>
  <si>
    <r>
      <t>e</t>
    </r>
    <r>
      <rPr>
        <vertAlign val="subscript"/>
        <sz val="11"/>
        <color indexed="8"/>
        <rFont val="Frutiger-Light"/>
      </rPr>
      <t>z</t>
    </r>
    <r>
      <rPr>
        <sz val="11"/>
        <color rgb="FF000000"/>
        <rFont val="Frutiger-Light"/>
      </rPr>
      <t xml:space="preserve"> </t>
    </r>
    <r>
      <rPr>
        <sz val="11"/>
        <color theme="1"/>
        <rFont val="Frutiger-Light"/>
      </rPr>
      <t>-</t>
    </r>
  </si>
  <si>
    <t>Criterios de término</t>
  </si>
  <si>
    <t>iii) Término de la simulación: 5000 epochs</t>
  </si>
  <si>
    <t>i) Termina el juego si aparece un -1 en verifications (0 to 18)</t>
  </si>
  <si>
    <t>ii) Termina el juego si se alcanza el número de iteraciones máximo por juego (por ejemplo 20 jugadas)</t>
  </si>
  <si>
    <r>
      <t xml:space="preserve">10.000 veces el inverso del Peso de la fundación </t>
    </r>
    <r>
      <rPr>
        <b/>
        <sz val="11"/>
        <color rgb="FFFF0000"/>
        <rFont val="Frutiger-Light"/>
      </rPr>
      <t>(ideal normalizar)</t>
    </r>
  </si>
  <si>
    <t>Reward</t>
  </si>
  <si>
    <t>Value</t>
  </si>
  <si>
    <t>V1 =</t>
  </si>
  <si>
    <t>V2 =</t>
  </si>
  <si>
    <t>V3 =</t>
  </si>
  <si>
    <t>V4 =</t>
  </si>
  <si>
    <t>V5 =</t>
  </si>
  <si>
    <t>V6 =</t>
  </si>
  <si>
    <t>V7 =</t>
  </si>
  <si>
    <t>V8 =</t>
  </si>
  <si>
    <t>V9 =</t>
  </si>
  <si>
    <t>V10 =</t>
  </si>
  <si>
    <t>V11 =</t>
  </si>
  <si>
    <t>V12 =</t>
  </si>
  <si>
    <t>V13 =</t>
  </si>
  <si>
    <t>V14 =</t>
  </si>
  <si>
    <t>V15 =</t>
  </si>
  <si>
    <t>V16 =</t>
  </si>
  <si>
    <t>V17 =</t>
  </si>
  <si>
    <t>V18 =</t>
  </si>
  <si>
    <t>V19 =</t>
  </si>
  <si>
    <t>V20 =</t>
  </si>
  <si>
    <t>Suma ponderada del vector  "Verifications". Podrìamos tambièn darle mayor peso, al peso del equipo.</t>
  </si>
  <si>
    <t>Ingeniero</t>
  </si>
  <si>
    <t>Partida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</si>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</sst>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[$-340A]dddd\,\ dd&quot; de &quot;mmmm&quot; de &quot;yyyy"/>
    <numFmt numFmtId="168" formatCode="0.00000"/>
  </numFmts>
  <fonts count="44">
    <font>
      <sz val="11"/>
      <color theme="1"/>
      <name val="Calibri"/>
      <family val="2"/>
      <scheme val="minor"/>
    </font>
    <font>
      <sz val="12"/>
      <name val="Frutiger-Light"/>
    </font>
    <font>
      <sz val="11"/>
      <color indexed="8"/>
      <name val="Frutiger-Light"/>
    </font>
    <font>
      <vertAlign val="subscript"/>
      <sz val="11"/>
      <color indexed="8"/>
      <name val="Frutiger-Light"/>
    </font>
    <font>
      <sz val="12"/>
      <color indexed="8"/>
      <name val="Frutiger-Light"/>
    </font>
    <font>
      <sz val="11"/>
      <name val="Frutiger-Light"/>
    </font>
    <font>
      <vertAlign val="subscript"/>
      <sz val="12"/>
      <color indexed="8"/>
      <name val="Frutiger-Light"/>
    </font>
    <font>
      <vertAlign val="superscript"/>
      <sz val="11"/>
      <color indexed="8"/>
      <name val="Frutiger-Light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Frutiger-Light"/>
    </font>
    <font>
      <sz val="11"/>
      <color indexed="10"/>
      <name val="Frutiger-Light"/>
    </font>
    <font>
      <sz val="10"/>
      <name val="Symbol"/>
      <family val="1"/>
      <charset val="2"/>
    </font>
    <font>
      <b/>
      <sz val="12"/>
      <name val="Frutiger-Light"/>
    </font>
    <font>
      <sz val="1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0.249977111117893"/>
      <name val="Frutiger-Light"/>
    </font>
    <font>
      <sz val="11"/>
      <color theme="1"/>
      <name val="Frutiger-Light"/>
    </font>
    <font>
      <b/>
      <sz val="12"/>
      <color theme="1"/>
      <name val="Frutiger-Light"/>
    </font>
    <font>
      <b/>
      <sz val="11"/>
      <color theme="1"/>
      <name val="Frutiger-Light"/>
    </font>
    <font>
      <sz val="10"/>
      <color theme="1"/>
      <name val="Frutiger-Light"/>
    </font>
    <font>
      <b/>
      <sz val="11"/>
      <color rgb="FFFF0000"/>
      <name val="Frutiger-Light"/>
    </font>
    <font>
      <sz val="12"/>
      <color theme="1"/>
      <name val="Frutiger-Light"/>
    </font>
    <font>
      <sz val="11"/>
      <color rgb="FFFF0000"/>
      <name val="Frutiger-Light"/>
    </font>
    <font>
      <b/>
      <sz val="12"/>
      <color rgb="FFFF0000"/>
      <name val="Frutiger-Light"/>
    </font>
    <font>
      <sz val="8"/>
      <color rgb="FFFF0000"/>
      <name val="Frutiger-Light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0" tint="-0.249977111117893"/>
      <name val="Frutiger-Light"/>
    </font>
    <font>
      <sz val="10"/>
      <color rgb="FF0070C0"/>
      <name val="Frutiger-Light"/>
    </font>
    <font>
      <sz val="11"/>
      <color rgb="FF0070C0"/>
      <name val="Frutiger-Light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theme="1"/>
      <name val="Frutiger-Light"/>
    </font>
    <font>
      <b/>
      <sz val="10"/>
      <color theme="1"/>
      <name val="Frutiger-Light"/>
    </font>
    <font>
      <sz val="8"/>
      <color theme="1"/>
      <name val="Frutiger-Light"/>
    </font>
    <font>
      <b/>
      <sz val="10"/>
      <color rgb="FFFF0000"/>
      <name val="Frutiger-Light"/>
    </font>
    <font>
      <sz val="11"/>
      <name val="Calibri"/>
      <family val="2"/>
      <scheme val="minor"/>
    </font>
    <font>
      <sz val="11"/>
      <color rgb="FF000000"/>
      <name val="Frutiger-Light"/>
    </font>
    <font>
      <sz val="8"/>
      <name val="Calibri"/>
      <family val="2"/>
      <scheme val="minor"/>
    </font>
    <font>
      <sz val="11"/>
      <color theme="0"/>
      <name val="Frutiger-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</cellStyleXfs>
  <cellXfs count="2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1" fontId="5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22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2" fontId="19" fillId="2" borderId="0" xfId="0" applyNumberFormat="1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165" fontId="19" fillId="2" borderId="0" xfId="0" applyNumberFormat="1" applyFont="1" applyFill="1" applyAlignment="1">
      <alignment horizontal="center" vertical="center"/>
    </xf>
    <xf numFmtId="0" fontId="19" fillId="0" borderId="0" xfId="0" applyFont="1"/>
    <xf numFmtId="12" fontId="19" fillId="2" borderId="0" xfId="0" applyNumberFormat="1" applyFont="1" applyFill="1" applyAlignment="1">
      <alignment horizontal="center" vertical="center"/>
    </xf>
    <xf numFmtId="12" fontId="19" fillId="2" borderId="0" xfId="0" applyNumberFormat="1" applyFont="1" applyFill="1" applyAlignment="1">
      <alignment vertical="center"/>
    </xf>
    <xf numFmtId="164" fontId="19" fillId="2" borderId="0" xfId="0" applyNumberFormat="1" applyFont="1" applyFill="1" applyAlignment="1">
      <alignment vertical="center"/>
    </xf>
    <xf numFmtId="2" fontId="25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 vertical="center"/>
    </xf>
    <xf numFmtId="164" fontId="25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2" fontId="5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right" vertical="center"/>
    </xf>
    <xf numFmtId="0" fontId="27" fillId="2" borderId="0" xfId="0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1" fontId="5" fillId="2" borderId="0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2" fontId="19" fillId="2" borderId="0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0" borderId="0" xfId="0" applyFont="1" applyBorder="1"/>
    <xf numFmtId="12" fontId="19" fillId="2" borderId="0" xfId="0" applyNumberFormat="1" applyFont="1" applyFill="1" applyBorder="1" applyAlignment="1">
      <alignment horizontal="center" vertical="center"/>
    </xf>
    <xf numFmtId="165" fontId="19" fillId="2" borderId="0" xfId="0" applyNumberFormat="1" applyFont="1" applyFill="1" applyBorder="1" applyAlignment="1">
      <alignment horizontal="center" vertical="center"/>
    </xf>
    <xf numFmtId="12" fontId="19" fillId="2" borderId="0" xfId="0" applyNumberFormat="1" applyFont="1" applyFill="1" applyBorder="1" applyAlignment="1">
      <alignment vertical="center"/>
    </xf>
    <xf numFmtId="164" fontId="19" fillId="2" borderId="0" xfId="0" applyNumberFormat="1" applyFont="1" applyFill="1" applyBorder="1" applyAlignment="1">
      <alignment vertical="center"/>
    </xf>
    <xf numFmtId="0" fontId="0" fillId="0" borderId="0" xfId="0" applyBorder="1"/>
    <xf numFmtId="0" fontId="25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right" vertical="center"/>
    </xf>
    <xf numFmtId="0" fontId="29" fillId="2" borderId="0" xfId="0" applyFont="1" applyFill="1"/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2" fillId="2" borderId="0" xfId="0" applyFont="1" applyFill="1" applyBorder="1" applyAlignment="1">
      <alignment horizontal="right" vertical="center"/>
    </xf>
    <xf numFmtId="166" fontId="25" fillId="2" borderId="0" xfId="0" applyNumberFormat="1" applyFont="1" applyFill="1" applyBorder="1" applyAlignment="1">
      <alignment vertical="center"/>
    </xf>
    <xf numFmtId="1" fontId="19" fillId="2" borderId="0" xfId="0" applyNumberFormat="1" applyFont="1" applyFill="1" applyBorder="1" applyAlignment="1">
      <alignment horizontal="center" vertical="center"/>
    </xf>
    <xf numFmtId="1" fontId="25" fillId="2" borderId="0" xfId="0" applyNumberFormat="1" applyFont="1" applyFill="1" applyBorder="1" applyAlignment="1">
      <alignment horizontal="center" vertical="center"/>
    </xf>
    <xf numFmtId="11" fontId="2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2" fontId="31" fillId="2" borderId="0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2" fontId="21" fillId="2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right" vertical="center"/>
    </xf>
    <xf numFmtId="2" fontId="32" fillId="2" borderId="0" xfId="0" applyNumberFormat="1" applyFont="1" applyFill="1" applyBorder="1" applyAlignment="1">
      <alignment horizontal="center" vertical="center"/>
    </xf>
    <xf numFmtId="166" fontId="11" fillId="2" borderId="0" xfId="3" applyNumberFormat="1" applyFont="1" applyFill="1" applyBorder="1" applyAlignment="1">
      <alignment horizontal="center"/>
    </xf>
    <xf numFmtId="2" fontId="21" fillId="2" borderId="0" xfId="0" applyNumberFormat="1" applyFont="1" applyFill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166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19" fillId="2" borderId="0" xfId="0" applyFont="1" applyFill="1"/>
    <xf numFmtId="1" fontId="19" fillId="2" borderId="0" xfId="0" applyNumberFormat="1" applyFont="1" applyFill="1" applyAlignment="1">
      <alignment horizontal="center" vertical="center"/>
    </xf>
    <xf numFmtId="1" fontId="25" fillId="2" borderId="0" xfId="0" applyNumberFormat="1" applyFont="1" applyFill="1" applyAlignment="1">
      <alignment horizontal="center" vertical="center"/>
    </xf>
    <xf numFmtId="1" fontId="32" fillId="2" borderId="0" xfId="0" applyNumberFormat="1" applyFont="1" applyFill="1" applyAlignment="1">
      <alignment horizontal="center" vertical="center"/>
    </xf>
    <xf numFmtId="2" fontId="32" fillId="2" borderId="0" xfId="0" applyNumberFormat="1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/>
    <xf numFmtId="0" fontId="12" fillId="3" borderId="0" xfId="0" applyFont="1" applyFill="1" applyBorder="1" applyAlignment="1">
      <alignment horizontal="right" vertical="center"/>
    </xf>
    <xf numFmtId="166" fontId="19" fillId="2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" fillId="2" borderId="0" xfId="3" applyFont="1" applyFill="1" applyBorder="1" applyAlignment="1"/>
    <xf numFmtId="0" fontId="1" fillId="2" borderId="0" xfId="3" applyFont="1" applyFill="1" applyBorder="1" applyAlignment="1">
      <alignment horizontal="center"/>
    </xf>
    <xf numFmtId="0" fontId="19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top"/>
    </xf>
    <xf numFmtId="0" fontId="21" fillId="2" borderId="0" xfId="0" applyFont="1" applyFill="1" applyBorder="1" applyAlignment="1">
      <alignment horizontal="left" vertical="center"/>
    </xf>
    <xf numFmtId="164" fontId="32" fillId="2" borderId="0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 wrapText="1"/>
    </xf>
    <xf numFmtId="168" fontId="19" fillId="2" borderId="0" xfId="0" applyNumberFormat="1" applyFont="1" applyFill="1" applyBorder="1" applyAlignment="1">
      <alignment horizontal="center" vertical="center"/>
    </xf>
    <xf numFmtId="166" fontId="32" fillId="2" borderId="0" xfId="3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166" fontId="5" fillId="2" borderId="0" xfId="0" applyNumberFormat="1" applyFont="1" applyFill="1" applyBorder="1" applyAlignment="1">
      <alignment vertical="center"/>
    </xf>
    <xf numFmtId="165" fontId="19" fillId="2" borderId="0" xfId="0" applyNumberFormat="1" applyFont="1" applyFill="1" applyBorder="1" applyAlignment="1">
      <alignment vertical="center"/>
    </xf>
    <xf numFmtId="0" fontId="25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4" fillId="2" borderId="0" xfId="0" applyFont="1" applyFill="1" applyBorder="1" applyAlignment="1">
      <alignment horizontal="right" vertical="center"/>
    </xf>
    <xf numFmtId="0" fontId="33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right" vertical="center"/>
    </xf>
    <xf numFmtId="0" fontId="19" fillId="2" borderId="0" xfId="0" applyFont="1" applyFill="1" applyBorder="1"/>
    <xf numFmtId="166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/>
    <xf numFmtId="12" fontId="25" fillId="2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0" fontId="34" fillId="2" borderId="0" xfId="3" applyFont="1" applyFill="1" applyBorder="1" applyAlignment="1">
      <alignment horizontal="left"/>
    </xf>
    <xf numFmtId="2" fontId="25" fillId="2" borderId="0" xfId="0" applyNumberFormat="1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right" vertical="center"/>
    </xf>
    <xf numFmtId="2" fontId="10" fillId="2" borderId="0" xfId="0" applyNumberFormat="1" applyFont="1" applyFill="1" applyBorder="1" applyAlignment="1">
      <alignment horizontal="left" vertical="center"/>
    </xf>
    <xf numFmtId="0" fontId="35" fillId="2" borderId="0" xfId="0" applyFont="1" applyFill="1" applyBorder="1" applyAlignment="1">
      <alignment vertical="center"/>
    </xf>
    <xf numFmtId="49" fontId="0" fillId="2" borderId="0" xfId="0" applyNumberFormat="1" applyFill="1"/>
    <xf numFmtId="2" fontId="0" fillId="2" borderId="0" xfId="0" applyNumberFormat="1" applyFill="1"/>
    <xf numFmtId="0" fontId="24" fillId="2" borderId="0" xfId="0" applyFont="1" applyFill="1"/>
    <xf numFmtId="0" fontId="36" fillId="2" borderId="0" xfId="0" applyFont="1" applyFill="1"/>
    <xf numFmtId="0" fontId="36" fillId="2" borderId="0" xfId="0" applyFont="1" applyFill="1" applyBorder="1" applyAlignment="1">
      <alignment vertical="center"/>
    </xf>
    <xf numFmtId="2" fontId="22" fillId="2" borderId="0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Border="1" applyAlignment="1">
      <alignment horizontal="left" vertical="center"/>
    </xf>
    <xf numFmtId="2" fontId="37" fillId="2" borderId="0" xfId="0" applyNumberFormat="1" applyFont="1" applyFill="1" applyBorder="1" applyAlignment="1">
      <alignment horizontal="center" vertical="center"/>
    </xf>
    <xf numFmtId="1" fontId="22" fillId="2" borderId="0" xfId="0" applyNumberFormat="1" applyFont="1" applyFill="1" applyBorder="1" applyAlignment="1">
      <alignment horizontal="center" vertical="center"/>
    </xf>
    <xf numFmtId="12" fontId="22" fillId="2" borderId="0" xfId="0" applyNumberFormat="1" applyFont="1" applyFill="1" applyBorder="1" applyAlignment="1">
      <alignment horizontal="center" vertical="center"/>
    </xf>
    <xf numFmtId="0" fontId="19" fillId="2" borderId="0" xfId="3" applyFont="1" applyFill="1" applyBorder="1" applyAlignment="1"/>
    <xf numFmtId="164" fontId="25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2" fontId="38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/>
    </xf>
    <xf numFmtId="164" fontId="19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1" fillId="4" borderId="0" xfId="0" applyFont="1" applyFill="1" applyBorder="1" applyAlignment="1">
      <alignment vertical="center"/>
    </xf>
    <xf numFmtId="1" fontId="19" fillId="2" borderId="0" xfId="0" applyNumberFormat="1" applyFont="1" applyFill="1" applyBorder="1" applyAlignment="1">
      <alignment vertical="center"/>
    </xf>
    <xf numFmtId="0" fontId="24" fillId="0" borderId="0" xfId="0" applyFont="1" applyBorder="1"/>
    <xf numFmtId="166" fontId="32" fillId="2" borderId="0" xfId="0" applyNumberFormat="1" applyFont="1" applyFill="1" applyAlignment="1">
      <alignment horizontal="center" vertical="center"/>
    </xf>
    <xf numFmtId="0" fontId="19" fillId="4" borderId="0" xfId="0" applyFont="1" applyFill="1" applyAlignment="1">
      <alignment horizontal="right" vertical="center"/>
    </xf>
    <xf numFmtId="0" fontId="25" fillId="4" borderId="0" xfId="0" applyFont="1" applyFill="1" applyAlignment="1">
      <alignment horizontal="center" vertical="center"/>
    </xf>
    <xf numFmtId="0" fontId="19" fillId="4" borderId="0" xfId="0" applyFont="1" applyFill="1"/>
    <xf numFmtId="1" fontId="19" fillId="2" borderId="1" xfId="0" applyNumberFormat="1" applyFont="1" applyFill="1" applyBorder="1" applyAlignment="1">
      <alignment horizontal="center"/>
    </xf>
    <xf numFmtId="1" fontId="25" fillId="2" borderId="1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19" fillId="2" borderId="1" xfId="0" applyFont="1" applyFill="1" applyBorder="1" applyAlignment="1"/>
    <xf numFmtId="1" fontId="19" fillId="2" borderId="1" xfId="0" applyNumberFormat="1" applyFont="1" applyFill="1" applyBorder="1"/>
    <xf numFmtId="0" fontId="25" fillId="2" borderId="1" xfId="0" applyFont="1" applyFill="1" applyBorder="1"/>
    <xf numFmtId="2" fontId="32" fillId="2" borderId="1" xfId="0" applyNumberFormat="1" applyFont="1" applyFill="1" applyBorder="1" applyAlignment="1">
      <alignment horizontal="center" vertical="center"/>
    </xf>
    <xf numFmtId="2" fontId="2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vertical="center"/>
    </xf>
    <xf numFmtId="0" fontId="40" fillId="2" borderId="0" xfId="0" applyFont="1" applyFill="1"/>
    <xf numFmtId="2" fontId="5" fillId="2" borderId="0" xfId="0" applyNumberFormat="1" applyFont="1" applyFill="1" applyAlignment="1">
      <alignment horizontal="center"/>
    </xf>
    <xf numFmtId="1" fontId="25" fillId="2" borderId="1" xfId="0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 vertical="center"/>
    </xf>
    <xf numFmtId="166" fontId="25" fillId="2" borderId="0" xfId="3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2" fontId="21" fillId="2" borderId="0" xfId="0" applyNumberFormat="1" applyFont="1" applyFill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1" xfId="0" applyFont="1" applyFill="1" applyBorder="1"/>
    <xf numFmtId="0" fontId="0" fillId="2" borderId="1" xfId="0" applyFill="1" applyBorder="1"/>
    <xf numFmtId="0" fontId="19" fillId="2" borderId="1" xfId="0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center" vertical="center"/>
    </xf>
    <xf numFmtId="2" fontId="43" fillId="5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justify"/>
    </xf>
    <xf numFmtId="0" fontId="21" fillId="2" borderId="1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1" fontId="25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top"/>
    </xf>
    <xf numFmtId="0" fontId="23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/>
    </xf>
  </cellXfs>
  <cellStyles count="4">
    <cellStyle name="Euro" xfId="1" xr:uid="{00000000-0005-0000-0000-000000000000}"/>
    <cellStyle name="Millares 2" xfId="2" xr:uid="{00000000-0005-0000-0000-000001000000}"/>
    <cellStyle name="Normal" xfId="0" builtinId="0"/>
    <cellStyle name="Normal 2" xfId="3" xr:uid="{00000000-0005-0000-0000-000003000000}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0.12656945834532818"/>
                  <c:y val="8.2652722728736597E-2"/>
                </c:manualLayout>
              </c:layout>
              <c:numFmt formatCode="General" sourceLinked="0"/>
            </c:trendlineLbl>
          </c:trendline>
          <c:xVal>
            <c:numRef>
              <c:f>Datos!$I$26:$I$69</c:f>
              <c:numCache>
                <c:formatCode>General</c:formatCode>
                <c:ptCount val="44"/>
                <c:pt idx="0" formatCode="0.0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0.05</c:v>
                </c:pt>
                <c:pt idx="4">
                  <c:v>6.5000000000000002E-2</c:v>
                </c:pt>
                <c:pt idx="5">
                  <c:v>0.08</c:v>
                </c:pt>
                <c:pt idx="6">
                  <c:v>0.1</c:v>
                </c:pt>
                <c:pt idx="7">
                  <c:v>0.115</c:v>
                </c:pt>
                <c:pt idx="8">
                  <c:v>0.13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0.19500000000000001</c:v>
                </c:pt>
                <c:pt idx="13">
                  <c:v>0.20499999999999999</c:v>
                </c:pt>
                <c:pt idx="14">
                  <c:v>0.22</c:v>
                </c:pt>
                <c:pt idx="15">
                  <c:v>0.23</c:v>
                </c:pt>
                <c:pt idx="16">
                  <c:v>0.24199999999999999</c:v>
                </c:pt>
                <c:pt idx="17">
                  <c:v>0.252</c:v>
                </c:pt>
                <c:pt idx="18">
                  <c:v>0.26</c:v>
                </c:pt>
                <c:pt idx="19">
                  <c:v>0.27200000000000002</c:v>
                </c:pt>
                <c:pt idx="20">
                  <c:v>0.28000000000000003</c:v>
                </c:pt>
                <c:pt idx="21">
                  <c:v>0.28499999999999998</c:v>
                </c:pt>
                <c:pt idx="22">
                  <c:v>0.28999999999999998</c:v>
                </c:pt>
                <c:pt idx="23">
                  <c:v>0.29599999999999999</c:v>
                </c:pt>
                <c:pt idx="24">
                  <c:v>0.30299999999999999</c:v>
                </c:pt>
                <c:pt idx="25">
                  <c:v>0.31</c:v>
                </c:pt>
                <c:pt idx="26">
                  <c:v>0.315</c:v>
                </c:pt>
                <c:pt idx="27">
                  <c:v>0.32</c:v>
                </c:pt>
                <c:pt idx="28">
                  <c:v>0.32500000000000001</c:v>
                </c:pt>
                <c:pt idx="29">
                  <c:v>0.33</c:v>
                </c:pt>
                <c:pt idx="30">
                  <c:v>0.33400000000000002</c:v>
                </c:pt>
                <c:pt idx="31">
                  <c:v>0.33800000000000002</c:v>
                </c:pt>
                <c:pt idx="32">
                  <c:v>0.34200000000000003</c:v>
                </c:pt>
                <c:pt idx="33">
                  <c:v>0.34499999999999997</c:v>
                </c:pt>
                <c:pt idx="34">
                  <c:v>0.35</c:v>
                </c:pt>
                <c:pt idx="35">
                  <c:v>0.35199999999999998</c:v>
                </c:pt>
                <c:pt idx="36">
                  <c:v>0.36799999999999999</c:v>
                </c:pt>
                <c:pt idx="37">
                  <c:v>0.377</c:v>
                </c:pt>
                <c:pt idx="38">
                  <c:v>0.39</c:v>
                </c:pt>
                <c:pt idx="39">
                  <c:v>0.39600000000000002</c:v>
                </c:pt>
                <c:pt idx="40">
                  <c:v>0.40600000000000003</c:v>
                </c:pt>
                <c:pt idx="41">
                  <c:v>0.41499999999999998</c:v>
                </c:pt>
                <c:pt idx="42">
                  <c:v>0.42</c:v>
                </c:pt>
                <c:pt idx="43">
                  <c:v>0.42499999999999999</c:v>
                </c:pt>
              </c:numCache>
            </c:numRef>
          </c:xVal>
          <c:yVal>
            <c:numRef>
              <c:f>Datos!$J$26:$J$69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5</c:v>
                </c:pt>
                <c:pt idx="37">
                  <c:v>5.5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</c:v>
                </c:pt>
                <c:pt idx="4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5-4FAE-8D9D-82403A35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2208"/>
        <c:axId val="138303744"/>
      </c:scatterChart>
      <c:valAx>
        <c:axId val="138302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38303744"/>
        <c:crosses val="autoZero"/>
        <c:crossBetween val="midCat"/>
      </c:valAx>
      <c:valAx>
        <c:axId val="138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w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w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24</xdr:row>
      <xdr:rowOff>85725</xdr:rowOff>
    </xdr:from>
    <xdr:to>
      <xdr:col>19</xdr:col>
      <xdr:colOff>285750</xdr:colOff>
      <xdr:row>46</xdr:row>
      <xdr:rowOff>28575</xdr:rowOff>
    </xdr:to>
    <xdr:graphicFrame macro="">
      <xdr:nvGraphicFramePr>
        <xdr:cNvPr id="2110" name="1 Gráfico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112059</xdr:colOff>
      <xdr:row>5</xdr:row>
      <xdr:rowOff>89648</xdr:rowOff>
    </xdr:from>
    <xdr:to>
      <xdr:col>13</xdr:col>
      <xdr:colOff>336177</xdr:colOff>
      <xdr:row>41</xdr:row>
      <xdr:rowOff>97518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59" y="986119"/>
          <a:ext cx="7037294" cy="6462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504266</xdr:colOff>
      <xdr:row>4</xdr:row>
      <xdr:rowOff>111950</xdr:rowOff>
    </xdr:from>
    <xdr:to>
      <xdr:col>32</xdr:col>
      <xdr:colOff>567332</xdr:colOff>
      <xdr:row>41</xdr:row>
      <xdr:rowOff>179292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6442" y="829126"/>
          <a:ext cx="8064066" cy="6701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4</xdr:row>
      <xdr:rowOff>57150</xdr:rowOff>
    </xdr:from>
    <xdr:to>
      <xdr:col>15</xdr:col>
      <xdr:colOff>364882</xdr:colOff>
      <xdr:row>15</xdr:row>
      <xdr:rowOff>133350</xdr:rowOff>
    </xdr:to>
    <xdr:pic>
      <xdr:nvPicPr>
        <xdr:cNvPr id="66658" name="Picture 7">
          <a:extLst>
            <a:ext uri="{FF2B5EF4-FFF2-40B4-BE49-F238E27FC236}">
              <a16:creationId xmlns:a16="http://schemas.microsoft.com/office/drawing/2014/main" id="{00000000-0008-0000-0200-000062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95350"/>
          <a:ext cx="2486025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</xdr:row>
      <xdr:rowOff>123825</xdr:rowOff>
    </xdr:from>
    <xdr:to>
      <xdr:col>10</xdr:col>
      <xdr:colOff>214981</xdr:colOff>
      <xdr:row>15</xdr:row>
      <xdr:rowOff>104775</xdr:rowOff>
    </xdr:to>
    <xdr:pic>
      <xdr:nvPicPr>
        <xdr:cNvPr id="66659" name="Picture 10">
          <a:extLst>
            <a:ext uri="{FF2B5EF4-FFF2-40B4-BE49-F238E27FC236}">
              <a16:creationId xmlns:a16="http://schemas.microsoft.com/office/drawing/2014/main" id="{00000000-0008-0000-0200-000063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42925"/>
          <a:ext cx="5048250" cy="270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125</xdr:row>
          <xdr:rowOff>152400</xdr:rowOff>
        </xdr:from>
        <xdr:to>
          <xdr:col>6</xdr:col>
          <xdr:colOff>542925</xdr:colOff>
          <xdr:row>127</xdr:row>
          <xdr:rowOff>85725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135</xdr:row>
          <xdr:rowOff>85725</xdr:rowOff>
        </xdr:from>
        <xdr:to>
          <xdr:col>6</xdr:col>
          <xdr:colOff>104775</xdr:colOff>
          <xdr:row>137</xdr:row>
          <xdr:rowOff>28575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137</xdr:row>
          <xdr:rowOff>114300</xdr:rowOff>
        </xdr:from>
        <xdr:to>
          <xdr:col>6</xdr:col>
          <xdr:colOff>104775</xdr:colOff>
          <xdr:row>139</xdr:row>
          <xdr:rowOff>85725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561975</xdr:colOff>
          <xdr:row>122</xdr:row>
          <xdr:rowOff>142875</xdr:rowOff>
        </xdr:from>
        <xdr:to>
          <xdr:col>6</xdr:col>
          <xdr:colOff>523875</xdr:colOff>
          <xdr:row>124</xdr:row>
          <xdr:rowOff>76200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146</xdr:row>
          <xdr:rowOff>142875</xdr:rowOff>
        </xdr:from>
        <xdr:to>
          <xdr:col>12</xdr:col>
          <xdr:colOff>47625</xdr:colOff>
          <xdr:row>148</xdr:row>
          <xdr:rowOff>38100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148</xdr:row>
          <xdr:rowOff>142875</xdr:rowOff>
        </xdr:from>
        <xdr:to>
          <xdr:col>12</xdr:col>
          <xdr:colOff>28575</xdr:colOff>
          <xdr:row>150</xdr:row>
          <xdr:rowOff>85725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146</xdr:row>
          <xdr:rowOff>142875</xdr:rowOff>
        </xdr:from>
        <xdr:to>
          <xdr:col>4</xdr:col>
          <xdr:colOff>152400</xdr:colOff>
          <xdr:row>148</xdr:row>
          <xdr:rowOff>85725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149</xdr:row>
          <xdr:rowOff>114300</xdr:rowOff>
        </xdr:from>
        <xdr:to>
          <xdr:col>4</xdr:col>
          <xdr:colOff>114300</xdr:colOff>
          <xdr:row>151</xdr:row>
          <xdr:rowOff>66675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146</xdr:row>
          <xdr:rowOff>123825</xdr:rowOff>
        </xdr:from>
        <xdr:to>
          <xdr:col>6</xdr:col>
          <xdr:colOff>447675</xdr:colOff>
          <xdr:row>148</xdr:row>
          <xdr:rowOff>28575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148</xdr:row>
          <xdr:rowOff>142875</xdr:rowOff>
        </xdr:from>
        <xdr:to>
          <xdr:col>6</xdr:col>
          <xdr:colOff>428625</xdr:colOff>
          <xdr:row>150</xdr:row>
          <xdr:rowOff>47625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152</xdr:row>
          <xdr:rowOff>123825</xdr:rowOff>
        </xdr:from>
        <xdr:to>
          <xdr:col>4</xdr:col>
          <xdr:colOff>152400</xdr:colOff>
          <xdr:row>154</xdr:row>
          <xdr:rowOff>142875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151</xdr:row>
          <xdr:rowOff>142875</xdr:rowOff>
        </xdr:from>
        <xdr:to>
          <xdr:col>12</xdr:col>
          <xdr:colOff>66675</xdr:colOff>
          <xdr:row>153</xdr:row>
          <xdr:rowOff>85725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151</xdr:row>
          <xdr:rowOff>161925</xdr:rowOff>
        </xdr:from>
        <xdr:to>
          <xdr:col>6</xdr:col>
          <xdr:colOff>428625</xdr:colOff>
          <xdr:row>153</xdr:row>
          <xdr:rowOff>66675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155</xdr:row>
          <xdr:rowOff>85725</xdr:rowOff>
        </xdr:from>
        <xdr:to>
          <xdr:col>4</xdr:col>
          <xdr:colOff>104775</xdr:colOff>
          <xdr:row>157</xdr:row>
          <xdr:rowOff>28575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154</xdr:row>
          <xdr:rowOff>142875</xdr:rowOff>
        </xdr:from>
        <xdr:to>
          <xdr:col>12</xdr:col>
          <xdr:colOff>28575</xdr:colOff>
          <xdr:row>156</xdr:row>
          <xdr:rowOff>85725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154</xdr:row>
          <xdr:rowOff>161925</xdr:rowOff>
        </xdr:from>
        <xdr:to>
          <xdr:col>6</xdr:col>
          <xdr:colOff>428625</xdr:colOff>
          <xdr:row>156</xdr:row>
          <xdr:rowOff>66675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166</xdr:row>
          <xdr:rowOff>142875</xdr:rowOff>
        </xdr:from>
        <xdr:to>
          <xdr:col>10</xdr:col>
          <xdr:colOff>142875</xdr:colOff>
          <xdr:row>168</xdr:row>
          <xdr:rowOff>76200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168</xdr:row>
          <xdr:rowOff>152400</xdr:rowOff>
        </xdr:from>
        <xdr:to>
          <xdr:col>10</xdr:col>
          <xdr:colOff>152400</xdr:colOff>
          <xdr:row>170</xdr:row>
          <xdr:rowOff>85725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173</xdr:row>
          <xdr:rowOff>104775</xdr:rowOff>
        </xdr:from>
        <xdr:to>
          <xdr:col>4</xdr:col>
          <xdr:colOff>190500</xdr:colOff>
          <xdr:row>175</xdr:row>
          <xdr:rowOff>123825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173</xdr:row>
          <xdr:rowOff>161925</xdr:rowOff>
        </xdr:from>
        <xdr:to>
          <xdr:col>6</xdr:col>
          <xdr:colOff>523875</xdr:colOff>
          <xdr:row>175</xdr:row>
          <xdr:rowOff>66675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175</xdr:row>
          <xdr:rowOff>190500</xdr:rowOff>
        </xdr:from>
        <xdr:to>
          <xdr:col>4</xdr:col>
          <xdr:colOff>114300</xdr:colOff>
          <xdr:row>177</xdr:row>
          <xdr:rowOff>142875</xdr:rowOff>
        </xdr:to>
        <xdr:sp macro="" textlink="">
          <xdr:nvSpPr>
            <xdr:cNvPr id="3108" name="Object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257175</xdr:colOff>
          <xdr:row>175</xdr:row>
          <xdr:rowOff>152400</xdr:rowOff>
        </xdr:from>
        <xdr:to>
          <xdr:col>6</xdr:col>
          <xdr:colOff>523875</xdr:colOff>
          <xdr:row>177</xdr:row>
          <xdr:rowOff>66675</xdr:rowOff>
        </xdr:to>
        <xdr:sp macro="" textlink="">
          <xdr:nvSpPr>
            <xdr:cNvPr id="3109" name="Object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173</xdr:row>
          <xdr:rowOff>104775</xdr:rowOff>
        </xdr:from>
        <xdr:to>
          <xdr:col>11</xdr:col>
          <xdr:colOff>200025</xdr:colOff>
          <xdr:row>175</xdr:row>
          <xdr:rowOff>104775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175</xdr:row>
          <xdr:rowOff>142875</xdr:rowOff>
        </xdr:from>
        <xdr:to>
          <xdr:col>11</xdr:col>
          <xdr:colOff>200025</xdr:colOff>
          <xdr:row>177</xdr:row>
          <xdr:rowOff>76200</xdr:rowOff>
        </xdr:to>
        <xdr:sp macro="" textlink="">
          <xdr:nvSpPr>
            <xdr:cNvPr id="3111" name="Object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178</xdr:row>
          <xdr:rowOff>123825</xdr:rowOff>
        </xdr:from>
        <xdr:to>
          <xdr:col>4</xdr:col>
          <xdr:colOff>152400</xdr:colOff>
          <xdr:row>180</xdr:row>
          <xdr:rowOff>142875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178</xdr:row>
          <xdr:rowOff>142875</xdr:rowOff>
        </xdr:from>
        <xdr:to>
          <xdr:col>6</xdr:col>
          <xdr:colOff>504825</xdr:colOff>
          <xdr:row>180</xdr:row>
          <xdr:rowOff>38100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428625</xdr:colOff>
          <xdr:row>178</xdr:row>
          <xdr:rowOff>114300</xdr:rowOff>
        </xdr:from>
        <xdr:to>
          <xdr:col>11</xdr:col>
          <xdr:colOff>180975</xdr:colOff>
          <xdr:row>180</xdr:row>
          <xdr:rowOff>104775</xdr:rowOff>
        </xdr:to>
        <xdr:sp macro="" textlink="">
          <xdr:nvSpPr>
            <xdr:cNvPr id="3116" name="Object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181</xdr:row>
          <xdr:rowOff>85725</xdr:rowOff>
        </xdr:from>
        <xdr:to>
          <xdr:col>4</xdr:col>
          <xdr:colOff>123825</xdr:colOff>
          <xdr:row>183</xdr:row>
          <xdr:rowOff>66675</xdr:rowOff>
        </xdr:to>
        <xdr:sp macro="" textlink="">
          <xdr:nvSpPr>
            <xdr:cNvPr id="3117" name="Object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180</xdr:row>
          <xdr:rowOff>142875</xdr:rowOff>
        </xdr:from>
        <xdr:to>
          <xdr:col>6</xdr:col>
          <xdr:colOff>495300</xdr:colOff>
          <xdr:row>182</xdr:row>
          <xdr:rowOff>47625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180</xdr:row>
          <xdr:rowOff>114300</xdr:rowOff>
        </xdr:from>
        <xdr:to>
          <xdr:col>11</xdr:col>
          <xdr:colOff>180975</xdr:colOff>
          <xdr:row>182</xdr:row>
          <xdr:rowOff>85725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192</xdr:row>
          <xdr:rowOff>180975</xdr:rowOff>
        </xdr:from>
        <xdr:to>
          <xdr:col>10</xdr:col>
          <xdr:colOff>352425</xdr:colOff>
          <xdr:row>194</xdr:row>
          <xdr:rowOff>180975</xdr:rowOff>
        </xdr:to>
        <xdr:sp macro="" textlink="">
          <xdr:nvSpPr>
            <xdr:cNvPr id="3123" name="Object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195</xdr:row>
          <xdr:rowOff>28575</xdr:rowOff>
        </xdr:from>
        <xdr:to>
          <xdr:col>10</xdr:col>
          <xdr:colOff>333375</xdr:colOff>
          <xdr:row>197</xdr:row>
          <xdr:rowOff>28575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205</xdr:row>
          <xdr:rowOff>104775</xdr:rowOff>
        </xdr:from>
        <xdr:to>
          <xdr:col>9</xdr:col>
          <xdr:colOff>542925</xdr:colOff>
          <xdr:row>207</xdr:row>
          <xdr:rowOff>142875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314325</xdr:colOff>
          <xdr:row>212</xdr:row>
          <xdr:rowOff>9525</xdr:rowOff>
        </xdr:from>
        <xdr:to>
          <xdr:col>12</xdr:col>
          <xdr:colOff>647700</xdr:colOff>
          <xdr:row>212</xdr:row>
          <xdr:rowOff>219075</xdr:rowOff>
        </xdr:to>
        <xdr:sp macro="" textlink="">
          <xdr:nvSpPr>
            <xdr:cNvPr id="3128" name="Object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50</xdr:row>
      <xdr:rowOff>133350</xdr:rowOff>
    </xdr:from>
    <xdr:to>
      <xdr:col>7</xdr:col>
      <xdr:colOff>304800</xdr:colOff>
      <xdr:row>52</xdr:row>
      <xdr:rowOff>85725</xdr:rowOff>
    </xdr:to>
    <xdr:pic>
      <xdr:nvPicPr>
        <xdr:cNvPr id="6104" name="Picture 1">
          <a:extLst>
            <a:ext uri="{FF2B5EF4-FFF2-40B4-BE49-F238E27FC236}">
              <a16:creationId xmlns:a16="http://schemas.microsoft.com/office/drawing/2014/main" id="{00000000-0008-0000-0700-0000D8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10401300"/>
          <a:ext cx="17240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53</xdr:row>
      <xdr:rowOff>0</xdr:rowOff>
    </xdr:from>
    <xdr:to>
      <xdr:col>7</xdr:col>
      <xdr:colOff>9525</xdr:colOff>
      <xdr:row>54</xdr:row>
      <xdr:rowOff>19050</xdr:rowOff>
    </xdr:to>
    <xdr:pic>
      <xdr:nvPicPr>
        <xdr:cNvPr id="6105" name="Picture 3">
          <a:extLst>
            <a:ext uri="{FF2B5EF4-FFF2-40B4-BE49-F238E27FC236}">
              <a16:creationId xmlns:a16="http://schemas.microsoft.com/office/drawing/2014/main" id="{00000000-0008-0000-0700-0000D9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0896600"/>
          <a:ext cx="1419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54</xdr:row>
      <xdr:rowOff>152400</xdr:rowOff>
    </xdr:from>
    <xdr:to>
      <xdr:col>6</xdr:col>
      <xdr:colOff>514350</xdr:colOff>
      <xdr:row>56</xdr:row>
      <xdr:rowOff>104775</xdr:rowOff>
    </xdr:to>
    <xdr:pic>
      <xdr:nvPicPr>
        <xdr:cNvPr id="6106" name="Picture 4">
          <a:extLst>
            <a:ext uri="{FF2B5EF4-FFF2-40B4-BE49-F238E27FC236}">
              <a16:creationId xmlns:a16="http://schemas.microsoft.com/office/drawing/2014/main" id="{00000000-0008-0000-0700-0000DA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1258550"/>
          <a:ext cx="1362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57</xdr:row>
      <xdr:rowOff>0</xdr:rowOff>
    </xdr:from>
    <xdr:to>
      <xdr:col>8</xdr:col>
      <xdr:colOff>104775</xdr:colOff>
      <xdr:row>58</xdr:row>
      <xdr:rowOff>161925</xdr:rowOff>
    </xdr:to>
    <xdr:pic>
      <xdr:nvPicPr>
        <xdr:cNvPr id="6107" name="Picture 6">
          <a:extLst>
            <a:ext uri="{FF2B5EF4-FFF2-40B4-BE49-F238E27FC236}">
              <a16:creationId xmlns:a16="http://schemas.microsoft.com/office/drawing/2014/main" id="{00000000-0008-0000-0700-0000DB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1734800"/>
          <a:ext cx="20764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838200</xdr:colOff>
      <xdr:row>105</xdr:row>
      <xdr:rowOff>133350</xdr:rowOff>
    </xdr:from>
    <xdr:to>
      <xdr:col>7</xdr:col>
      <xdr:colOff>304800</xdr:colOff>
      <xdr:row>107</xdr:row>
      <xdr:rowOff>85725</xdr:rowOff>
    </xdr:to>
    <xdr:pic>
      <xdr:nvPicPr>
        <xdr:cNvPr id="6108" name="Picture 1">
          <a:extLst>
            <a:ext uri="{FF2B5EF4-FFF2-40B4-BE49-F238E27FC236}">
              <a16:creationId xmlns:a16="http://schemas.microsoft.com/office/drawing/2014/main" id="{00000000-0008-0000-0700-0000DC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21507450"/>
          <a:ext cx="17240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</xdr:row>
      <xdr:rowOff>0</xdr:rowOff>
    </xdr:from>
    <xdr:to>
      <xdr:col>7</xdr:col>
      <xdr:colOff>9525</xdr:colOff>
      <xdr:row>109</xdr:row>
      <xdr:rowOff>19050</xdr:rowOff>
    </xdr:to>
    <xdr:pic>
      <xdr:nvPicPr>
        <xdr:cNvPr id="6109" name="Picture 3">
          <a:extLst>
            <a:ext uri="{FF2B5EF4-FFF2-40B4-BE49-F238E27FC236}">
              <a16:creationId xmlns:a16="http://schemas.microsoft.com/office/drawing/2014/main" id="{00000000-0008-0000-0700-0000DD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2002750"/>
          <a:ext cx="1419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110</xdr:row>
      <xdr:rowOff>0</xdr:rowOff>
    </xdr:from>
    <xdr:to>
      <xdr:col>7</xdr:col>
      <xdr:colOff>333375</xdr:colOff>
      <xdr:row>111</xdr:row>
      <xdr:rowOff>161925</xdr:rowOff>
    </xdr:to>
    <xdr:pic>
      <xdr:nvPicPr>
        <xdr:cNvPr id="6110" name="Picture 1">
          <a:extLst>
            <a:ext uri="{FF2B5EF4-FFF2-40B4-BE49-F238E27FC236}">
              <a16:creationId xmlns:a16="http://schemas.microsoft.com/office/drawing/2014/main" id="{00000000-0008-0000-0700-0000DE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2421850"/>
          <a:ext cx="1743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333375</xdr:colOff>
      <xdr:row>139</xdr:row>
      <xdr:rowOff>142875</xdr:rowOff>
    </xdr:from>
    <xdr:to>
      <xdr:col>3</xdr:col>
      <xdr:colOff>647700</xdr:colOff>
      <xdr:row>141</xdr:row>
      <xdr:rowOff>95250</xdr:rowOff>
    </xdr:to>
    <xdr:pic>
      <xdr:nvPicPr>
        <xdr:cNvPr id="6111" name="Picture 3">
          <a:extLst>
            <a:ext uri="{FF2B5EF4-FFF2-40B4-BE49-F238E27FC236}">
              <a16:creationId xmlns:a16="http://schemas.microsoft.com/office/drawing/2014/main" id="{00000000-0008-0000-0700-0000D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641675"/>
          <a:ext cx="1000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142875</xdr:rowOff>
    </xdr:from>
    <xdr:to>
      <xdr:col>4</xdr:col>
      <xdr:colOff>371475</xdr:colOff>
      <xdr:row>14</xdr:row>
      <xdr:rowOff>133350</xdr:rowOff>
    </xdr:to>
    <xdr:pic>
      <xdr:nvPicPr>
        <xdr:cNvPr id="6112" name="Picture 3">
          <a:extLst>
            <a:ext uri="{FF2B5EF4-FFF2-40B4-BE49-F238E27FC236}">
              <a16:creationId xmlns:a16="http://schemas.microsoft.com/office/drawing/2014/main" id="{00000000-0008-0000-0700-0000E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61975"/>
          <a:ext cx="2000250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247</xdr:row>
      <xdr:rowOff>0</xdr:rowOff>
    </xdr:from>
    <xdr:to>
      <xdr:col>4</xdr:col>
      <xdr:colOff>57150</xdr:colOff>
      <xdr:row>248</xdr:row>
      <xdr:rowOff>161925</xdr:rowOff>
    </xdr:to>
    <xdr:pic>
      <xdr:nvPicPr>
        <xdr:cNvPr id="6113" name="Picture 3">
          <a:extLst>
            <a:ext uri="{FF2B5EF4-FFF2-40B4-BE49-F238E27FC236}">
              <a16:creationId xmlns:a16="http://schemas.microsoft.com/office/drawing/2014/main" id="{00000000-0008-0000-0700-0000E1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9244250"/>
          <a:ext cx="1000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200025</xdr:colOff>
      <xdr:row>204</xdr:row>
      <xdr:rowOff>0</xdr:rowOff>
    </xdr:from>
    <xdr:to>
      <xdr:col>14</xdr:col>
      <xdr:colOff>76200</xdr:colOff>
      <xdr:row>214</xdr:row>
      <xdr:rowOff>66675</xdr:rowOff>
    </xdr:to>
    <xdr:pic>
      <xdr:nvPicPr>
        <xdr:cNvPr id="6114" name="Picture 28">
          <a:extLst>
            <a:ext uri="{FF2B5EF4-FFF2-40B4-BE49-F238E27FC236}">
              <a16:creationId xmlns:a16="http://schemas.microsoft.com/office/drawing/2014/main" id="{00000000-0008-0000-0700-0000E2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40233600"/>
          <a:ext cx="2200275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162</xdr:row>
      <xdr:rowOff>66675</xdr:rowOff>
    </xdr:from>
    <xdr:to>
      <xdr:col>4</xdr:col>
      <xdr:colOff>523875</xdr:colOff>
      <xdr:row>170</xdr:row>
      <xdr:rowOff>161925</xdr:rowOff>
    </xdr:to>
    <xdr:pic>
      <xdr:nvPicPr>
        <xdr:cNvPr id="6115" name="Picture 50">
          <a:extLst>
            <a:ext uri="{FF2B5EF4-FFF2-40B4-BE49-F238E27FC236}">
              <a16:creationId xmlns:a16="http://schemas.microsoft.com/office/drawing/2014/main" id="{00000000-0008-0000-0700-0000E3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3385125"/>
          <a:ext cx="217170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133350</xdr:colOff>
      <xdr:row>57</xdr:row>
      <xdr:rowOff>85725</xdr:rowOff>
    </xdr:from>
    <xdr:to>
      <xdr:col>11</xdr:col>
      <xdr:colOff>161925</xdr:colOff>
      <xdr:row>58</xdr:row>
      <xdr:rowOff>66675</xdr:rowOff>
    </xdr:to>
    <xdr:pic>
      <xdr:nvPicPr>
        <xdr:cNvPr id="6116" name="Picture 79">
          <a:extLst>
            <a:ext uri="{FF2B5EF4-FFF2-40B4-BE49-F238E27FC236}">
              <a16:creationId xmlns:a16="http://schemas.microsoft.com/office/drawing/2014/main" id="{00000000-0008-0000-0700-0000E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20525"/>
          <a:ext cx="12763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110</xdr:row>
      <xdr:rowOff>85725</xdr:rowOff>
    </xdr:from>
    <xdr:to>
      <xdr:col>11</xdr:col>
      <xdr:colOff>95250</xdr:colOff>
      <xdr:row>111</xdr:row>
      <xdr:rowOff>66675</xdr:rowOff>
    </xdr:to>
    <xdr:pic>
      <xdr:nvPicPr>
        <xdr:cNvPr id="6117" name="Picture 79">
          <a:extLst>
            <a:ext uri="{FF2B5EF4-FFF2-40B4-BE49-F238E27FC236}">
              <a16:creationId xmlns:a16="http://schemas.microsoft.com/office/drawing/2014/main" id="{00000000-0008-0000-0700-0000E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2507575"/>
          <a:ext cx="12763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42</xdr:row>
      <xdr:rowOff>0</xdr:rowOff>
    </xdr:from>
    <xdr:to>
      <xdr:col>11</xdr:col>
      <xdr:colOff>209550</xdr:colOff>
      <xdr:row>43</xdr:row>
      <xdr:rowOff>19050</xdr:rowOff>
    </xdr:to>
    <xdr:pic>
      <xdr:nvPicPr>
        <xdr:cNvPr id="6118" name="Picture 82">
          <a:extLst>
            <a:ext uri="{FF2B5EF4-FFF2-40B4-BE49-F238E27FC236}">
              <a16:creationId xmlns:a16="http://schemas.microsoft.com/office/drawing/2014/main" id="{00000000-0008-0000-0700-0000E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8591550"/>
          <a:ext cx="14668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97</xdr:row>
      <xdr:rowOff>0</xdr:rowOff>
    </xdr:from>
    <xdr:to>
      <xdr:col>12</xdr:col>
      <xdr:colOff>266700</xdr:colOff>
      <xdr:row>98</xdr:row>
      <xdr:rowOff>19050</xdr:rowOff>
    </xdr:to>
    <xdr:pic>
      <xdr:nvPicPr>
        <xdr:cNvPr id="6119" name="Picture 82">
          <a:extLst>
            <a:ext uri="{FF2B5EF4-FFF2-40B4-BE49-F238E27FC236}">
              <a16:creationId xmlns:a16="http://schemas.microsoft.com/office/drawing/2014/main" id="{00000000-0008-0000-0700-0000E7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97700"/>
          <a:ext cx="14668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135591</xdr:colOff>
      <xdr:row>24</xdr:row>
      <xdr:rowOff>33618</xdr:rowOff>
    </xdr:from>
    <xdr:to>
      <xdr:col>9</xdr:col>
      <xdr:colOff>655297</xdr:colOff>
      <xdr:row>29</xdr:row>
      <xdr:rowOff>172324</xdr:rowOff>
    </xdr:to>
    <xdr:sp macro="" textlink="">
      <xdr:nvSpPr>
        <xdr:cNvPr id="20" name="19 Forma en L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4078941" y="4291293"/>
          <a:ext cx="1081681" cy="1081681"/>
        </a:xfrm>
        <a:prstGeom prst="corner">
          <a:avLst>
            <a:gd name="adj1" fmla="val 12420"/>
            <a:gd name="adj2" fmla="val 10863"/>
          </a:avLst>
        </a:prstGeom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s-CL"/>
        </a:p>
      </xdr:txBody>
    </xdr:sp>
    <xdr:clientData/>
  </xdr:twoCellAnchor>
  <xdr:twoCellAnchor>
    <xdr:from>
      <xdr:col>7</xdr:col>
      <xdr:colOff>510409</xdr:colOff>
      <xdr:row>26</xdr:row>
      <xdr:rowOff>98535</xdr:rowOff>
    </xdr:from>
    <xdr:to>
      <xdr:col>8</xdr:col>
      <xdr:colOff>125478</xdr:colOff>
      <xdr:row>26</xdr:row>
      <xdr:rowOff>98535</xdr:rowOff>
    </xdr:to>
    <xdr:cxnSp macro="">
      <xdr:nvCxnSpPr>
        <xdr:cNvPr id="22" name="21 Conector recto de flecha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CxnSpPr/>
      </xdr:nvCxnSpPr>
      <xdr:spPr>
        <a:xfrm flipV="1">
          <a:off x="3891784" y="4756260"/>
          <a:ext cx="177044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264719</xdr:colOff>
      <xdr:row>26</xdr:row>
      <xdr:rowOff>98537</xdr:rowOff>
    </xdr:from>
    <xdr:to>
      <xdr:col>8</xdr:col>
      <xdr:colOff>444719</xdr:colOff>
      <xdr:row>26</xdr:row>
      <xdr:rowOff>98537</xdr:rowOff>
    </xdr:to>
    <xdr:cxnSp macro="">
      <xdr:nvCxnSpPr>
        <xdr:cNvPr id="25" name="24 Conector recto de flecha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CxnSpPr/>
      </xdr:nvCxnSpPr>
      <xdr:spPr>
        <a:xfrm rot="10800000" flipV="1">
          <a:off x="4208069" y="4756262"/>
          <a:ext cx="1800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134797</xdr:colOff>
      <xdr:row>29</xdr:row>
      <xdr:rowOff>157676</xdr:rowOff>
    </xdr:from>
    <xdr:to>
      <xdr:col>8</xdr:col>
      <xdr:colOff>136385</xdr:colOff>
      <xdr:row>31</xdr:row>
      <xdr:rowOff>56824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 rot="5400000">
          <a:off x="3948392" y="5488081"/>
          <a:ext cx="26109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634580</xdr:colOff>
      <xdr:row>29</xdr:row>
      <xdr:rowOff>164400</xdr:rowOff>
    </xdr:from>
    <xdr:to>
      <xdr:col>9</xdr:col>
      <xdr:colOff>636168</xdr:colOff>
      <xdr:row>31</xdr:row>
      <xdr:rowOff>63548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CxnSpPr/>
      </xdr:nvCxnSpPr>
      <xdr:spPr>
        <a:xfrm rot="5400000">
          <a:off x="5010150" y="5494805"/>
          <a:ext cx="26109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124384</xdr:colOff>
      <xdr:row>30</xdr:row>
      <xdr:rowOff>134471</xdr:rowOff>
    </xdr:from>
    <xdr:to>
      <xdr:col>9</xdr:col>
      <xdr:colOff>644090</xdr:colOff>
      <xdr:row>30</xdr:row>
      <xdr:rowOff>136059</xdr:rowOff>
    </xdr:to>
    <xdr:cxnSp macro="">
      <xdr:nvCxnSpPr>
        <xdr:cNvPr id="33" name="32 Conector recto de flecha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CxnSpPr/>
      </xdr:nvCxnSpPr>
      <xdr:spPr>
        <a:xfrm>
          <a:off x="4067734" y="5516096"/>
          <a:ext cx="1081681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164166</xdr:colOff>
      <xdr:row>46</xdr:row>
      <xdr:rowOff>33618</xdr:rowOff>
    </xdr:from>
    <xdr:to>
      <xdr:col>9</xdr:col>
      <xdr:colOff>683872</xdr:colOff>
      <xdr:row>51</xdr:row>
      <xdr:rowOff>172324</xdr:rowOff>
    </xdr:to>
    <xdr:sp macro="" textlink="">
      <xdr:nvSpPr>
        <xdr:cNvPr id="34" name="33 Forma en L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4107516" y="8358468"/>
          <a:ext cx="1081681" cy="1043581"/>
        </a:xfrm>
        <a:prstGeom prst="corner">
          <a:avLst>
            <a:gd name="adj1" fmla="val 12420"/>
            <a:gd name="adj2" fmla="val 10863"/>
          </a:avLst>
        </a:prstGeom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endParaRPr lang="es-CL"/>
        </a:p>
      </xdr:txBody>
    </xdr:sp>
    <xdr:clientData/>
  </xdr:twoCellAnchor>
  <xdr:twoCellAnchor>
    <xdr:from>
      <xdr:col>7</xdr:col>
      <xdr:colOff>538984</xdr:colOff>
      <xdr:row>48</xdr:row>
      <xdr:rowOff>98535</xdr:rowOff>
    </xdr:from>
    <xdr:to>
      <xdr:col>8</xdr:col>
      <xdr:colOff>154053</xdr:colOff>
      <xdr:row>48</xdr:row>
      <xdr:rowOff>98535</xdr:rowOff>
    </xdr:to>
    <xdr:cxnSp macro="">
      <xdr:nvCxnSpPr>
        <xdr:cNvPr id="35" name="34 Conector recto de flecha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CxnSpPr/>
      </xdr:nvCxnSpPr>
      <xdr:spPr>
        <a:xfrm flipV="1">
          <a:off x="3920359" y="8785335"/>
          <a:ext cx="177044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293294</xdr:colOff>
      <xdr:row>48</xdr:row>
      <xdr:rowOff>98537</xdr:rowOff>
    </xdr:from>
    <xdr:to>
      <xdr:col>8</xdr:col>
      <xdr:colOff>473294</xdr:colOff>
      <xdr:row>48</xdr:row>
      <xdr:rowOff>98537</xdr:rowOff>
    </xdr:to>
    <xdr:cxnSp macro="">
      <xdr:nvCxnSpPr>
        <xdr:cNvPr id="36" name="35 Conector recto de flecha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>
        <a:xfrm rot="10800000" flipV="1">
          <a:off x="4236644" y="8785337"/>
          <a:ext cx="1800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163372</xdr:colOff>
      <xdr:row>51</xdr:row>
      <xdr:rowOff>157676</xdr:rowOff>
    </xdr:from>
    <xdr:to>
      <xdr:col>8</xdr:col>
      <xdr:colOff>164960</xdr:colOff>
      <xdr:row>53</xdr:row>
      <xdr:rowOff>56824</xdr:rowOff>
    </xdr:to>
    <xdr:cxnSp macro="">
      <xdr:nvCxnSpPr>
        <xdr:cNvPr id="37" name="36 Conector recto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CxnSpPr/>
      </xdr:nvCxnSpPr>
      <xdr:spPr>
        <a:xfrm rot="5400000">
          <a:off x="3976967" y="9517156"/>
          <a:ext cx="26109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663155</xdr:colOff>
      <xdr:row>51</xdr:row>
      <xdr:rowOff>164400</xdr:rowOff>
    </xdr:from>
    <xdr:to>
      <xdr:col>9</xdr:col>
      <xdr:colOff>664743</xdr:colOff>
      <xdr:row>53</xdr:row>
      <xdr:rowOff>63548</xdr:rowOff>
    </xdr:to>
    <xdr:cxnSp macro="">
      <xdr:nvCxnSpPr>
        <xdr:cNvPr id="38" name="37 Conector recto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CxnSpPr/>
      </xdr:nvCxnSpPr>
      <xdr:spPr>
        <a:xfrm rot="5400000">
          <a:off x="5038725" y="9523880"/>
          <a:ext cx="26109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152959</xdr:colOff>
      <xdr:row>52</xdr:row>
      <xdr:rowOff>134471</xdr:rowOff>
    </xdr:from>
    <xdr:to>
      <xdr:col>9</xdr:col>
      <xdr:colOff>672665</xdr:colOff>
      <xdr:row>52</xdr:row>
      <xdr:rowOff>136059</xdr:rowOff>
    </xdr:to>
    <xdr:cxnSp macro="">
      <xdr:nvCxnSpPr>
        <xdr:cNvPr id="39" name="38 Conector recto de flecha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CxnSpPr/>
      </xdr:nvCxnSpPr>
      <xdr:spPr>
        <a:xfrm>
          <a:off x="4096309" y="9545171"/>
          <a:ext cx="1081681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40</xdr:row>
      <xdr:rowOff>104775</xdr:rowOff>
    </xdr:from>
    <xdr:to>
      <xdr:col>11</xdr:col>
      <xdr:colOff>438150</xdr:colOff>
      <xdr:row>42</xdr:row>
      <xdr:rowOff>76200</xdr:rowOff>
    </xdr:to>
    <xdr:pic>
      <xdr:nvPicPr>
        <xdr:cNvPr id="7109" name="Picture 2">
          <a:extLst>
            <a:ext uri="{FF2B5EF4-FFF2-40B4-BE49-F238E27FC236}">
              <a16:creationId xmlns:a16="http://schemas.microsoft.com/office/drawing/2014/main" id="{00000000-0008-0000-0800-0000C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7553325"/>
          <a:ext cx="990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62</xdr:row>
      <xdr:rowOff>104775</xdr:rowOff>
    </xdr:from>
    <xdr:to>
      <xdr:col>11</xdr:col>
      <xdr:colOff>438150</xdr:colOff>
      <xdr:row>64</xdr:row>
      <xdr:rowOff>76200</xdr:rowOff>
    </xdr:to>
    <xdr:pic>
      <xdr:nvPicPr>
        <xdr:cNvPr id="7110" name="Picture 2">
          <a:extLst>
            <a:ext uri="{FF2B5EF4-FFF2-40B4-BE49-F238E27FC236}">
              <a16:creationId xmlns:a16="http://schemas.microsoft.com/office/drawing/2014/main" id="{00000000-0008-0000-0800-0000C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1563350"/>
          <a:ext cx="990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9525</xdr:rowOff>
    </xdr:from>
    <xdr:to>
      <xdr:col>6</xdr:col>
      <xdr:colOff>523875</xdr:colOff>
      <xdr:row>20</xdr:row>
      <xdr:rowOff>28575</xdr:rowOff>
    </xdr:to>
    <xdr:pic>
      <xdr:nvPicPr>
        <xdr:cNvPr id="7111" name="Picture 2">
          <a:extLst>
            <a:ext uri="{FF2B5EF4-FFF2-40B4-BE49-F238E27FC236}">
              <a16:creationId xmlns:a16="http://schemas.microsoft.com/office/drawing/2014/main" id="{00000000-0008-0000-0800-0000C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752475"/>
          <a:ext cx="2905125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561975</xdr:colOff>
      <xdr:row>19</xdr:row>
      <xdr:rowOff>66675</xdr:rowOff>
    </xdr:to>
    <xdr:pic>
      <xdr:nvPicPr>
        <xdr:cNvPr id="71694" name="Picture 2">
          <a:extLst>
            <a:ext uri="{FF2B5EF4-FFF2-40B4-BE49-F238E27FC236}">
              <a16:creationId xmlns:a16="http://schemas.microsoft.com/office/drawing/2014/main" id="{00000000-0008-0000-0900-00000E1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685800"/>
          <a:ext cx="2914650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40</xdr:row>
      <xdr:rowOff>76200</xdr:rowOff>
    </xdr:from>
    <xdr:to>
      <xdr:col>4</xdr:col>
      <xdr:colOff>228600</xdr:colOff>
      <xdr:row>56</xdr:row>
      <xdr:rowOff>123825</xdr:rowOff>
    </xdr:to>
    <xdr:pic>
      <xdr:nvPicPr>
        <xdr:cNvPr id="71695" name="Picture 2">
          <a:extLst>
            <a:ext uri="{FF2B5EF4-FFF2-40B4-BE49-F238E27FC236}">
              <a16:creationId xmlns:a16="http://schemas.microsoft.com/office/drawing/2014/main" id="{00000000-0008-0000-0900-00000F1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7696200"/>
          <a:ext cx="2209800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e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3.emf"/><Relationship Id="rId39" Type="http://schemas.openxmlformats.org/officeDocument/2006/relationships/image" Target="../media/image17.emf"/><Relationship Id="rId21" Type="http://schemas.openxmlformats.org/officeDocument/2006/relationships/image" Target="../media/image11.wmf"/><Relationship Id="rId34" Type="http://schemas.openxmlformats.org/officeDocument/2006/relationships/oleObject" Target="../embeddings/oleObject18.bin"/><Relationship Id="rId42" Type="http://schemas.openxmlformats.org/officeDocument/2006/relationships/image" Target="../media/image18.emf"/><Relationship Id="rId47" Type="http://schemas.openxmlformats.org/officeDocument/2006/relationships/oleObject" Target="../embeddings/oleObject26.bin"/><Relationship Id="rId50" Type="http://schemas.openxmlformats.org/officeDocument/2006/relationships/oleObject" Target="../embeddings/oleObject28.bin"/><Relationship Id="rId55" Type="http://schemas.openxmlformats.org/officeDocument/2006/relationships/oleObject" Target="../embeddings/oleObject31.bin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4.emf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3.emf"/><Relationship Id="rId62" Type="http://schemas.openxmlformats.org/officeDocument/2006/relationships/image" Target="../media/image27.w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24" Type="http://schemas.openxmlformats.org/officeDocument/2006/relationships/image" Target="../media/image12.emf"/><Relationship Id="rId32" Type="http://schemas.openxmlformats.org/officeDocument/2006/relationships/oleObject" Target="../embeddings/oleObject16.bin"/><Relationship Id="rId37" Type="http://schemas.openxmlformats.org/officeDocument/2006/relationships/oleObject" Target="../embeddings/oleObject20.bin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30.bin"/><Relationship Id="rId58" Type="http://schemas.openxmlformats.org/officeDocument/2006/relationships/image" Target="../media/image25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23" Type="http://schemas.openxmlformats.org/officeDocument/2006/relationships/oleObject" Target="../embeddings/oleObject11.bin"/><Relationship Id="rId28" Type="http://schemas.openxmlformats.org/officeDocument/2006/relationships/oleObject" Target="../embeddings/oleObject14.bin"/><Relationship Id="rId36" Type="http://schemas.openxmlformats.org/officeDocument/2006/relationships/image" Target="../media/image16.emf"/><Relationship Id="rId49" Type="http://schemas.openxmlformats.org/officeDocument/2006/relationships/image" Target="../media/image21.emf"/><Relationship Id="rId57" Type="http://schemas.openxmlformats.org/officeDocument/2006/relationships/oleObject" Target="../embeddings/oleObject32.bin"/><Relationship Id="rId61" Type="http://schemas.openxmlformats.org/officeDocument/2006/relationships/oleObject" Target="../embeddings/oleObject34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10.emf"/><Relationship Id="rId31" Type="http://schemas.openxmlformats.org/officeDocument/2006/relationships/image" Target="../media/image15.emf"/><Relationship Id="rId44" Type="http://schemas.openxmlformats.org/officeDocument/2006/relationships/image" Target="../media/image19.emf"/><Relationship Id="rId52" Type="http://schemas.openxmlformats.org/officeDocument/2006/relationships/oleObject" Target="../embeddings/oleObject29.bin"/><Relationship Id="rId60" Type="http://schemas.openxmlformats.org/officeDocument/2006/relationships/image" Target="../media/image26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oleObject" Target="../embeddings/oleObject13.bin"/><Relationship Id="rId30" Type="http://schemas.openxmlformats.org/officeDocument/2006/relationships/oleObject" Target="../embeddings/oleObject15.bin"/><Relationship Id="rId35" Type="http://schemas.openxmlformats.org/officeDocument/2006/relationships/oleObject" Target="../embeddings/oleObject19.bin"/><Relationship Id="rId43" Type="http://schemas.openxmlformats.org/officeDocument/2006/relationships/oleObject" Target="../embeddings/oleObject24.bin"/><Relationship Id="rId48" Type="http://schemas.openxmlformats.org/officeDocument/2006/relationships/oleObject" Target="../embeddings/oleObject27.bin"/><Relationship Id="rId56" Type="http://schemas.openxmlformats.org/officeDocument/2006/relationships/image" Target="../media/image24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2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9.emf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1.bin"/><Relationship Id="rId46" Type="http://schemas.openxmlformats.org/officeDocument/2006/relationships/image" Target="../media/image20.emf"/><Relationship Id="rId59" Type="http://schemas.openxmlformats.org/officeDocument/2006/relationships/oleObject" Target="../embeddings/oleObject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AG265"/>
  <sheetViews>
    <sheetView topLeftCell="B1" zoomScale="85" zoomScaleNormal="85" workbookViewId="0">
      <selection activeCell="C3" sqref="C3"/>
    </sheetView>
  </sheetViews>
  <sheetFormatPr baseColWidth="10" defaultColWidth="11.42578125" defaultRowHeight="15"/>
  <cols>
    <col min="1" max="1" width="11.42578125" style="1"/>
    <col min="2" max="2" width="16.42578125" style="1" customWidth="1"/>
    <col min="3" max="3" width="7.85546875" style="1" customWidth="1"/>
    <col min="4" max="4" width="10.28515625" style="1" customWidth="1"/>
    <col min="5" max="5" width="10.140625" style="1" customWidth="1"/>
    <col min="6" max="10" width="15.7109375" style="1" customWidth="1"/>
    <col min="11" max="11" width="15.42578125" style="1" customWidth="1"/>
    <col min="12" max="12" width="15.28515625" style="1" customWidth="1"/>
    <col min="13" max="13" width="15.42578125" style="1" customWidth="1"/>
    <col min="14" max="14" width="15.140625" style="1" customWidth="1"/>
    <col min="15" max="16384" width="11.42578125" style="1"/>
  </cols>
  <sheetData>
    <row r="2" spans="2:14" ht="15.75">
      <c r="B2" s="65" t="s">
        <v>143</v>
      </c>
    </row>
    <row r="4" spans="2:14" ht="15.75">
      <c r="B4" s="192" t="s">
        <v>23</v>
      </c>
      <c r="C4" s="192" t="s">
        <v>24</v>
      </c>
      <c r="D4" s="192" t="s">
        <v>25</v>
      </c>
      <c r="E4" s="192" t="s">
        <v>26</v>
      </c>
      <c r="F4" s="192" t="s">
        <v>27</v>
      </c>
      <c r="G4" s="192" t="s">
        <v>28</v>
      </c>
      <c r="H4" s="192" t="s">
        <v>29</v>
      </c>
      <c r="I4" s="192" t="s">
        <v>30</v>
      </c>
      <c r="J4" s="192" t="s">
        <v>31</v>
      </c>
      <c r="K4" s="192" t="s">
        <v>32</v>
      </c>
      <c r="L4" s="192" t="s">
        <v>33</v>
      </c>
      <c r="M4" s="2"/>
      <c r="N4" s="2"/>
    </row>
    <row r="5" spans="2:14" ht="15.75"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2" t="s">
        <v>34</v>
      </c>
      <c r="N5" s="2" t="s">
        <v>34</v>
      </c>
    </row>
    <row r="6" spans="2:14" ht="15.75"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2"/>
      <c r="N6" s="2"/>
    </row>
    <row r="7" spans="2:14" ht="15.75"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2" t="s">
        <v>35</v>
      </c>
      <c r="N7" s="2" t="s">
        <v>36</v>
      </c>
    </row>
    <row r="8" spans="2:14" ht="15.75">
      <c r="B8" s="2"/>
      <c r="C8" s="2"/>
      <c r="D8" s="2" t="s">
        <v>37</v>
      </c>
      <c r="E8" s="2" t="s">
        <v>20</v>
      </c>
      <c r="F8" s="2" t="s">
        <v>20</v>
      </c>
      <c r="G8" s="2" t="s">
        <v>38</v>
      </c>
      <c r="H8" s="2" t="s">
        <v>38</v>
      </c>
      <c r="I8" s="2" t="s">
        <v>38</v>
      </c>
      <c r="J8" s="2" t="s">
        <v>38</v>
      </c>
      <c r="K8" s="2" t="s">
        <v>37</v>
      </c>
      <c r="L8" s="2" t="s">
        <v>37</v>
      </c>
      <c r="M8" s="2" t="s">
        <v>38</v>
      </c>
      <c r="N8" s="2" t="s">
        <v>38</v>
      </c>
    </row>
    <row r="9" spans="2:14" ht="15.75">
      <c r="B9" s="2">
        <v>1</v>
      </c>
      <c r="C9" s="2" t="s">
        <v>39</v>
      </c>
      <c r="D9" s="3" t="s">
        <v>40</v>
      </c>
      <c r="E9" s="3" t="s">
        <v>40</v>
      </c>
      <c r="F9" s="2">
        <v>30</v>
      </c>
      <c r="G9" s="4">
        <v>2</v>
      </c>
      <c r="H9" s="2">
        <v>2.2999999999999998</v>
      </c>
      <c r="I9" s="2">
        <v>2.2999999999999998</v>
      </c>
      <c r="J9" s="2">
        <v>2.4</v>
      </c>
      <c r="K9" s="2">
        <v>200</v>
      </c>
      <c r="L9" s="2">
        <v>150</v>
      </c>
      <c r="M9" s="2">
        <v>11000</v>
      </c>
      <c r="N9" s="2">
        <v>6500</v>
      </c>
    </row>
    <row r="10" spans="2:14" ht="15.75">
      <c r="B10" s="2" t="s">
        <v>41</v>
      </c>
      <c r="C10" s="2" t="s">
        <v>42</v>
      </c>
      <c r="D10" s="2">
        <v>6</v>
      </c>
      <c r="E10" s="2">
        <v>35</v>
      </c>
      <c r="F10" s="2">
        <v>40</v>
      </c>
      <c r="G10" s="4">
        <v>2</v>
      </c>
      <c r="H10" s="4">
        <v>2</v>
      </c>
      <c r="I10" s="2">
        <v>2.2999999999999998</v>
      </c>
      <c r="J10" s="2">
        <v>2.4</v>
      </c>
      <c r="K10" s="2">
        <v>60</v>
      </c>
      <c r="L10" s="2">
        <v>50</v>
      </c>
      <c r="M10" s="2">
        <v>8000</v>
      </c>
      <c r="N10" s="2">
        <v>5500</v>
      </c>
    </row>
    <row r="11" spans="2:14" ht="15.75">
      <c r="B11" s="2" t="s">
        <v>43</v>
      </c>
      <c r="C11" s="2" t="s">
        <v>44</v>
      </c>
      <c r="D11" s="2">
        <v>6</v>
      </c>
      <c r="E11" s="2">
        <v>35</v>
      </c>
      <c r="F11" s="2">
        <v>40</v>
      </c>
      <c r="G11" s="4">
        <v>2</v>
      </c>
      <c r="H11" s="4">
        <v>2</v>
      </c>
      <c r="I11" s="2">
        <v>2.2999999999999998</v>
      </c>
      <c r="J11" s="2">
        <v>2.4</v>
      </c>
      <c r="K11" s="2">
        <v>60</v>
      </c>
      <c r="L11" s="2">
        <v>50</v>
      </c>
      <c r="M11" s="2">
        <v>8000</v>
      </c>
      <c r="N11" s="2">
        <v>5500</v>
      </c>
    </row>
    <row r="12" spans="2:14" ht="15.75">
      <c r="B12" s="2" t="s">
        <v>45</v>
      </c>
      <c r="C12" s="2" t="s">
        <v>42</v>
      </c>
      <c r="D12" s="2">
        <v>0</v>
      </c>
      <c r="E12" s="2">
        <v>35</v>
      </c>
      <c r="F12" s="2">
        <v>30</v>
      </c>
      <c r="G12" s="4">
        <v>2</v>
      </c>
      <c r="H12" s="4">
        <v>2</v>
      </c>
      <c r="I12" s="2">
        <v>2.2999999999999998</v>
      </c>
      <c r="J12" s="2">
        <v>2.4</v>
      </c>
      <c r="K12" s="2">
        <v>40</v>
      </c>
      <c r="L12" s="2">
        <v>30</v>
      </c>
      <c r="M12" s="2">
        <v>6000</v>
      </c>
      <c r="N12" s="2">
        <v>3500</v>
      </c>
    </row>
    <row r="13" spans="2:14" ht="15.75">
      <c r="B13" s="2" t="s">
        <v>706</v>
      </c>
      <c r="C13" s="2" t="s">
        <v>42</v>
      </c>
      <c r="D13" s="2">
        <v>0.5</v>
      </c>
      <c r="E13" s="2">
        <v>35</v>
      </c>
      <c r="F13" s="2">
        <v>38</v>
      </c>
      <c r="G13" s="2">
        <v>1.6</v>
      </c>
      <c r="H13" s="4">
        <v>2</v>
      </c>
      <c r="I13" s="2">
        <v>2.2999999999999998</v>
      </c>
      <c r="J13" s="2">
        <v>2.4</v>
      </c>
      <c r="K13" s="2">
        <v>30</v>
      </c>
      <c r="L13" s="2"/>
      <c r="M13" s="2"/>
      <c r="N13" s="2"/>
    </row>
    <row r="14" spans="2:14" ht="15.75">
      <c r="B14" s="2" t="s">
        <v>46</v>
      </c>
      <c r="C14" s="2" t="s">
        <v>44</v>
      </c>
      <c r="D14" s="2">
        <v>7</v>
      </c>
      <c r="E14" s="2">
        <v>0</v>
      </c>
      <c r="F14" s="2">
        <v>30</v>
      </c>
      <c r="G14" s="2">
        <v>1.6</v>
      </c>
      <c r="H14" s="4">
        <v>2</v>
      </c>
      <c r="I14" s="2">
        <v>2.2999999999999998</v>
      </c>
      <c r="J14" s="2">
        <v>2.4</v>
      </c>
      <c r="K14" s="2">
        <v>20</v>
      </c>
      <c r="L14" s="2">
        <v>15</v>
      </c>
      <c r="M14" s="2">
        <v>4000</v>
      </c>
      <c r="N14" s="2">
        <v>2800</v>
      </c>
    </row>
    <row r="15" spans="2:14" ht="15.75">
      <c r="B15" s="2" t="s">
        <v>47</v>
      </c>
      <c r="C15" s="2" t="s">
        <v>42</v>
      </c>
      <c r="D15" s="2">
        <v>0</v>
      </c>
      <c r="E15" s="2">
        <v>35</v>
      </c>
      <c r="F15" s="2">
        <v>40</v>
      </c>
      <c r="G15" s="4">
        <v>1</v>
      </c>
      <c r="H15" s="4">
        <v>2</v>
      </c>
      <c r="I15" s="2">
        <v>1.3</v>
      </c>
      <c r="J15" s="2">
        <v>2.4</v>
      </c>
      <c r="K15" s="2">
        <v>30</v>
      </c>
      <c r="L15" s="2">
        <v>25</v>
      </c>
      <c r="M15" s="2"/>
      <c r="N15" s="2"/>
    </row>
    <row r="16" spans="2:14" ht="15.75">
      <c r="B16" s="2" t="s">
        <v>48</v>
      </c>
      <c r="C16" s="2" t="s">
        <v>44</v>
      </c>
      <c r="D16" s="2">
        <v>4</v>
      </c>
      <c r="E16" s="2">
        <v>30</v>
      </c>
      <c r="F16" s="2">
        <v>40</v>
      </c>
      <c r="G16" s="4">
        <v>1</v>
      </c>
      <c r="H16" s="4">
        <v>2</v>
      </c>
      <c r="I16" s="2">
        <v>1.3</v>
      </c>
      <c r="J16" s="2">
        <v>2.4</v>
      </c>
      <c r="K16" s="2">
        <v>30</v>
      </c>
      <c r="L16" s="2">
        <v>25</v>
      </c>
      <c r="M16" s="2"/>
      <c r="N16" s="2"/>
    </row>
    <row r="17" spans="2:14" ht="15.75">
      <c r="B17" s="2" t="s">
        <v>49</v>
      </c>
      <c r="C17" s="2" t="s">
        <v>42</v>
      </c>
      <c r="D17" s="2">
        <v>0</v>
      </c>
      <c r="E17" s="2">
        <v>30</v>
      </c>
      <c r="F17" s="2">
        <v>30</v>
      </c>
      <c r="G17" s="4">
        <v>1</v>
      </c>
      <c r="H17" s="4">
        <v>2</v>
      </c>
      <c r="I17" s="2">
        <v>1.3</v>
      </c>
      <c r="J17" s="2">
        <v>2.4</v>
      </c>
      <c r="K17" s="2">
        <v>15</v>
      </c>
      <c r="L17" s="3" t="s">
        <v>40</v>
      </c>
      <c r="M17" s="2"/>
      <c r="N17" s="2"/>
    </row>
    <row r="18" spans="2:14" ht="15.75">
      <c r="B18" s="2" t="s">
        <v>50</v>
      </c>
      <c r="C18" s="2" t="s">
        <v>44</v>
      </c>
      <c r="D18" s="2">
        <v>5</v>
      </c>
      <c r="E18" s="2">
        <v>0</v>
      </c>
      <c r="F18" s="2">
        <v>30</v>
      </c>
      <c r="G18" s="4">
        <v>1</v>
      </c>
      <c r="H18" s="4">
        <v>2</v>
      </c>
      <c r="I18" s="2">
        <v>1.3</v>
      </c>
      <c r="J18" s="2">
        <v>2.4</v>
      </c>
      <c r="K18" s="2">
        <v>15</v>
      </c>
      <c r="L18" s="3" t="s">
        <v>40</v>
      </c>
      <c r="M18" s="2"/>
      <c r="N18" s="2"/>
    </row>
    <row r="19" spans="2:14" ht="15.75">
      <c r="B19" s="2" t="s">
        <v>51</v>
      </c>
      <c r="C19" s="2" t="s">
        <v>44</v>
      </c>
      <c r="D19" s="2">
        <v>2.5</v>
      </c>
      <c r="E19" s="2">
        <v>0</v>
      </c>
      <c r="F19" s="2">
        <v>20</v>
      </c>
      <c r="G19" s="4">
        <v>1</v>
      </c>
      <c r="H19" s="2">
        <v>1.6</v>
      </c>
      <c r="I19" s="2">
        <v>1.3</v>
      </c>
      <c r="J19" s="2">
        <v>2.4</v>
      </c>
      <c r="K19" s="2">
        <v>5</v>
      </c>
      <c r="L19" s="3" t="s">
        <v>40</v>
      </c>
      <c r="M19" s="2"/>
      <c r="N19" s="2"/>
    </row>
    <row r="20" spans="2:14" ht="15.75">
      <c r="B20" s="2" t="s">
        <v>698</v>
      </c>
      <c r="C20" s="2" t="s">
        <v>42</v>
      </c>
      <c r="D20" s="2">
        <v>0.5</v>
      </c>
      <c r="E20" s="2">
        <v>38</v>
      </c>
      <c r="F20" s="2">
        <v>30</v>
      </c>
      <c r="G20" s="150">
        <v>2</v>
      </c>
      <c r="H20" s="150">
        <v>2</v>
      </c>
      <c r="I20" s="2">
        <v>2.4</v>
      </c>
      <c r="J20" s="2">
        <v>2.4</v>
      </c>
      <c r="K20" s="2">
        <v>26</v>
      </c>
      <c r="L20" s="2">
        <v>13</v>
      </c>
      <c r="M20" s="2">
        <v>1500</v>
      </c>
      <c r="N20" s="2">
        <v>1000</v>
      </c>
    </row>
    <row r="21" spans="2:14" ht="15.75">
      <c r="B21" s="2" t="s">
        <v>699</v>
      </c>
      <c r="C21" s="2" t="s">
        <v>42</v>
      </c>
      <c r="D21" s="2">
        <v>0.5</v>
      </c>
      <c r="E21" s="2">
        <v>28</v>
      </c>
      <c r="F21" s="2">
        <v>30</v>
      </c>
      <c r="G21" s="150">
        <v>1.72</v>
      </c>
      <c r="H21" s="150">
        <v>1.72</v>
      </c>
      <c r="I21" s="2">
        <v>2.4</v>
      </c>
      <c r="J21" s="2">
        <v>2.4</v>
      </c>
      <c r="K21" s="2">
        <v>26</v>
      </c>
      <c r="L21" s="2" t="s">
        <v>40</v>
      </c>
      <c r="M21" s="2">
        <v>4500</v>
      </c>
      <c r="N21" s="2">
        <v>3000</v>
      </c>
    </row>
    <row r="23" spans="2:14" ht="15.75">
      <c r="B23" s="65" t="s">
        <v>144</v>
      </c>
    </row>
    <row r="25" spans="2:14">
      <c r="B25" s="66" t="s">
        <v>340</v>
      </c>
      <c r="C25" s="67" t="s">
        <v>341</v>
      </c>
      <c r="D25" s="67" t="s">
        <v>342</v>
      </c>
      <c r="E25" s="67" t="s">
        <v>343</v>
      </c>
      <c r="F25" s="67" t="s">
        <v>344</v>
      </c>
      <c r="G25" s="67" t="s">
        <v>345</v>
      </c>
      <c r="I25" s="1" t="s">
        <v>535</v>
      </c>
    </row>
    <row r="26" spans="2:14">
      <c r="B26" s="68" t="s">
        <v>248</v>
      </c>
      <c r="C26" s="69">
        <v>2.35</v>
      </c>
      <c r="D26" s="69">
        <v>0.78</v>
      </c>
      <c r="E26" s="69">
        <v>1.21</v>
      </c>
      <c r="F26" s="69">
        <v>4</v>
      </c>
      <c r="G26" s="69">
        <v>0.3</v>
      </c>
      <c r="I26" s="122">
        <v>0</v>
      </c>
      <c r="J26" s="123">
        <v>1</v>
      </c>
      <c r="K26" s="121">
        <f>ROUND((2562*I26^5-1950*I26^4+590*I26^3-76.67*I26^2+9.6*I26+1)/5,2)*5</f>
        <v>1</v>
      </c>
      <c r="L26" s="124"/>
    </row>
    <row r="27" spans="2:14">
      <c r="B27" s="68" t="s">
        <v>249</v>
      </c>
      <c r="C27" s="69">
        <v>3.08</v>
      </c>
      <c r="D27" s="69">
        <v>0.78</v>
      </c>
      <c r="E27" s="69">
        <v>1.21</v>
      </c>
      <c r="F27" s="69">
        <v>4</v>
      </c>
      <c r="G27" s="69">
        <v>0.4</v>
      </c>
      <c r="I27" s="123">
        <v>1.4999999999999999E-2</v>
      </c>
      <c r="J27" s="123">
        <v>1.1000000000000001</v>
      </c>
      <c r="K27" s="121">
        <f t="shared" ref="K27:K69" si="0">ROUND((2562*I27^5-1950*I27^4+590*I27^3-76.67*I27^2+9.6*I27+1)/5,2)*5</f>
        <v>1.1500000000000001</v>
      </c>
      <c r="L27" s="124"/>
    </row>
    <row r="28" spans="2:14">
      <c r="B28" s="68" t="s">
        <v>250</v>
      </c>
      <c r="C28" s="69">
        <v>3.79</v>
      </c>
      <c r="D28" s="69">
        <v>0.77</v>
      </c>
      <c r="E28" s="69">
        <v>1.2</v>
      </c>
      <c r="F28" s="69">
        <v>4</v>
      </c>
      <c r="G28" s="69">
        <v>0.5</v>
      </c>
      <c r="I28" s="123">
        <v>0.03</v>
      </c>
      <c r="J28" s="123">
        <v>1.2</v>
      </c>
      <c r="K28" s="121">
        <f t="shared" si="0"/>
        <v>1.25</v>
      </c>
      <c r="L28" s="124"/>
    </row>
    <row r="29" spans="2:14">
      <c r="B29" s="68" t="s">
        <v>251</v>
      </c>
      <c r="C29" s="69">
        <v>4.4800000000000004</v>
      </c>
      <c r="D29" s="69">
        <v>0.77</v>
      </c>
      <c r="E29" s="69">
        <v>1.19</v>
      </c>
      <c r="F29" s="69">
        <v>4</v>
      </c>
      <c r="G29" s="69">
        <v>0.6</v>
      </c>
      <c r="I29" s="123">
        <v>0.05</v>
      </c>
      <c r="J29" s="123">
        <v>1.3</v>
      </c>
      <c r="K29" s="121">
        <f t="shared" si="0"/>
        <v>1.35</v>
      </c>
      <c r="L29" s="124"/>
    </row>
    <row r="30" spans="2:14">
      <c r="B30" s="68" t="s">
        <v>252</v>
      </c>
      <c r="C30" s="69">
        <v>2.66</v>
      </c>
      <c r="D30" s="69">
        <v>1.05</v>
      </c>
      <c r="E30" s="69">
        <v>1.5</v>
      </c>
      <c r="F30" s="69">
        <v>4.5</v>
      </c>
      <c r="G30" s="69">
        <v>0.3</v>
      </c>
      <c r="I30" s="123">
        <v>6.5000000000000002E-2</v>
      </c>
      <c r="J30" s="123">
        <v>1.4</v>
      </c>
      <c r="K30" s="121">
        <f t="shared" si="0"/>
        <v>1.45</v>
      </c>
      <c r="L30" s="124"/>
    </row>
    <row r="31" spans="2:14">
      <c r="B31" s="68" t="s">
        <v>253</v>
      </c>
      <c r="C31" s="69">
        <v>3.49</v>
      </c>
      <c r="D31" s="69">
        <v>0.88</v>
      </c>
      <c r="E31" s="69">
        <v>1.36</v>
      </c>
      <c r="F31" s="69">
        <v>4.5</v>
      </c>
      <c r="G31" s="69">
        <v>0.4</v>
      </c>
      <c r="I31" s="123">
        <v>0.08</v>
      </c>
      <c r="J31" s="123">
        <v>1.5</v>
      </c>
      <c r="K31" s="121">
        <f t="shared" si="0"/>
        <v>1.5</v>
      </c>
      <c r="L31" s="124"/>
    </row>
    <row r="32" spans="2:14">
      <c r="B32" s="68" t="s">
        <v>254</v>
      </c>
      <c r="C32" s="69">
        <v>4.3</v>
      </c>
      <c r="D32" s="69">
        <v>0.87</v>
      </c>
      <c r="E32" s="69">
        <v>1.35</v>
      </c>
      <c r="F32" s="69">
        <v>4.5</v>
      </c>
      <c r="G32" s="69">
        <v>0.5</v>
      </c>
      <c r="I32" s="123">
        <v>0.1</v>
      </c>
      <c r="J32" s="123">
        <v>1.6</v>
      </c>
      <c r="K32" s="121">
        <f t="shared" si="0"/>
        <v>1.6</v>
      </c>
      <c r="L32" s="124"/>
    </row>
    <row r="33" spans="2:12">
      <c r="B33" s="68" t="s">
        <v>255</v>
      </c>
      <c r="C33" s="69">
        <v>5.09</v>
      </c>
      <c r="D33" s="69">
        <v>0.87</v>
      </c>
      <c r="E33" s="69">
        <v>1.34</v>
      </c>
      <c r="F33" s="69">
        <v>4.5</v>
      </c>
      <c r="G33" s="69">
        <v>0.6</v>
      </c>
      <c r="I33" s="123">
        <v>0.115</v>
      </c>
      <c r="J33" s="123">
        <v>1.7</v>
      </c>
      <c r="K33" s="121">
        <f t="shared" si="0"/>
        <v>1.7000000000000002</v>
      </c>
      <c r="L33" s="124"/>
    </row>
    <row r="34" spans="2:12">
      <c r="B34" s="68" t="s">
        <v>274</v>
      </c>
      <c r="C34" s="69">
        <v>2.96</v>
      </c>
      <c r="D34" s="69">
        <v>0.99</v>
      </c>
      <c r="E34" s="69">
        <v>1.52</v>
      </c>
      <c r="F34" s="69">
        <v>5</v>
      </c>
      <c r="G34" s="69">
        <v>0.3</v>
      </c>
      <c r="I34" s="123">
        <v>0.13</v>
      </c>
      <c r="J34" s="123">
        <v>1.8</v>
      </c>
      <c r="K34" s="121">
        <f t="shared" si="0"/>
        <v>1.7999999999999998</v>
      </c>
      <c r="L34" s="124"/>
    </row>
    <row r="35" spans="2:12">
      <c r="B35" s="68" t="s">
        <v>275</v>
      </c>
      <c r="C35" s="69">
        <v>3.89</v>
      </c>
      <c r="D35" s="69">
        <v>0.98</v>
      </c>
      <c r="E35" s="69">
        <v>1.52</v>
      </c>
      <c r="F35" s="69">
        <v>5</v>
      </c>
      <c r="G35" s="69">
        <v>0.4</v>
      </c>
      <c r="I35" s="123">
        <v>0.15</v>
      </c>
      <c r="J35" s="123">
        <v>1.9</v>
      </c>
      <c r="K35" s="121">
        <f t="shared" si="0"/>
        <v>1.9</v>
      </c>
      <c r="L35" s="124"/>
    </row>
    <row r="36" spans="2:12">
      <c r="B36" s="68" t="s">
        <v>276</v>
      </c>
      <c r="C36" s="69">
        <v>4.8</v>
      </c>
      <c r="D36" s="69">
        <v>0.98</v>
      </c>
      <c r="E36" s="69">
        <v>1.51</v>
      </c>
      <c r="F36" s="69">
        <v>5</v>
      </c>
      <c r="G36" s="69">
        <v>0.5</v>
      </c>
      <c r="I36" s="123">
        <v>0.16500000000000001</v>
      </c>
      <c r="J36" s="123">
        <v>2</v>
      </c>
      <c r="K36" s="121">
        <f t="shared" si="0"/>
        <v>2</v>
      </c>
      <c r="L36" s="124"/>
    </row>
    <row r="37" spans="2:12">
      <c r="B37" s="68" t="s">
        <v>277</v>
      </c>
      <c r="C37" s="69">
        <v>5.69</v>
      </c>
      <c r="D37" s="69">
        <v>0.96</v>
      </c>
      <c r="E37" s="69">
        <v>1.5</v>
      </c>
      <c r="F37" s="69">
        <v>5</v>
      </c>
      <c r="G37" s="69">
        <v>0.6</v>
      </c>
      <c r="I37" s="123">
        <v>0.185</v>
      </c>
      <c r="J37" s="123">
        <v>2.1</v>
      </c>
      <c r="K37" s="121">
        <f t="shared" si="0"/>
        <v>2.15</v>
      </c>
      <c r="L37" s="124"/>
    </row>
    <row r="38" spans="2:12">
      <c r="B38" s="68" t="s">
        <v>278</v>
      </c>
      <c r="C38" s="69">
        <v>5.32</v>
      </c>
      <c r="D38" s="69">
        <v>1.07</v>
      </c>
      <c r="E38" s="69">
        <v>1.66</v>
      </c>
      <c r="F38" s="69">
        <v>5.5</v>
      </c>
      <c r="G38" s="69">
        <v>0.5</v>
      </c>
      <c r="I38" s="123">
        <v>0.19500000000000001</v>
      </c>
      <c r="J38" s="123">
        <v>2.2000000000000002</v>
      </c>
      <c r="K38" s="121">
        <f t="shared" si="0"/>
        <v>2.25</v>
      </c>
      <c r="L38" s="124"/>
    </row>
    <row r="39" spans="2:12">
      <c r="B39" s="68" t="s">
        <v>279</v>
      </c>
      <c r="C39" s="69">
        <v>6.31</v>
      </c>
      <c r="D39" s="69">
        <v>1.07</v>
      </c>
      <c r="E39" s="69">
        <v>1.66</v>
      </c>
      <c r="F39" s="69">
        <v>5.5</v>
      </c>
      <c r="G39" s="69">
        <v>0.6</v>
      </c>
      <c r="I39" s="123">
        <v>0.20499999999999999</v>
      </c>
      <c r="J39" s="123">
        <v>2.2999999999999998</v>
      </c>
      <c r="K39" s="121">
        <f t="shared" si="0"/>
        <v>2.3000000000000003</v>
      </c>
      <c r="L39" s="124"/>
    </row>
    <row r="40" spans="2:12">
      <c r="B40" s="68" t="s">
        <v>300</v>
      </c>
      <c r="C40" s="69">
        <v>4.6399999999999997</v>
      </c>
      <c r="D40" s="69">
        <v>1.19</v>
      </c>
      <c r="E40" s="69">
        <v>1.88</v>
      </c>
      <c r="F40" s="69">
        <v>6</v>
      </c>
      <c r="G40" s="69">
        <v>0.4</v>
      </c>
      <c r="I40" s="123">
        <v>0.22</v>
      </c>
      <c r="J40" s="123">
        <v>2.4</v>
      </c>
      <c r="K40" s="121">
        <f t="shared" si="0"/>
        <v>2.4500000000000002</v>
      </c>
      <c r="L40" s="124"/>
    </row>
    <row r="41" spans="2:12">
      <c r="B41" s="68" t="s">
        <v>301</v>
      </c>
      <c r="C41" s="69">
        <v>5.82</v>
      </c>
      <c r="D41" s="69">
        <v>1.17</v>
      </c>
      <c r="E41" s="69">
        <v>1.82</v>
      </c>
      <c r="F41" s="69">
        <v>6</v>
      </c>
      <c r="G41" s="69">
        <v>0.5</v>
      </c>
      <c r="I41" s="123">
        <v>0.23</v>
      </c>
      <c r="J41" s="123">
        <v>2.5</v>
      </c>
      <c r="K41" s="121">
        <f t="shared" si="0"/>
        <v>2.5</v>
      </c>
      <c r="L41" s="124"/>
    </row>
    <row r="42" spans="2:12">
      <c r="B42" s="68" t="s">
        <v>302</v>
      </c>
      <c r="C42" s="69">
        <v>6.91</v>
      </c>
      <c r="D42" s="69">
        <v>1.17</v>
      </c>
      <c r="E42" s="69">
        <v>1.82</v>
      </c>
      <c r="F42" s="69">
        <v>6</v>
      </c>
      <c r="G42" s="69">
        <v>0.6</v>
      </c>
      <c r="I42" s="123">
        <v>0.24199999999999999</v>
      </c>
      <c r="J42" s="123">
        <v>2.6</v>
      </c>
      <c r="K42" s="121">
        <f t="shared" si="0"/>
        <v>2.6500000000000004</v>
      </c>
      <c r="L42" s="124"/>
    </row>
    <row r="43" spans="2:12">
      <c r="B43" s="68" t="s">
        <v>303</v>
      </c>
      <c r="C43" s="69">
        <v>9.0299999999999994</v>
      </c>
      <c r="D43" s="69">
        <v>1.1599999999999999</v>
      </c>
      <c r="E43" s="69">
        <v>1.8</v>
      </c>
      <c r="F43" s="69">
        <v>6</v>
      </c>
      <c r="G43" s="69">
        <v>0.8</v>
      </c>
      <c r="I43" s="123">
        <v>0.252</v>
      </c>
      <c r="J43" s="123">
        <v>2.7</v>
      </c>
      <c r="K43" s="121">
        <f t="shared" si="0"/>
        <v>2.75</v>
      </c>
      <c r="L43" s="124"/>
    </row>
    <row r="44" spans="2:12">
      <c r="B44" s="68" t="s">
        <v>304</v>
      </c>
      <c r="C44" s="69">
        <v>6.33</v>
      </c>
      <c r="D44" s="69">
        <v>1.31</v>
      </c>
      <c r="E44" s="69">
        <v>1.95</v>
      </c>
      <c r="F44" s="69">
        <v>6.5</v>
      </c>
      <c r="G44" s="69">
        <v>0.5</v>
      </c>
      <c r="I44" s="123">
        <v>0.26</v>
      </c>
      <c r="J44" s="123">
        <v>2.8</v>
      </c>
      <c r="K44" s="121">
        <f t="shared" si="0"/>
        <v>2.8000000000000003</v>
      </c>
      <c r="L44" s="124"/>
    </row>
    <row r="45" spans="2:12">
      <c r="B45" s="68" t="s">
        <v>305</v>
      </c>
      <c r="C45" s="69">
        <v>7.53</v>
      </c>
      <c r="D45" s="69">
        <v>1.27</v>
      </c>
      <c r="E45" s="69">
        <v>1.97</v>
      </c>
      <c r="F45" s="69">
        <v>6.5</v>
      </c>
      <c r="G45" s="69">
        <v>0.6</v>
      </c>
      <c r="I45" s="123">
        <v>0.27200000000000002</v>
      </c>
      <c r="J45" s="123">
        <v>2.9</v>
      </c>
      <c r="K45" s="121">
        <f t="shared" si="0"/>
        <v>2.9499999999999997</v>
      </c>
      <c r="L45" s="124"/>
    </row>
    <row r="46" spans="2:12">
      <c r="B46" s="68" t="s">
        <v>306</v>
      </c>
      <c r="C46" s="69">
        <v>8.6999999999999993</v>
      </c>
      <c r="D46" s="69">
        <v>1.26</v>
      </c>
      <c r="E46" s="69">
        <v>1.96</v>
      </c>
      <c r="F46" s="69">
        <v>6.5</v>
      </c>
      <c r="G46" s="69">
        <v>0.7</v>
      </c>
      <c r="I46" s="123">
        <v>0.28000000000000003</v>
      </c>
      <c r="J46" s="123">
        <v>3</v>
      </c>
      <c r="K46" s="121">
        <f t="shared" si="0"/>
        <v>3.05</v>
      </c>
      <c r="L46" s="124"/>
    </row>
    <row r="47" spans="2:12">
      <c r="B47" s="68" t="s">
        <v>311</v>
      </c>
      <c r="C47" s="69">
        <v>6.84</v>
      </c>
      <c r="D47" s="69">
        <v>1.38</v>
      </c>
      <c r="E47" s="69">
        <v>2.14</v>
      </c>
      <c r="F47" s="69">
        <v>7</v>
      </c>
      <c r="G47" s="69">
        <v>0.5</v>
      </c>
      <c r="I47" s="123">
        <v>0.28499999999999998</v>
      </c>
      <c r="J47" s="123">
        <v>3.1</v>
      </c>
      <c r="K47" s="121">
        <f t="shared" si="0"/>
        <v>3.1</v>
      </c>
      <c r="L47" s="124"/>
    </row>
    <row r="48" spans="2:12">
      <c r="B48" s="68" t="s">
        <v>312</v>
      </c>
      <c r="C48" s="69">
        <v>8.1300000000000008</v>
      </c>
      <c r="D48" s="69">
        <v>1.37</v>
      </c>
      <c r="E48" s="69">
        <v>2.13</v>
      </c>
      <c r="F48" s="69">
        <v>7</v>
      </c>
      <c r="G48" s="69">
        <v>0.6</v>
      </c>
      <c r="I48" s="123">
        <v>0.28999999999999998</v>
      </c>
      <c r="J48" s="123">
        <v>3.2</v>
      </c>
      <c r="K48" s="121">
        <f t="shared" si="0"/>
        <v>3.2</v>
      </c>
      <c r="L48" s="124"/>
    </row>
    <row r="49" spans="2:12">
      <c r="B49" s="68" t="s">
        <v>313</v>
      </c>
      <c r="C49" s="69">
        <v>9.4</v>
      </c>
      <c r="D49" s="69">
        <v>1.37</v>
      </c>
      <c r="E49" s="69">
        <v>2.12</v>
      </c>
      <c r="F49" s="69">
        <v>7</v>
      </c>
      <c r="G49" s="69">
        <v>0.7</v>
      </c>
      <c r="I49" s="123">
        <v>0.29599999999999999</v>
      </c>
      <c r="J49" s="123">
        <v>3.3</v>
      </c>
      <c r="K49" s="121">
        <f t="shared" si="0"/>
        <v>3.3000000000000003</v>
      </c>
      <c r="L49" s="124"/>
    </row>
    <row r="50" spans="2:12">
      <c r="B50" s="68" t="s">
        <v>314</v>
      </c>
      <c r="C50" s="69">
        <v>8.75</v>
      </c>
      <c r="D50" s="69">
        <v>1.47</v>
      </c>
      <c r="E50" s="69">
        <v>2.2799999999999998</v>
      </c>
      <c r="F50" s="69">
        <v>7.5</v>
      </c>
      <c r="G50" s="69">
        <v>0.6</v>
      </c>
      <c r="I50" s="123">
        <v>0.30299999999999999</v>
      </c>
      <c r="J50" s="123">
        <v>3.4</v>
      </c>
      <c r="K50" s="121">
        <f t="shared" si="0"/>
        <v>3.4000000000000004</v>
      </c>
      <c r="L50" s="124"/>
    </row>
    <row r="51" spans="2:12">
      <c r="B51" s="68" t="s">
        <v>315</v>
      </c>
      <c r="C51" s="69">
        <v>10.1</v>
      </c>
      <c r="D51" s="69">
        <v>1.45</v>
      </c>
      <c r="E51" s="69">
        <v>2.2799999999999998</v>
      </c>
      <c r="F51" s="69">
        <v>7.5</v>
      </c>
      <c r="G51" s="69">
        <v>0.7</v>
      </c>
      <c r="I51" s="123">
        <v>0.31</v>
      </c>
      <c r="J51" s="123">
        <v>3.5</v>
      </c>
      <c r="K51" s="121">
        <f t="shared" si="0"/>
        <v>3.5</v>
      </c>
      <c r="L51" s="124"/>
    </row>
    <row r="52" spans="2:12">
      <c r="B52" s="68" t="s">
        <v>335</v>
      </c>
      <c r="C52" s="69">
        <v>9.35</v>
      </c>
      <c r="D52" s="69">
        <v>1.57</v>
      </c>
      <c r="E52" s="69">
        <v>2.44</v>
      </c>
      <c r="F52" s="69">
        <v>8</v>
      </c>
      <c r="G52" s="69">
        <v>0.6</v>
      </c>
      <c r="I52" s="123">
        <v>0.315</v>
      </c>
      <c r="J52" s="123">
        <v>3.6</v>
      </c>
      <c r="K52" s="121">
        <f t="shared" si="0"/>
        <v>3.5999999999999996</v>
      </c>
      <c r="L52" s="124"/>
    </row>
    <row r="53" spans="2:12">
      <c r="B53" s="68" t="s">
        <v>336</v>
      </c>
      <c r="C53" s="69">
        <v>10.8</v>
      </c>
      <c r="D53" s="69">
        <v>1.57</v>
      </c>
      <c r="E53" s="69">
        <v>2.44</v>
      </c>
      <c r="F53" s="69">
        <v>8</v>
      </c>
      <c r="G53" s="69">
        <v>0.7</v>
      </c>
      <c r="I53" s="123">
        <v>0.32</v>
      </c>
      <c r="J53" s="123">
        <v>3.7</v>
      </c>
      <c r="K53" s="121">
        <f t="shared" si="0"/>
        <v>3.7</v>
      </c>
      <c r="L53" s="124"/>
    </row>
    <row r="54" spans="2:12">
      <c r="B54" s="68" t="s">
        <v>337</v>
      </c>
      <c r="C54" s="69">
        <v>12.3</v>
      </c>
      <c r="D54" s="69">
        <v>1.55</v>
      </c>
      <c r="E54" s="69">
        <v>2.42</v>
      </c>
      <c r="F54" s="69">
        <v>8</v>
      </c>
      <c r="G54" s="69">
        <v>0.8</v>
      </c>
      <c r="I54" s="123">
        <v>0.32500000000000001</v>
      </c>
      <c r="J54" s="123">
        <v>3.8</v>
      </c>
      <c r="K54" s="121">
        <f t="shared" si="0"/>
        <v>3.8</v>
      </c>
      <c r="L54" s="124"/>
    </row>
    <row r="55" spans="2:12">
      <c r="B55" s="68" t="s">
        <v>334</v>
      </c>
      <c r="C55" s="69">
        <v>15.1</v>
      </c>
      <c r="D55" s="69">
        <v>1.54</v>
      </c>
      <c r="E55" s="69">
        <v>2.41</v>
      </c>
      <c r="F55" s="69">
        <v>8</v>
      </c>
      <c r="G55" s="69">
        <v>1</v>
      </c>
      <c r="I55" s="123">
        <v>0.33</v>
      </c>
      <c r="J55" s="123">
        <v>3.9</v>
      </c>
      <c r="K55" s="121">
        <f t="shared" si="0"/>
        <v>3.9000000000000004</v>
      </c>
      <c r="L55" s="124"/>
    </row>
    <row r="56" spans="2:12">
      <c r="B56" s="68" t="s">
        <v>338</v>
      </c>
      <c r="C56" s="69">
        <v>13.9</v>
      </c>
      <c r="D56" s="69">
        <v>1.76</v>
      </c>
      <c r="E56" s="69">
        <v>2.74</v>
      </c>
      <c r="F56" s="69">
        <v>9</v>
      </c>
      <c r="G56" s="69">
        <v>0.8</v>
      </c>
      <c r="I56" s="123">
        <v>0.33400000000000002</v>
      </c>
      <c r="J56" s="123">
        <v>4</v>
      </c>
      <c r="K56" s="121">
        <f t="shared" si="0"/>
        <v>4</v>
      </c>
      <c r="L56" s="124"/>
    </row>
    <row r="57" spans="2:12">
      <c r="B57" s="68" t="s">
        <v>339</v>
      </c>
      <c r="C57" s="69">
        <v>15.5</v>
      </c>
      <c r="D57" s="69">
        <v>1.76</v>
      </c>
      <c r="E57" s="69">
        <v>2.74</v>
      </c>
      <c r="F57" s="69">
        <v>9</v>
      </c>
      <c r="G57" s="69">
        <v>0.9</v>
      </c>
      <c r="I57" s="123">
        <v>0.33800000000000002</v>
      </c>
      <c r="J57" s="123">
        <v>4.0999999999999996</v>
      </c>
      <c r="K57" s="121">
        <f t="shared" si="0"/>
        <v>4.0999999999999996</v>
      </c>
      <c r="L57" s="124"/>
    </row>
    <row r="58" spans="2:12">
      <c r="B58" s="68" t="s">
        <v>147</v>
      </c>
      <c r="C58" s="69">
        <v>12.73</v>
      </c>
      <c r="D58" s="69">
        <v>1.97</v>
      </c>
      <c r="E58" s="69">
        <v>3.07</v>
      </c>
      <c r="F58" s="69">
        <v>10</v>
      </c>
      <c r="G58" s="69">
        <v>0.6</v>
      </c>
      <c r="I58" s="123">
        <v>0.34200000000000003</v>
      </c>
      <c r="J58" s="123">
        <v>4.2</v>
      </c>
      <c r="K58" s="121">
        <f t="shared" si="0"/>
        <v>4.25</v>
      </c>
      <c r="L58" s="124"/>
    </row>
    <row r="59" spans="2:12">
      <c r="B59" s="68" t="s">
        <v>148</v>
      </c>
      <c r="C59" s="69">
        <v>15.5</v>
      </c>
      <c r="D59" s="69">
        <v>1.96</v>
      </c>
      <c r="E59" s="69">
        <v>3.06</v>
      </c>
      <c r="F59" s="69">
        <v>10</v>
      </c>
      <c r="G59" s="69">
        <v>0.8</v>
      </c>
      <c r="I59" s="123">
        <v>0.34499999999999997</v>
      </c>
      <c r="J59" s="123">
        <v>4.3</v>
      </c>
      <c r="K59" s="121">
        <f t="shared" si="0"/>
        <v>4.3</v>
      </c>
      <c r="L59" s="124"/>
    </row>
    <row r="60" spans="2:12">
      <c r="B60" s="68" t="s">
        <v>145</v>
      </c>
      <c r="C60" s="69">
        <v>19.2</v>
      </c>
      <c r="D60" s="69">
        <v>1.95</v>
      </c>
      <c r="E60" s="69">
        <v>3.04</v>
      </c>
      <c r="F60" s="69">
        <v>10</v>
      </c>
      <c r="G60" s="69">
        <v>1</v>
      </c>
      <c r="I60" s="123">
        <v>0.35</v>
      </c>
      <c r="J60" s="123">
        <v>4.4000000000000004</v>
      </c>
      <c r="K60" s="121">
        <f t="shared" si="0"/>
        <v>4.45</v>
      </c>
      <c r="L60" s="124"/>
    </row>
    <row r="61" spans="2:12">
      <c r="B61" s="68" t="s">
        <v>146</v>
      </c>
      <c r="C61" s="69">
        <v>22.7</v>
      </c>
      <c r="D61" s="69">
        <v>1.95</v>
      </c>
      <c r="E61" s="69">
        <v>3.02</v>
      </c>
      <c r="F61" s="69">
        <v>10</v>
      </c>
      <c r="G61" s="69">
        <v>1.2</v>
      </c>
      <c r="I61" s="123">
        <v>0.35199999999999998</v>
      </c>
      <c r="J61" s="123">
        <v>4.5</v>
      </c>
      <c r="K61" s="121">
        <f t="shared" si="0"/>
        <v>4.5</v>
      </c>
      <c r="L61" s="124"/>
    </row>
    <row r="62" spans="2:12">
      <c r="B62" s="68" t="s">
        <v>149</v>
      </c>
      <c r="C62" s="69">
        <v>21.2</v>
      </c>
      <c r="D62" s="69">
        <v>2.16</v>
      </c>
      <c r="E62" s="69">
        <v>3.36</v>
      </c>
      <c r="F62" s="69">
        <v>11</v>
      </c>
      <c r="G62" s="69">
        <v>1</v>
      </c>
      <c r="I62" s="123">
        <v>0.36799999999999999</v>
      </c>
      <c r="J62" s="123">
        <v>5</v>
      </c>
      <c r="K62" s="121">
        <f t="shared" si="0"/>
        <v>5.0999999999999996</v>
      </c>
      <c r="L62" s="124"/>
    </row>
    <row r="63" spans="2:12">
      <c r="B63" s="68" t="s">
        <v>150</v>
      </c>
      <c r="C63" s="69">
        <v>25.1</v>
      </c>
      <c r="D63" s="69">
        <v>2.15</v>
      </c>
      <c r="E63" s="69">
        <v>3.34</v>
      </c>
      <c r="F63" s="69">
        <v>11</v>
      </c>
      <c r="G63" s="69">
        <v>1.2</v>
      </c>
      <c r="I63" s="123">
        <v>0.377</v>
      </c>
      <c r="J63" s="123">
        <v>5.5</v>
      </c>
      <c r="K63" s="121">
        <f t="shared" si="0"/>
        <v>5.45</v>
      </c>
      <c r="L63" s="124"/>
    </row>
    <row r="64" spans="2:12">
      <c r="B64" s="68" t="s">
        <v>151</v>
      </c>
      <c r="C64" s="69">
        <v>29</v>
      </c>
      <c r="D64" s="69">
        <v>2.14</v>
      </c>
      <c r="E64" s="69">
        <v>3.32</v>
      </c>
      <c r="F64" s="69">
        <v>11</v>
      </c>
      <c r="G64" s="69">
        <v>1.4</v>
      </c>
      <c r="I64" s="123">
        <v>0.39</v>
      </c>
      <c r="J64" s="123">
        <v>6</v>
      </c>
      <c r="K64" s="121">
        <f t="shared" si="0"/>
        <v>6.1</v>
      </c>
      <c r="L64" s="124"/>
    </row>
    <row r="65" spans="2:12">
      <c r="B65" s="68" t="s">
        <v>157</v>
      </c>
      <c r="C65" s="69">
        <v>18.7</v>
      </c>
      <c r="D65" s="69">
        <v>2.37</v>
      </c>
      <c r="E65" s="69">
        <v>3.69</v>
      </c>
      <c r="F65" s="69">
        <v>12</v>
      </c>
      <c r="G65" s="69">
        <v>0.8</v>
      </c>
      <c r="I65" s="123">
        <v>0.39600000000000002</v>
      </c>
      <c r="J65" s="123">
        <v>6.5</v>
      </c>
      <c r="K65" s="121">
        <f t="shared" si="0"/>
        <v>6.4</v>
      </c>
      <c r="L65" s="124"/>
    </row>
    <row r="66" spans="2:12">
      <c r="B66" s="68" t="s">
        <v>152</v>
      </c>
      <c r="C66" s="69">
        <v>23.2</v>
      </c>
      <c r="D66" s="69">
        <v>2.36</v>
      </c>
      <c r="E66" s="69">
        <v>3.67</v>
      </c>
      <c r="F66" s="69">
        <v>12</v>
      </c>
      <c r="G66" s="69">
        <v>1</v>
      </c>
      <c r="I66" s="123">
        <v>0.40600000000000003</v>
      </c>
      <c r="J66" s="123">
        <v>7</v>
      </c>
      <c r="K66" s="121">
        <f t="shared" si="0"/>
        <v>7</v>
      </c>
      <c r="L66" s="124"/>
    </row>
    <row r="67" spans="2:12">
      <c r="B67" s="68" t="s">
        <v>153</v>
      </c>
      <c r="C67" s="69">
        <v>25.4</v>
      </c>
      <c r="D67" s="69">
        <v>2.35</v>
      </c>
      <c r="E67" s="69">
        <v>3.66</v>
      </c>
      <c r="F67" s="69">
        <v>12</v>
      </c>
      <c r="G67" s="69">
        <v>1.1000000000000001</v>
      </c>
      <c r="I67" s="123">
        <v>0.41499999999999998</v>
      </c>
      <c r="J67" s="123">
        <v>7.5</v>
      </c>
      <c r="K67" s="121">
        <f t="shared" si="0"/>
        <v>7.65</v>
      </c>
      <c r="L67" s="124"/>
    </row>
    <row r="68" spans="2:12">
      <c r="B68" s="68" t="s">
        <v>154</v>
      </c>
      <c r="C68" s="69">
        <v>27.5</v>
      </c>
      <c r="D68" s="69">
        <v>2.35</v>
      </c>
      <c r="E68" s="69">
        <v>3.65</v>
      </c>
      <c r="F68" s="69">
        <v>12</v>
      </c>
      <c r="G68" s="69">
        <v>1.2</v>
      </c>
      <c r="I68" s="123">
        <v>0.42</v>
      </c>
      <c r="J68" s="123">
        <v>8</v>
      </c>
      <c r="K68" s="121">
        <f t="shared" si="0"/>
        <v>8</v>
      </c>
      <c r="L68" s="124"/>
    </row>
    <row r="69" spans="2:12">
      <c r="B69" s="68" t="s">
        <v>155</v>
      </c>
      <c r="C69" s="69">
        <v>29.7</v>
      </c>
      <c r="D69" s="69">
        <v>2.34</v>
      </c>
      <c r="E69" s="69">
        <v>3.64</v>
      </c>
      <c r="F69" s="69">
        <v>12</v>
      </c>
      <c r="G69" s="69">
        <v>1.3</v>
      </c>
      <c r="I69" s="123">
        <v>0.42499999999999999</v>
      </c>
      <c r="J69" s="123">
        <v>8.5</v>
      </c>
      <c r="K69" s="121">
        <f t="shared" si="0"/>
        <v>8.4499999999999993</v>
      </c>
      <c r="L69" s="124"/>
    </row>
    <row r="70" spans="2:12">
      <c r="B70" s="68" t="s">
        <v>156</v>
      </c>
      <c r="C70" s="69">
        <v>33.9</v>
      </c>
      <c r="D70" s="69">
        <v>2.34</v>
      </c>
      <c r="E70" s="69">
        <v>3.63</v>
      </c>
      <c r="F70" s="69">
        <v>12</v>
      </c>
      <c r="G70" s="69">
        <v>1.5</v>
      </c>
      <c r="I70" s="123"/>
      <c r="J70" s="123"/>
    </row>
    <row r="71" spans="2:12">
      <c r="B71" s="68" t="s">
        <v>162</v>
      </c>
      <c r="C71" s="69">
        <v>30</v>
      </c>
      <c r="D71" s="69">
        <v>2.54</v>
      </c>
      <c r="E71" s="69">
        <v>3.97</v>
      </c>
      <c r="F71" s="69">
        <v>13</v>
      </c>
      <c r="G71" s="69">
        <v>1.2</v>
      </c>
      <c r="I71" s="123"/>
      <c r="J71" s="123"/>
    </row>
    <row r="72" spans="2:12">
      <c r="B72" s="68" t="s">
        <v>163</v>
      </c>
      <c r="C72" s="69">
        <v>34.700000000000003</v>
      </c>
      <c r="D72" s="69">
        <v>2.5299999999999998</v>
      </c>
      <c r="E72" s="69">
        <v>3.94</v>
      </c>
      <c r="F72" s="69">
        <v>13</v>
      </c>
      <c r="G72" s="69">
        <v>1.4</v>
      </c>
      <c r="I72" s="123"/>
      <c r="J72" s="123"/>
    </row>
    <row r="73" spans="2:12">
      <c r="B73" s="68" t="s">
        <v>164</v>
      </c>
      <c r="C73" s="69">
        <v>39.299999999999997</v>
      </c>
      <c r="D73" s="69">
        <v>2.52</v>
      </c>
      <c r="E73" s="69">
        <v>3.92</v>
      </c>
      <c r="F73" s="69">
        <v>13</v>
      </c>
      <c r="G73" s="69">
        <v>1.6</v>
      </c>
      <c r="I73" s="123"/>
      <c r="J73" s="123"/>
    </row>
    <row r="74" spans="2:12">
      <c r="B74" s="68" t="s">
        <v>165</v>
      </c>
      <c r="C74" s="69">
        <v>35</v>
      </c>
      <c r="D74" s="69">
        <v>2.74</v>
      </c>
      <c r="E74" s="69">
        <v>4.2699999999999996</v>
      </c>
      <c r="F74" s="69">
        <v>14</v>
      </c>
      <c r="G74" s="69">
        <v>1.3</v>
      </c>
      <c r="I74" s="123"/>
      <c r="J74" s="123"/>
    </row>
    <row r="75" spans="2:12">
      <c r="B75" s="68" t="s">
        <v>166</v>
      </c>
      <c r="C75" s="69">
        <v>40</v>
      </c>
      <c r="D75" s="69">
        <v>2.73</v>
      </c>
      <c r="E75" s="69">
        <v>4.25</v>
      </c>
      <c r="F75" s="69">
        <v>14</v>
      </c>
      <c r="G75" s="69">
        <v>1.5</v>
      </c>
      <c r="I75" s="123"/>
      <c r="J75" s="123"/>
    </row>
    <row r="76" spans="2:12">
      <c r="B76" s="68" t="s">
        <v>167</v>
      </c>
      <c r="C76" s="69">
        <v>29.3</v>
      </c>
      <c r="D76" s="69">
        <v>2.96</v>
      </c>
      <c r="E76" s="69">
        <v>4.62</v>
      </c>
      <c r="F76" s="69">
        <v>15</v>
      </c>
      <c r="G76" s="69">
        <v>1</v>
      </c>
      <c r="I76" s="123"/>
      <c r="J76" s="123"/>
    </row>
    <row r="77" spans="2:12">
      <c r="B77" s="68" t="s">
        <v>168</v>
      </c>
      <c r="C77" s="69">
        <v>34.799999999999997</v>
      </c>
      <c r="D77" s="69">
        <v>2.95</v>
      </c>
      <c r="E77" s="69">
        <v>4.5999999999999996</v>
      </c>
      <c r="F77" s="69">
        <v>15</v>
      </c>
      <c r="G77" s="69">
        <v>1.2</v>
      </c>
      <c r="I77" s="123"/>
      <c r="J77" s="123"/>
    </row>
    <row r="78" spans="2:12">
      <c r="B78" s="68" t="s">
        <v>169</v>
      </c>
      <c r="C78" s="69">
        <v>40.299999999999997</v>
      </c>
      <c r="D78" s="69">
        <v>2.94</v>
      </c>
      <c r="E78" s="69">
        <v>4.58</v>
      </c>
      <c r="F78" s="69">
        <v>15</v>
      </c>
      <c r="G78" s="69">
        <v>1.4</v>
      </c>
      <c r="I78" s="123"/>
      <c r="J78" s="123"/>
    </row>
    <row r="79" spans="2:12">
      <c r="B79" s="68" t="s">
        <v>170</v>
      </c>
      <c r="C79" s="69">
        <v>43</v>
      </c>
      <c r="D79" s="69">
        <v>2.93</v>
      </c>
      <c r="E79" s="69">
        <v>4.57</v>
      </c>
      <c r="F79" s="69">
        <v>15</v>
      </c>
      <c r="G79" s="69">
        <v>1.5</v>
      </c>
      <c r="I79" s="123"/>
      <c r="J79" s="123"/>
    </row>
    <row r="80" spans="2:12">
      <c r="B80" s="68" t="s">
        <v>171</v>
      </c>
      <c r="C80" s="69">
        <v>45.7</v>
      </c>
      <c r="D80" s="69">
        <v>2.93</v>
      </c>
      <c r="E80" s="69">
        <v>4.5599999999999996</v>
      </c>
      <c r="F80" s="69">
        <v>15</v>
      </c>
      <c r="G80" s="69">
        <v>1.6</v>
      </c>
      <c r="I80" s="123"/>
      <c r="J80" s="123"/>
    </row>
    <row r="81" spans="2:10">
      <c r="B81" s="68" t="s">
        <v>172</v>
      </c>
      <c r="C81" s="69">
        <v>51</v>
      </c>
      <c r="D81" s="69">
        <v>2.93</v>
      </c>
      <c r="E81" s="69">
        <v>4.54</v>
      </c>
      <c r="F81" s="69">
        <v>15</v>
      </c>
      <c r="G81" s="69">
        <v>1.8</v>
      </c>
      <c r="I81" s="123"/>
      <c r="J81" s="123"/>
    </row>
    <row r="82" spans="2:10">
      <c r="B82" s="68" t="s">
        <v>173</v>
      </c>
      <c r="C82" s="69">
        <v>46.1</v>
      </c>
      <c r="D82" s="69">
        <v>3.14</v>
      </c>
      <c r="E82" s="69">
        <v>4.88</v>
      </c>
      <c r="F82" s="69">
        <v>16</v>
      </c>
      <c r="G82" s="69">
        <v>1.5</v>
      </c>
      <c r="I82" s="123"/>
      <c r="J82" s="123"/>
    </row>
    <row r="83" spans="2:10">
      <c r="B83" s="68" t="s">
        <v>174</v>
      </c>
      <c r="C83" s="69">
        <v>51.8</v>
      </c>
      <c r="D83" s="69">
        <v>3.13</v>
      </c>
      <c r="E83" s="69">
        <v>4.8600000000000003</v>
      </c>
      <c r="F83" s="69">
        <v>16</v>
      </c>
      <c r="G83" s="69">
        <v>1.7</v>
      </c>
      <c r="I83" s="123"/>
      <c r="J83" s="123"/>
    </row>
    <row r="84" spans="2:10">
      <c r="B84" s="68" t="s">
        <v>175</v>
      </c>
      <c r="C84" s="69">
        <v>57.5</v>
      </c>
      <c r="D84" s="69">
        <v>3.12</v>
      </c>
      <c r="E84" s="69">
        <v>4.84</v>
      </c>
      <c r="F84" s="69">
        <v>16</v>
      </c>
      <c r="G84" s="69">
        <v>1.9</v>
      </c>
      <c r="I84" s="123"/>
      <c r="J84" s="123"/>
    </row>
    <row r="85" spans="2:10">
      <c r="B85" s="68" t="s">
        <v>176</v>
      </c>
      <c r="C85" s="69">
        <v>52.1</v>
      </c>
      <c r="D85" s="69">
        <v>3.54</v>
      </c>
      <c r="E85" s="69">
        <v>5.52</v>
      </c>
      <c r="F85" s="69">
        <v>18</v>
      </c>
      <c r="G85" s="69">
        <v>1.5</v>
      </c>
      <c r="I85" s="123"/>
      <c r="J85" s="123"/>
    </row>
    <row r="86" spans="2:10">
      <c r="B86" s="68" t="s">
        <v>177</v>
      </c>
      <c r="C86" s="69">
        <v>55.4</v>
      </c>
      <c r="D86" s="69">
        <v>3.5</v>
      </c>
      <c r="E86" s="69">
        <v>5.51</v>
      </c>
      <c r="F86" s="69">
        <v>18</v>
      </c>
      <c r="G86" s="69">
        <v>1.6</v>
      </c>
      <c r="I86" s="123"/>
      <c r="J86" s="123"/>
    </row>
    <row r="87" spans="2:10">
      <c r="B87" s="68" t="s">
        <v>178</v>
      </c>
      <c r="C87" s="69">
        <v>61.9</v>
      </c>
      <c r="D87" s="69">
        <v>3.49</v>
      </c>
      <c r="E87" s="69">
        <v>5.49</v>
      </c>
      <c r="F87" s="69">
        <v>18</v>
      </c>
      <c r="G87" s="69">
        <v>1.8</v>
      </c>
      <c r="I87" s="123"/>
      <c r="J87" s="123"/>
    </row>
    <row r="88" spans="2:10">
      <c r="B88" s="68" t="s">
        <v>179</v>
      </c>
      <c r="C88" s="69">
        <v>68.400000000000006</v>
      </c>
      <c r="D88" s="69">
        <v>3.49</v>
      </c>
      <c r="E88" s="69">
        <v>5.47</v>
      </c>
      <c r="F88" s="69">
        <v>18</v>
      </c>
      <c r="G88" s="69">
        <v>2</v>
      </c>
      <c r="I88" s="123"/>
      <c r="J88" s="123"/>
    </row>
    <row r="89" spans="2:10">
      <c r="B89" s="68" t="s">
        <v>186</v>
      </c>
      <c r="C89" s="69">
        <v>61.8</v>
      </c>
      <c r="D89" s="69">
        <v>3.91</v>
      </c>
      <c r="E89" s="69">
        <v>6.15</v>
      </c>
      <c r="F89" s="69">
        <v>20</v>
      </c>
      <c r="G89" s="69">
        <v>1.6</v>
      </c>
      <c r="I89" s="123"/>
      <c r="J89" s="123"/>
    </row>
    <row r="90" spans="2:10">
      <c r="B90" s="68" t="s">
        <v>187</v>
      </c>
      <c r="C90" s="69">
        <v>69.099999999999994</v>
      </c>
      <c r="D90" s="69">
        <v>3.9</v>
      </c>
      <c r="E90" s="69">
        <v>6.13</v>
      </c>
      <c r="F90" s="69">
        <v>20</v>
      </c>
      <c r="G90" s="69">
        <v>1.8</v>
      </c>
      <c r="I90" s="123"/>
      <c r="J90" s="123"/>
    </row>
    <row r="91" spans="2:10">
      <c r="B91" s="68" t="s">
        <v>188</v>
      </c>
      <c r="C91" s="69">
        <v>76.400000000000006</v>
      </c>
      <c r="D91" s="69">
        <v>3.89</v>
      </c>
      <c r="E91" s="69">
        <v>6.11</v>
      </c>
      <c r="F91" s="69">
        <v>20</v>
      </c>
      <c r="G91" s="69">
        <v>2</v>
      </c>
      <c r="I91" s="123"/>
      <c r="J91" s="123"/>
    </row>
    <row r="92" spans="2:10">
      <c r="B92" s="68" t="s">
        <v>189</v>
      </c>
      <c r="C92" s="69">
        <v>90.6</v>
      </c>
      <c r="D92" s="69">
        <v>3.9</v>
      </c>
      <c r="E92" s="69">
        <v>6.06</v>
      </c>
      <c r="F92" s="69">
        <v>20</v>
      </c>
      <c r="G92" s="69">
        <v>2.4</v>
      </c>
      <c r="I92" s="123"/>
      <c r="J92" s="123"/>
    </row>
    <row r="93" spans="2:10">
      <c r="B93" s="68" t="s">
        <v>158</v>
      </c>
      <c r="C93" s="69">
        <v>2.3199999999999998</v>
      </c>
      <c r="D93" s="69">
        <v>0.69</v>
      </c>
      <c r="E93" s="69">
        <v>0.93</v>
      </c>
      <c r="F93" s="69">
        <v>3.2</v>
      </c>
      <c r="G93" s="69">
        <v>0.32</v>
      </c>
      <c r="I93" s="123"/>
      <c r="J93" s="123"/>
    </row>
    <row r="94" spans="2:10">
      <c r="B94" s="68" t="s">
        <v>159</v>
      </c>
      <c r="C94" s="69">
        <v>5.25</v>
      </c>
      <c r="D94" s="69">
        <v>0.87</v>
      </c>
      <c r="E94" s="69">
        <v>1.34</v>
      </c>
      <c r="F94" s="69">
        <v>4.4000000000000004</v>
      </c>
      <c r="G94" s="69">
        <v>0.64</v>
      </c>
      <c r="I94" s="123"/>
      <c r="J94" s="123"/>
    </row>
    <row r="95" spans="2:10">
      <c r="B95" s="68" t="s">
        <v>160</v>
      </c>
      <c r="C95" s="69">
        <v>2.72</v>
      </c>
      <c r="D95" s="69">
        <v>0.88</v>
      </c>
      <c r="E95" s="69">
        <v>1.39</v>
      </c>
      <c r="F95" s="69">
        <v>4.4000000000000004</v>
      </c>
      <c r="G95" s="69">
        <v>0.32</v>
      </c>
      <c r="I95" s="123"/>
      <c r="J95" s="123"/>
    </row>
    <row r="96" spans="2:10">
      <c r="B96" s="68" t="s">
        <v>161</v>
      </c>
      <c r="C96" s="69">
        <v>4</v>
      </c>
      <c r="D96" s="69">
        <v>0.871</v>
      </c>
      <c r="E96" s="69">
        <v>1.36</v>
      </c>
      <c r="F96" s="69">
        <v>4.4000000000000004</v>
      </c>
      <c r="G96" s="69">
        <v>0.48</v>
      </c>
      <c r="I96" s="123"/>
      <c r="J96" s="123"/>
    </row>
    <row r="97" spans="2:10">
      <c r="B97" s="68" t="s">
        <v>180</v>
      </c>
      <c r="C97" s="69">
        <v>2.72</v>
      </c>
      <c r="D97" s="69">
        <v>0.83</v>
      </c>
      <c r="E97" s="69">
        <v>1.1399999999999999</v>
      </c>
      <c r="F97" s="69">
        <v>4.4000000000000004</v>
      </c>
      <c r="G97" s="69">
        <v>0.32</v>
      </c>
      <c r="I97" s="123"/>
      <c r="J97" s="123"/>
    </row>
    <row r="98" spans="2:10">
      <c r="B98" s="68" t="s">
        <v>181</v>
      </c>
      <c r="C98" s="69">
        <v>6.05</v>
      </c>
      <c r="D98" s="69">
        <v>0.99</v>
      </c>
      <c r="E98" s="69">
        <v>1.55</v>
      </c>
      <c r="F98" s="69">
        <v>5.0999999999999996</v>
      </c>
      <c r="G98" s="69">
        <v>0.64</v>
      </c>
      <c r="I98" s="123"/>
      <c r="J98" s="123"/>
    </row>
    <row r="99" spans="2:10">
      <c r="B99" s="68" t="s">
        <v>182</v>
      </c>
      <c r="C99" s="69">
        <v>3.12</v>
      </c>
      <c r="D99" s="69">
        <v>1.01</v>
      </c>
      <c r="E99" s="69">
        <v>1.6</v>
      </c>
      <c r="F99" s="69">
        <v>5.0999999999999996</v>
      </c>
      <c r="G99" s="69">
        <v>0.32</v>
      </c>
      <c r="I99" s="123"/>
      <c r="J99" s="123"/>
    </row>
    <row r="100" spans="2:10">
      <c r="B100" s="68" t="s">
        <v>183</v>
      </c>
      <c r="C100" s="69">
        <v>4.6100000000000003</v>
      </c>
      <c r="D100" s="69">
        <v>1</v>
      </c>
      <c r="E100" s="69">
        <v>1.58</v>
      </c>
      <c r="F100" s="69">
        <v>5.0999999999999996</v>
      </c>
      <c r="G100" s="69">
        <v>0.48</v>
      </c>
      <c r="I100" s="123"/>
      <c r="J100" s="123"/>
    </row>
    <row r="101" spans="2:10">
      <c r="B101" s="68" t="s">
        <v>184</v>
      </c>
      <c r="C101" s="69">
        <v>8.77</v>
      </c>
      <c r="D101" s="69">
        <v>0.99</v>
      </c>
      <c r="E101" s="69">
        <v>1.52</v>
      </c>
      <c r="F101" s="69">
        <v>5.0999999999999996</v>
      </c>
      <c r="G101" s="69">
        <v>0.95</v>
      </c>
      <c r="I101" s="123"/>
      <c r="J101" s="123"/>
    </row>
    <row r="102" spans="2:10">
      <c r="B102" s="68" t="s">
        <v>185</v>
      </c>
      <c r="C102" s="69">
        <v>7.43</v>
      </c>
      <c r="D102" s="69">
        <v>0.99</v>
      </c>
      <c r="E102" s="69">
        <v>1.53</v>
      </c>
      <c r="F102" s="69">
        <v>5.0999999999999996</v>
      </c>
      <c r="G102" s="69">
        <v>0.79</v>
      </c>
      <c r="I102" s="123"/>
      <c r="J102" s="123"/>
    </row>
    <row r="103" spans="2:10">
      <c r="B103" s="68" t="s">
        <v>190</v>
      </c>
      <c r="C103" s="69">
        <v>6.85</v>
      </c>
      <c r="D103" s="69">
        <v>1.08</v>
      </c>
      <c r="E103" s="69">
        <v>1.51</v>
      </c>
      <c r="F103" s="69">
        <v>5.0999999999999996</v>
      </c>
      <c r="G103" s="69">
        <v>0.64</v>
      </c>
      <c r="I103" s="123"/>
      <c r="J103" s="123"/>
    </row>
    <row r="104" spans="2:10">
      <c r="B104" s="68" t="s">
        <v>191</v>
      </c>
      <c r="C104" s="69">
        <v>3.53</v>
      </c>
      <c r="D104" s="69">
        <v>1.1000000000000001</v>
      </c>
      <c r="E104" s="69">
        <v>1.55</v>
      </c>
      <c r="F104" s="69">
        <v>5.0999999999999996</v>
      </c>
      <c r="G104" s="69">
        <v>0.32</v>
      </c>
      <c r="I104" s="123"/>
      <c r="J104" s="123"/>
    </row>
    <row r="105" spans="2:10">
      <c r="B105" s="68" t="s">
        <v>192</v>
      </c>
      <c r="C105" s="69">
        <v>5.22</v>
      </c>
      <c r="D105" s="69">
        <v>1.08</v>
      </c>
      <c r="E105" s="69">
        <v>1.54</v>
      </c>
      <c r="F105" s="69">
        <v>5.0999999999999996</v>
      </c>
      <c r="G105" s="69">
        <v>0.48</v>
      </c>
      <c r="I105" s="123"/>
      <c r="J105" s="123"/>
    </row>
    <row r="106" spans="2:10">
      <c r="B106" s="68" t="s">
        <v>193</v>
      </c>
      <c r="C106" s="69">
        <v>9.98</v>
      </c>
      <c r="D106" s="69">
        <v>1.07</v>
      </c>
      <c r="E106" s="69">
        <v>1.47</v>
      </c>
      <c r="F106" s="69">
        <v>5.0999999999999996</v>
      </c>
      <c r="G106" s="69">
        <v>0.95</v>
      </c>
      <c r="I106" s="123"/>
      <c r="J106" s="123"/>
    </row>
    <row r="107" spans="2:10">
      <c r="B107" s="68" t="s">
        <v>194</v>
      </c>
      <c r="C107" s="69">
        <v>8.44</v>
      </c>
      <c r="D107" s="69">
        <v>1.07</v>
      </c>
      <c r="E107" s="69">
        <v>1.49</v>
      </c>
      <c r="F107" s="69">
        <v>5.0999999999999996</v>
      </c>
      <c r="G107" s="69">
        <v>0.79</v>
      </c>
      <c r="I107" s="123"/>
      <c r="J107" s="123"/>
    </row>
    <row r="108" spans="2:10">
      <c r="B108" s="68" t="s">
        <v>195</v>
      </c>
      <c r="C108" s="69">
        <v>14.5</v>
      </c>
      <c r="D108" s="69">
        <v>1.24</v>
      </c>
      <c r="E108" s="69">
        <v>1.9</v>
      </c>
      <c r="F108" s="69">
        <v>6.4</v>
      </c>
      <c r="G108" s="69">
        <v>1.27</v>
      </c>
      <c r="I108" s="123"/>
      <c r="J108" s="123"/>
    </row>
    <row r="109" spans="2:10">
      <c r="B109" s="68" t="s">
        <v>196</v>
      </c>
      <c r="C109" s="69">
        <v>7.66</v>
      </c>
      <c r="D109" s="69">
        <v>1.25</v>
      </c>
      <c r="E109" s="69">
        <v>1.98</v>
      </c>
      <c r="F109" s="69">
        <v>6.4</v>
      </c>
      <c r="G109" s="69">
        <v>0.64</v>
      </c>
      <c r="I109" s="123"/>
      <c r="J109" s="123"/>
    </row>
    <row r="110" spans="2:10">
      <c r="B110" s="68" t="s">
        <v>197</v>
      </c>
      <c r="C110" s="69">
        <v>3.93</v>
      </c>
      <c r="D110" s="69">
        <v>1.27</v>
      </c>
      <c r="E110" s="69">
        <v>2</v>
      </c>
      <c r="F110" s="69">
        <v>6.4</v>
      </c>
      <c r="G110" s="69">
        <v>0.32</v>
      </c>
      <c r="I110" s="123"/>
      <c r="J110" s="123"/>
    </row>
    <row r="111" spans="2:10">
      <c r="B111" s="68" t="s">
        <v>198</v>
      </c>
      <c r="C111" s="69">
        <v>5.82</v>
      </c>
      <c r="D111" s="69">
        <v>1.26</v>
      </c>
      <c r="E111" s="69">
        <v>2</v>
      </c>
      <c r="F111" s="69">
        <v>6.4</v>
      </c>
      <c r="G111" s="69">
        <v>0.48</v>
      </c>
      <c r="I111" s="123"/>
      <c r="J111" s="123"/>
    </row>
    <row r="112" spans="2:10">
      <c r="B112" s="68" t="s">
        <v>199</v>
      </c>
      <c r="C112" s="69">
        <v>11.2</v>
      </c>
      <c r="D112" s="69">
        <v>1.24</v>
      </c>
      <c r="E112" s="69">
        <v>1.94</v>
      </c>
      <c r="F112" s="69">
        <v>6.4</v>
      </c>
      <c r="G112" s="69">
        <v>0.95</v>
      </c>
      <c r="I112" s="123"/>
      <c r="J112" s="123"/>
    </row>
    <row r="113" spans="2:10">
      <c r="B113" s="68" t="s">
        <v>200</v>
      </c>
      <c r="C113" s="69">
        <v>9.4499999999999993</v>
      </c>
      <c r="D113" s="69">
        <v>1.24</v>
      </c>
      <c r="E113" s="69">
        <v>1.96</v>
      </c>
      <c r="F113" s="69">
        <v>6.4</v>
      </c>
      <c r="G113" s="69">
        <v>0.79</v>
      </c>
      <c r="I113" s="123"/>
      <c r="J113" s="123"/>
    </row>
    <row r="114" spans="2:10">
      <c r="B114" s="68" t="s">
        <v>201</v>
      </c>
      <c r="C114" s="69">
        <v>14.5</v>
      </c>
      <c r="D114" s="69">
        <v>1.0900000000000001</v>
      </c>
      <c r="E114" s="69">
        <v>1.4</v>
      </c>
      <c r="F114" s="69">
        <v>5.0999999999999996</v>
      </c>
      <c r="G114" s="69">
        <v>1.27</v>
      </c>
      <c r="I114" s="123"/>
      <c r="J114" s="123"/>
    </row>
    <row r="115" spans="2:10">
      <c r="B115" s="68" t="s">
        <v>202</v>
      </c>
      <c r="C115" s="69">
        <v>7.66</v>
      </c>
      <c r="D115" s="69">
        <v>1.1000000000000001</v>
      </c>
      <c r="E115" s="69">
        <v>1.47</v>
      </c>
      <c r="F115" s="69">
        <v>5.0999999999999996</v>
      </c>
      <c r="G115" s="69">
        <v>0.64</v>
      </c>
      <c r="I115" s="123"/>
      <c r="J115" s="123"/>
    </row>
    <row r="116" spans="2:10">
      <c r="B116" s="68" t="s">
        <v>203</v>
      </c>
      <c r="C116" s="69">
        <v>5.82</v>
      </c>
      <c r="D116" s="69">
        <v>1.1200000000000001</v>
      </c>
      <c r="E116" s="69">
        <v>1.49</v>
      </c>
      <c r="F116" s="69">
        <v>5.0999999999999996</v>
      </c>
      <c r="G116" s="69">
        <v>0.48</v>
      </c>
      <c r="I116" s="123"/>
      <c r="J116" s="123"/>
    </row>
    <row r="117" spans="2:10">
      <c r="B117" s="68" t="s">
        <v>204</v>
      </c>
      <c r="C117" s="69">
        <v>11.2</v>
      </c>
      <c r="D117" s="69">
        <v>1.0900000000000001</v>
      </c>
      <c r="E117" s="69">
        <v>1.43</v>
      </c>
      <c r="F117" s="69">
        <v>5.0999999999999996</v>
      </c>
      <c r="G117" s="69">
        <v>0.95</v>
      </c>
      <c r="I117" s="123"/>
      <c r="J117" s="123"/>
    </row>
    <row r="118" spans="2:10">
      <c r="B118" s="68" t="s">
        <v>205</v>
      </c>
      <c r="C118" s="69">
        <v>9.4499999999999993</v>
      </c>
      <c r="D118" s="69">
        <v>1.1000000000000001</v>
      </c>
      <c r="E118" s="69">
        <v>1.45</v>
      </c>
      <c r="F118" s="69">
        <v>5.0999999999999996</v>
      </c>
      <c r="G118" s="69">
        <v>0.79</v>
      </c>
      <c r="I118" s="123"/>
      <c r="J118" s="123"/>
    </row>
    <row r="119" spans="2:10">
      <c r="B119" s="68" t="s">
        <v>206</v>
      </c>
      <c r="C119" s="69">
        <v>16.100000000000001</v>
      </c>
      <c r="D119" s="69">
        <v>1.32</v>
      </c>
      <c r="E119" s="69">
        <v>1.85</v>
      </c>
      <c r="F119" s="69">
        <v>6.4</v>
      </c>
      <c r="G119" s="69">
        <v>1.27</v>
      </c>
      <c r="I119" s="123"/>
      <c r="J119" s="123"/>
    </row>
    <row r="120" spans="2:10">
      <c r="B120" s="68" t="s">
        <v>207</v>
      </c>
      <c r="C120" s="69">
        <v>8.4700000000000006</v>
      </c>
      <c r="D120" s="69">
        <v>1.34</v>
      </c>
      <c r="E120" s="69">
        <v>1.93</v>
      </c>
      <c r="F120" s="69">
        <v>6.4</v>
      </c>
      <c r="G120" s="69">
        <v>0.64</v>
      </c>
      <c r="I120" s="123"/>
      <c r="J120" s="123"/>
    </row>
    <row r="121" spans="2:10">
      <c r="B121" s="68" t="s">
        <v>208</v>
      </c>
      <c r="C121" s="69">
        <v>6.43</v>
      </c>
      <c r="D121" s="69">
        <v>1.35</v>
      </c>
      <c r="E121" s="69">
        <v>1.96</v>
      </c>
      <c r="F121" s="69">
        <v>6.4</v>
      </c>
      <c r="G121" s="69">
        <v>0.48</v>
      </c>
      <c r="I121" s="123"/>
      <c r="J121" s="123"/>
    </row>
    <row r="122" spans="2:10">
      <c r="B122" s="68" t="s">
        <v>209</v>
      </c>
      <c r="C122" s="69">
        <v>12.4</v>
      </c>
      <c r="D122" s="69">
        <v>1.33</v>
      </c>
      <c r="E122" s="69">
        <v>1.89</v>
      </c>
      <c r="F122" s="69">
        <v>6.4</v>
      </c>
      <c r="G122" s="69">
        <v>0.95</v>
      </c>
      <c r="I122" s="123"/>
      <c r="J122" s="123"/>
    </row>
    <row r="123" spans="2:10">
      <c r="B123" s="68" t="s">
        <v>210</v>
      </c>
      <c r="C123" s="69">
        <v>10.5</v>
      </c>
      <c r="D123" s="69">
        <v>1.33</v>
      </c>
      <c r="E123" s="69">
        <v>1.91</v>
      </c>
      <c r="F123" s="69">
        <v>6.4</v>
      </c>
      <c r="G123" s="69">
        <v>0.79</v>
      </c>
      <c r="I123" s="123"/>
      <c r="J123" s="123"/>
    </row>
    <row r="124" spans="2:10">
      <c r="B124" s="68" t="s">
        <v>211</v>
      </c>
      <c r="C124" s="69">
        <v>17.7</v>
      </c>
      <c r="D124" s="69">
        <v>1.48</v>
      </c>
      <c r="E124" s="69">
        <v>2.27</v>
      </c>
      <c r="F124" s="69">
        <v>7.6</v>
      </c>
      <c r="G124" s="69">
        <v>1.27</v>
      </c>
      <c r="I124" s="123"/>
      <c r="J124" s="123"/>
    </row>
    <row r="125" spans="2:10">
      <c r="B125" s="68" t="s">
        <v>212</v>
      </c>
      <c r="C125" s="69">
        <v>9.27</v>
      </c>
      <c r="D125" s="69">
        <v>1.5</v>
      </c>
      <c r="E125" s="69">
        <v>2.35</v>
      </c>
      <c r="F125" s="69">
        <v>7.6</v>
      </c>
      <c r="G125" s="69">
        <v>0.64</v>
      </c>
      <c r="I125" s="123"/>
      <c r="J125" s="123"/>
    </row>
    <row r="126" spans="2:10">
      <c r="B126" s="68" t="s">
        <v>213</v>
      </c>
      <c r="C126" s="69">
        <v>7.03</v>
      </c>
      <c r="D126" s="69">
        <v>1.51</v>
      </c>
      <c r="E126" s="69">
        <v>2.38</v>
      </c>
      <c r="F126" s="69">
        <v>7.6</v>
      </c>
      <c r="G126" s="69">
        <v>0.48</v>
      </c>
      <c r="I126" s="123"/>
      <c r="J126" s="123"/>
    </row>
    <row r="127" spans="2:10">
      <c r="B127" s="68" t="s">
        <v>214</v>
      </c>
      <c r="C127" s="69">
        <v>13.6</v>
      </c>
      <c r="D127" s="69">
        <v>1.49</v>
      </c>
      <c r="E127" s="69">
        <v>2.31</v>
      </c>
      <c r="F127" s="69">
        <v>7.6</v>
      </c>
      <c r="G127" s="69">
        <v>0.95</v>
      </c>
      <c r="I127" s="123"/>
      <c r="J127" s="123"/>
    </row>
    <row r="128" spans="2:10">
      <c r="B128" s="68" t="s">
        <v>215</v>
      </c>
      <c r="C128" s="69">
        <v>11.5</v>
      </c>
      <c r="D128" s="69">
        <v>1.5</v>
      </c>
      <c r="E128" s="69">
        <v>2.33</v>
      </c>
      <c r="F128" s="69">
        <v>7.6</v>
      </c>
      <c r="G128" s="69">
        <v>0.79</v>
      </c>
      <c r="I128" s="123"/>
      <c r="J128" s="123"/>
    </row>
    <row r="129" spans="2:10">
      <c r="B129" s="68" t="s">
        <v>216</v>
      </c>
      <c r="C129" s="69">
        <v>15.7</v>
      </c>
      <c r="D129" s="69">
        <v>1.49</v>
      </c>
      <c r="E129" s="69">
        <v>2.29</v>
      </c>
      <c r="F129" s="69">
        <v>7.6</v>
      </c>
      <c r="G129" s="69">
        <v>1.1100000000000001</v>
      </c>
      <c r="I129" s="123"/>
      <c r="J129" s="123"/>
    </row>
    <row r="130" spans="2:10">
      <c r="B130" s="68" t="s">
        <v>217</v>
      </c>
      <c r="C130" s="69">
        <v>8.24</v>
      </c>
      <c r="D130" s="69">
        <v>2.2999999999999998</v>
      </c>
      <c r="E130" s="69">
        <v>3.28</v>
      </c>
      <c r="F130" s="69">
        <v>7.6</v>
      </c>
      <c r="G130" s="69">
        <v>0.48</v>
      </c>
      <c r="I130" s="123"/>
      <c r="J130" s="123"/>
    </row>
    <row r="131" spans="2:10">
      <c r="B131" s="68" t="s">
        <v>218</v>
      </c>
      <c r="C131" s="69">
        <v>17.7</v>
      </c>
      <c r="D131" s="69">
        <v>1.36</v>
      </c>
      <c r="E131" s="69">
        <v>1.81</v>
      </c>
      <c r="F131" s="69">
        <v>6.4</v>
      </c>
      <c r="G131" s="69">
        <v>1.27</v>
      </c>
      <c r="I131" s="123"/>
      <c r="J131" s="123"/>
    </row>
    <row r="132" spans="2:10">
      <c r="B132" s="68" t="s">
        <v>219</v>
      </c>
      <c r="C132" s="69">
        <v>9.27</v>
      </c>
      <c r="D132" s="69">
        <v>1.38</v>
      </c>
      <c r="E132" s="69">
        <v>1.89</v>
      </c>
      <c r="F132" s="69">
        <v>6.4</v>
      </c>
      <c r="G132" s="69">
        <v>0.64</v>
      </c>
      <c r="I132" s="123"/>
      <c r="J132" s="123"/>
    </row>
    <row r="133" spans="2:10">
      <c r="B133" s="68" t="s">
        <v>220</v>
      </c>
      <c r="C133" s="69">
        <v>13.6</v>
      </c>
      <c r="D133" s="69">
        <v>1.36</v>
      </c>
      <c r="E133" s="69">
        <v>1.85</v>
      </c>
      <c r="F133" s="69">
        <v>6.4</v>
      </c>
      <c r="G133" s="69">
        <v>0.95</v>
      </c>
      <c r="I133" s="123"/>
      <c r="J133" s="123"/>
    </row>
    <row r="134" spans="2:10">
      <c r="B134" s="68" t="s">
        <v>221</v>
      </c>
      <c r="C134" s="69">
        <v>19.399999999999999</v>
      </c>
      <c r="D134" s="69">
        <v>1.58</v>
      </c>
      <c r="E134" s="69">
        <v>2.23</v>
      </c>
      <c r="F134" s="69">
        <v>7.6</v>
      </c>
      <c r="G134" s="69">
        <v>1.27</v>
      </c>
      <c r="I134" s="123"/>
      <c r="J134" s="123"/>
    </row>
    <row r="135" spans="2:10">
      <c r="B135" s="68" t="s">
        <v>222</v>
      </c>
      <c r="C135" s="69">
        <v>10.1</v>
      </c>
      <c r="D135" s="69">
        <v>1.6</v>
      </c>
      <c r="E135" s="69">
        <v>2.31</v>
      </c>
      <c r="F135" s="69">
        <v>7.6</v>
      </c>
      <c r="G135" s="69">
        <v>0.64</v>
      </c>
      <c r="I135" s="123"/>
      <c r="J135" s="123"/>
    </row>
    <row r="136" spans="2:10">
      <c r="B136" s="68" t="s">
        <v>223</v>
      </c>
      <c r="C136" s="69">
        <v>14.8</v>
      </c>
      <c r="D136" s="69">
        <v>1.59</v>
      </c>
      <c r="E136" s="69">
        <v>2.27</v>
      </c>
      <c r="F136" s="69">
        <v>7.6</v>
      </c>
      <c r="G136" s="69">
        <v>0.95</v>
      </c>
      <c r="I136" s="123"/>
      <c r="J136" s="123"/>
    </row>
    <row r="137" spans="2:10">
      <c r="B137" s="68" t="s">
        <v>224</v>
      </c>
      <c r="C137" s="69">
        <v>12.5</v>
      </c>
      <c r="D137" s="69">
        <v>1.59</v>
      </c>
      <c r="E137" s="69">
        <v>2.29</v>
      </c>
      <c r="F137" s="69">
        <v>7.6</v>
      </c>
      <c r="G137" s="69">
        <v>0.79</v>
      </c>
      <c r="I137" s="123"/>
      <c r="J137" s="123"/>
    </row>
    <row r="138" spans="2:10">
      <c r="B138" s="68" t="s">
        <v>225</v>
      </c>
      <c r="C138" s="69">
        <v>21</v>
      </c>
      <c r="D138" s="69">
        <v>1.73</v>
      </c>
      <c r="E138" s="69">
        <v>2.69</v>
      </c>
      <c r="F138" s="69">
        <v>8.9</v>
      </c>
      <c r="G138" s="69">
        <v>1.27</v>
      </c>
      <c r="I138" s="123"/>
      <c r="J138" s="123"/>
    </row>
    <row r="139" spans="2:10">
      <c r="B139" s="68" t="s">
        <v>226</v>
      </c>
      <c r="C139" s="69">
        <v>10.9</v>
      </c>
      <c r="D139" s="69">
        <v>1.76</v>
      </c>
      <c r="E139" s="69">
        <v>2.78</v>
      </c>
      <c r="F139" s="69">
        <v>8.9</v>
      </c>
      <c r="G139" s="69">
        <v>0.64</v>
      </c>
      <c r="I139" s="123"/>
      <c r="J139" s="123"/>
    </row>
    <row r="140" spans="2:10">
      <c r="B140" s="68" t="s">
        <v>227</v>
      </c>
      <c r="C140" s="69">
        <v>5.55</v>
      </c>
      <c r="D140" s="69">
        <v>1.79</v>
      </c>
      <c r="E140" s="69">
        <v>2.82</v>
      </c>
      <c r="F140" s="69">
        <v>8.9</v>
      </c>
      <c r="G140" s="69">
        <v>0.32</v>
      </c>
      <c r="I140" s="123"/>
      <c r="J140" s="123"/>
    </row>
    <row r="141" spans="2:10">
      <c r="B141" s="68" t="s">
        <v>228</v>
      </c>
      <c r="C141" s="69">
        <v>8.24</v>
      </c>
      <c r="D141" s="69">
        <v>1.77</v>
      </c>
      <c r="E141" s="69">
        <v>2.8</v>
      </c>
      <c r="F141" s="69">
        <v>8.9</v>
      </c>
      <c r="G141" s="69">
        <v>0.64</v>
      </c>
      <c r="I141" s="123"/>
      <c r="J141" s="123"/>
    </row>
    <row r="142" spans="2:10">
      <c r="B142" s="68" t="s">
        <v>229</v>
      </c>
      <c r="C142" s="69">
        <v>16</v>
      </c>
      <c r="D142" s="69">
        <v>1.74</v>
      </c>
      <c r="E142" s="69">
        <v>2.74</v>
      </c>
      <c r="F142" s="69">
        <v>8.9</v>
      </c>
      <c r="G142" s="69">
        <v>0.95</v>
      </c>
      <c r="I142" s="123"/>
      <c r="J142" s="123"/>
    </row>
    <row r="143" spans="2:10">
      <c r="B143" s="68" t="s">
        <v>230</v>
      </c>
      <c r="C143" s="69">
        <v>13.5</v>
      </c>
      <c r="D143" s="69">
        <v>1.75</v>
      </c>
      <c r="E143" s="69">
        <v>2.75</v>
      </c>
      <c r="F143" s="69">
        <v>8.9</v>
      </c>
      <c r="G143" s="69">
        <v>0.79</v>
      </c>
      <c r="I143" s="123"/>
      <c r="J143" s="123"/>
    </row>
    <row r="144" spans="2:10">
      <c r="B144" s="68" t="s">
        <v>231</v>
      </c>
      <c r="C144" s="69">
        <v>21</v>
      </c>
      <c r="D144" s="69">
        <v>1.62</v>
      </c>
      <c r="E144" s="69">
        <v>2.1800000000000002</v>
      </c>
      <c r="F144" s="69">
        <v>7.6</v>
      </c>
      <c r="G144" s="69">
        <v>1.27</v>
      </c>
      <c r="I144" s="123"/>
      <c r="J144" s="123"/>
    </row>
    <row r="145" spans="2:10">
      <c r="B145" s="68" t="s">
        <v>232</v>
      </c>
      <c r="C145" s="69">
        <v>10.9</v>
      </c>
      <c r="D145" s="69">
        <v>1.65</v>
      </c>
      <c r="E145" s="69">
        <v>2.27</v>
      </c>
      <c r="F145" s="69">
        <v>7.6</v>
      </c>
      <c r="G145" s="69">
        <v>0.64</v>
      </c>
      <c r="I145" s="123"/>
      <c r="J145" s="123"/>
    </row>
    <row r="146" spans="2:10">
      <c r="B146" s="68" t="s">
        <v>233</v>
      </c>
      <c r="C146" s="69">
        <v>16</v>
      </c>
      <c r="D146" s="69">
        <v>1.64</v>
      </c>
      <c r="E146" s="69">
        <v>2.23</v>
      </c>
      <c r="F146" s="69">
        <v>7.6</v>
      </c>
      <c r="G146" s="69">
        <v>0.95</v>
      </c>
      <c r="I146" s="123"/>
      <c r="J146" s="123"/>
    </row>
    <row r="147" spans="2:10">
      <c r="B147" s="68" t="s">
        <v>234</v>
      </c>
      <c r="C147" s="69">
        <v>13.5</v>
      </c>
      <c r="D147" s="69">
        <v>1.64</v>
      </c>
      <c r="E147" s="69">
        <v>2.25</v>
      </c>
      <c r="F147" s="69">
        <v>7.6</v>
      </c>
      <c r="G147" s="69">
        <v>0.79</v>
      </c>
      <c r="I147" s="123"/>
      <c r="J147" s="123"/>
    </row>
    <row r="148" spans="2:10">
      <c r="B148" s="68" t="s">
        <v>235</v>
      </c>
      <c r="C148" s="69">
        <v>18.5</v>
      </c>
      <c r="D148" s="69">
        <v>1.63</v>
      </c>
      <c r="E148" s="69">
        <v>2.21</v>
      </c>
      <c r="F148" s="69">
        <v>7.6</v>
      </c>
      <c r="G148" s="69">
        <v>1.1100000000000001</v>
      </c>
      <c r="I148" s="123"/>
      <c r="J148" s="123"/>
    </row>
    <row r="149" spans="2:10">
      <c r="B149" s="68" t="s">
        <v>236</v>
      </c>
      <c r="C149" s="69">
        <v>22.6</v>
      </c>
      <c r="D149" s="69">
        <v>1.83</v>
      </c>
      <c r="E149" s="69">
        <v>2.65</v>
      </c>
      <c r="F149" s="69">
        <v>8.9</v>
      </c>
      <c r="G149" s="69">
        <v>1.27</v>
      </c>
      <c r="I149" s="123"/>
      <c r="J149" s="123"/>
    </row>
    <row r="150" spans="2:10">
      <c r="B150" s="68" t="s">
        <v>237</v>
      </c>
      <c r="C150" s="69">
        <v>11.7</v>
      </c>
      <c r="D150" s="69">
        <v>1.86</v>
      </c>
      <c r="E150" s="69">
        <v>2.73</v>
      </c>
      <c r="F150" s="69">
        <v>8.9</v>
      </c>
      <c r="G150" s="69">
        <v>0.64</v>
      </c>
      <c r="I150" s="123"/>
      <c r="J150" s="123"/>
    </row>
    <row r="151" spans="2:10">
      <c r="B151" s="68" t="s">
        <v>238</v>
      </c>
      <c r="C151" s="69">
        <v>17.2</v>
      </c>
      <c r="D151" s="69">
        <v>1.85</v>
      </c>
      <c r="E151" s="69">
        <v>2.7</v>
      </c>
      <c r="F151" s="69">
        <v>8.9</v>
      </c>
      <c r="G151" s="69">
        <v>0.95</v>
      </c>
      <c r="I151" s="123"/>
      <c r="J151" s="123"/>
    </row>
    <row r="152" spans="2:10">
      <c r="B152" s="68" t="s">
        <v>239</v>
      </c>
      <c r="C152" s="69">
        <v>14.5</v>
      </c>
      <c r="D152" s="69">
        <v>1.85</v>
      </c>
      <c r="E152" s="69">
        <v>2.72</v>
      </c>
      <c r="F152" s="69">
        <v>8.9</v>
      </c>
      <c r="G152" s="69">
        <v>0.79</v>
      </c>
      <c r="I152" s="123"/>
      <c r="J152" s="123"/>
    </row>
    <row r="153" spans="2:10">
      <c r="B153" s="68" t="s">
        <v>240</v>
      </c>
      <c r="C153" s="69">
        <v>19.899999999999999</v>
      </c>
      <c r="D153" s="69">
        <v>1.84</v>
      </c>
      <c r="E153" s="69">
        <v>2.67</v>
      </c>
      <c r="F153" s="69">
        <v>8.9</v>
      </c>
      <c r="G153" s="69">
        <v>1.1100000000000001</v>
      </c>
      <c r="I153" s="123"/>
      <c r="J153" s="123"/>
    </row>
    <row r="154" spans="2:10">
      <c r="B154" s="68" t="s">
        <v>241</v>
      </c>
      <c r="C154" s="69">
        <v>24.2</v>
      </c>
      <c r="D154" s="69">
        <v>1.99</v>
      </c>
      <c r="E154" s="69">
        <v>3.11</v>
      </c>
      <c r="F154" s="69">
        <v>10.199999999999999</v>
      </c>
      <c r="G154" s="69">
        <v>1.27</v>
      </c>
      <c r="I154" s="123"/>
      <c r="J154" s="123"/>
    </row>
    <row r="155" spans="2:10">
      <c r="B155" s="68" t="s">
        <v>242</v>
      </c>
      <c r="C155" s="69">
        <v>12.5</v>
      </c>
      <c r="D155" s="69">
        <v>2.02</v>
      </c>
      <c r="E155" s="69">
        <v>3.2</v>
      </c>
      <c r="F155" s="69">
        <v>10.199999999999999</v>
      </c>
      <c r="G155" s="69">
        <v>0.64</v>
      </c>
      <c r="I155" s="123"/>
      <c r="J155" s="123"/>
    </row>
    <row r="156" spans="2:10">
      <c r="B156" s="68" t="s">
        <v>243</v>
      </c>
      <c r="C156" s="69">
        <v>35.1</v>
      </c>
      <c r="D156" s="69">
        <v>1.98</v>
      </c>
      <c r="E156" s="69">
        <v>3.03</v>
      </c>
      <c r="F156" s="69">
        <v>10.199999999999999</v>
      </c>
      <c r="G156" s="69">
        <v>1.9</v>
      </c>
      <c r="I156" s="123"/>
      <c r="J156" s="123"/>
    </row>
    <row r="157" spans="2:10">
      <c r="B157" s="68" t="s">
        <v>244</v>
      </c>
      <c r="C157" s="69">
        <v>18.399999999999999</v>
      </c>
      <c r="D157" s="69">
        <v>2</v>
      </c>
      <c r="E157" s="69">
        <v>3.16</v>
      </c>
      <c r="F157" s="69">
        <v>10.199999999999999</v>
      </c>
      <c r="G157" s="69">
        <v>0.95</v>
      </c>
      <c r="I157" s="123"/>
      <c r="J157" s="123"/>
    </row>
    <row r="158" spans="2:10">
      <c r="B158" s="68" t="s">
        <v>245</v>
      </c>
      <c r="C158" s="69">
        <v>15.5</v>
      </c>
      <c r="D158" s="69">
        <v>2.0099999999999998</v>
      </c>
      <c r="E158" s="69">
        <v>3.18</v>
      </c>
      <c r="F158" s="69">
        <v>10.199999999999999</v>
      </c>
      <c r="G158" s="69">
        <v>0.79</v>
      </c>
      <c r="I158" s="123"/>
      <c r="J158" s="123"/>
    </row>
    <row r="159" spans="2:10">
      <c r="B159" s="68" t="s">
        <v>246</v>
      </c>
      <c r="C159" s="69">
        <v>29.7</v>
      </c>
      <c r="D159" s="69">
        <v>1.98</v>
      </c>
      <c r="E159" s="69">
        <v>3.08</v>
      </c>
      <c r="F159" s="69">
        <v>10.199999999999999</v>
      </c>
      <c r="G159" s="69">
        <v>1.59</v>
      </c>
      <c r="I159" s="123"/>
      <c r="J159" s="123"/>
    </row>
    <row r="160" spans="2:10">
      <c r="B160" s="68" t="s">
        <v>247</v>
      </c>
      <c r="C160" s="69">
        <v>21.3</v>
      </c>
      <c r="D160" s="69">
        <v>1.99</v>
      </c>
      <c r="E160" s="69">
        <v>3.13</v>
      </c>
      <c r="F160" s="69">
        <v>10.199999999999999</v>
      </c>
      <c r="G160" s="69">
        <v>1.1100000000000001</v>
      </c>
      <c r="I160" s="123"/>
      <c r="J160" s="123"/>
    </row>
    <row r="161" spans="2:10">
      <c r="B161" s="68" t="s">
        <v>256</v>
      </c>
      <c r="C161" s="69">
        <v>24.2</v>
      </c>
      <c r="D161" s="69">
        <v>1.65</v>
      </c>
      <c r="E161" s="69">
        <v>2.09</v>
      </c>
      <c r="F161" s="69">
        <v>7.6</v>
      </c>
      <c r="G161" s="69">
        <v>1.27</v>
      </c>
      <c r="I161" s="123"/>
      <c r="J161" s="123"/>
    </row>
    <row r="162" spans="2:10">
      <c r="B162" s="68" t="s">
        <v>257</v>
      </c>
      <c r="C162" s="69">
        <v>12.5</v>
      </c>
      <c r="D162" s="69">
        <v>1.68</v>
      </c>
      <c r="E162" s="69">
        <v>2.1800000000000002</v>
      </c>
      <c r="F162" s="69">
        <v>7.6</v>
      </c>
      <c r="G162" s="69">
        <v>0.64</v>
      </c>
      <c r="I162" s="123"/>
      <c r="J162" s="123"/>
    </row>
    <row r="163" spans="2:10">
      <c r="B163" s="68" t="s">
        <v>258</v>
      </c>
      <c r="C163" s="69">
        <v>18.399999999999999</v>
      </c>
      <c r="D163" s="69">
        <v>1.66</v>
      </c>
      <c r="E163" s="69">
        <v>2.14</v>
      </c>
      <c r="F163" s="69">
        <v>7.6</v>
      </c>
      <c r="G163" s="69">
        <v>0.95</v>
      </c>
      <c r="I163" s="123"/>
      <c r="J163" s="123"/>
    </row>
    <row r="164" spans="2:10">
      <c r="B164" s="68" t="s">
        <v>259</v>
      </c>
      <c r="C164" s="69">
        <v>15.5</v>
      </c>
      <c r="D164" s="69">
        <v>1.67</v>
      </c>
      <c r="E164" s="69">
        <v>2.16</v>
      </c>
      <c r="F164" s="69">
        <v>7.6</v>
      </c>
      <c r="G164" s="69">
        <v>0.79</v>
      </c>
      <c r="I164" s="123"/>
      <c r="J164" s="123"/>
    </row>
    <row r="165" spans="2:10">
      <c r="B165" s="68" t="s">
        <v>260</v>
      </c>
      <c r="C165" s="69">
        <v>21.3</v>
      </c>
      <c r="D165" s="69">
        <v>1.65</v>
      </c>
      <c r="E165" s="69">
        <v>2.12</v>
      </c>
      <c r="F165" s="69">
        <v>7.6</v>
      </c>
      <c r="G165" s="69">
        <v>1.1100000000000001</v>
      </c>
      <c r="I165" s="123"/>
      <c r="J165" s="123"/>
    </row>
    <row r="166" spans="2:10">
      <c r="B166" s="68" t="s">
        <v>261</v>
      </c>
      <c r="C166" s="69">
        <v>25.8</v>
      </c>
      <c r="D166" s="69">
        <v>1.92</v>
      </c>
      <c r="E166" s="69">
        <v>2.56</v>
      </c>
      <c r="F166" s="69">
        <v>8.9</v>
      </c>
      <c r="G166" s="69">
        <v>1.27</v>
      </c>
      <c r="I166" s="123"/>
      <c r="J166" s="123"/>
    </row>
    <row r="167" spans="2:10">
      <c r="B167" s="68" t="s">
        <v>262</v>
      </c>
      <c r="C167" s="69">
        <v>13.3</v>
      </c>
      <c r="D167" s="69">
        <v>1.96</v>
      </c>
      <c r="E167" s="69">
        <v>2.65</v>
      </c>
      <c r="F167" s="69">
        <v>8.9</v>
      </c>
      <c r="G167" s="69">
        <v>0.64</v>
      </c>
      <c r="I167" s="123"/>
      <c r="J167" s="123"/>
    </row>
    <row r="168" spans="2:10">
      <c r="B168" s="68" t="s">
        <v>263</v>
      </c>
      <c r="C168" s="69">
        <v>37.5</v>
      </c>
      <c r="D168" s="69">
        <v>1.9</v>
      </c>
      <c r="E168" s="69">
        <v>2.48</v>
      </c>
      <c r="F168" s="69">
        <v>8.9</v>
      </c>
      <c r="G168" s="69">
        <v>1.9</v>
      </c>
      <c r="I168" s="123"/>
      <c r="J168" s="123"/>
    </row>
    <row r="169" spans="2:10">
      <c r="B169" s="68" t="s">
        <v>264</v>
      </c>
      <c r="C169" s="69">
        <v>19.7</v>
      </c>
      <c r="D169" s="69">
        <v>1.94</v>
      </c>
      <c r="E169" s="69">
        <v>2.6</v>
      </c>
      <c r="F169" s="69">
        <v>8.9</v>
      </c>
      <c r="G169" s="69">
        <v>0.95</v>
      </c>
      <c r="I169" s="123"/>
      <c r="J169" s="123"/>
    </row>
    <row r="170" spans="2:10">
      <c r="B170" s="68" t="s">
        <v>265</v>
      </c>
      <c r="C170" s="69">
        <v>16.5</v>
      </c>
      <c r="D170" s="69">
        <v>1.95</v>
      </c>
      <c r="E170" s="69">
        <v>2.63</v>
      </c>
      <c r="F170" s="69">
        <v>8.9</v>
      </c>
      <c r="G170" s="69">
        <v>0.79</v>
      </c>
      <c r="I170" s="123"/>
      <c r="J170" s="123"/>
    </row>
    <row r="171" spans="2:10">
      <c r="B171" s="68" t="s">
        <v>266</v>
      </c>
      <c r="C171" s="69">
        <v>31.8</v>
      </c>
      <c r="D171" s="69">
        <v>1.91</v>
      </c>
      <c r="E171" s="69">
        <v>2.52</v>
      </c>
      <c r="F171" s="69">
        <v>8.9</v>
      </c>
      <c r="G171" s="69">
        <v>1.59</v>
      </c>
    </row>
    <row r="172" spans="2:10">
      <c r="B172" s="68" t="s">
        <v>267</v>
      </c>
      <c r="C172" s="69">
        <v>30.6</v>
      </c>
      <c r="D172" s="69">
        <v>2.5</v>
      </c>
      <c r="E172" s="69">
        <v>3.91</v>
      </c>
      <c r="F172" s="69">
        <v>12.7</v>
      </c>
      <c r="G172" s="69">
        <v>1.27</v>
      </c>
    </row>
    <row r="173" spans="2:10">
      <c r="B173" s="68" t="s">
        <v>268</v>
      </c>
      <c r="C173" s="69">
        <v>44.8</v>
      </c>
      <c r="D173" s="69">
        <v>2.48</v>
      </c>
      <c r="E173" s="69">
        <v>3.82</v>
      </c>
      <c r="F173" s="69">
        <v>12.7</v>
      </c>
      <c r="G173" s="69">
        <v>1.9</v>
      </c>
    </row>
    <row r="174" spans="2:10">
      <c r="B174" s="68" t="s">
        <v>269</v>
      </c>
      <c r="C174" s="69">
        <v>23.3</v>
      </c>
      <c r="D174" s="69">
        <v>2.5099999999999998</v>
      </c>
      <c r="E174" s="69">
        <v>3.95</v>
      </c>
      <c r="F174" s="69">
        <v>12.7</v>
      </c>
      <c r="G174" s="69">
        <v>0.95</v>
      </c>
    </row>
    <row r="175" spans="2:10">
      <c r="B175" s="68" t="s">
        <v>270</v>
      </c>
      <c r="C175" s="69">
        <v>19.5</v>
      </c>
      <c r="D175" s="69">
        <v>2.52</v>
      </c>
      <c r="E175" s="69">
        <v>3.98</v>
      </c>
      <c r="F175" s="69">
        <v>12.7</v>
      </c>
      <c r="G175" s="69">
        <v>0.79</v>
      </c>
    </row>
    <row r="176" spans="2:10">
      <c r="B176" s="68" t="s">
        <v>271</v>
      </c>
      <c r="C176" s="69">
        <v>37.799999999999997</v>
      </c>
      <c r="D176" s="69">
        <v>2.48</v>
      </c>
      <c r="E176" s="69">
        <v>3.87</v>
      </c>
      <c r="F176" s="69">
        <v>12.7</v>
      </c>
      <c r="G176" s="69">
        <v>1.59</v>
      </c>
    </row>
    <row r="177" spans="2:7">
      <c r="B177" s="68" t="s">
        <v>272</v>
      </c>
      <c r="C177" s="69">
        <v>27</v>
      </c>
      <c r="D177" s="69">
        <v>2.5</v>
      </c>
      <c r="E177" s="69">
        <v>3.93</v>
      </c>
      <c r="F177" s="69">
        <v>12.7</v>
      </c>
      <c r="G177" s="69">
        <v>1.1100000000000001</v>
      </c>
    </row>
    <row r="178" spans="2:7">
      <c r="B178" s="68" t="s">
        <v>273</v>
      </c>
      <c r="C178" s="69">
        <v>51.5</v>
      </c>
      <c r="D178" s="69">
        <v>2.4700000000000002</v>
      </c>
      <c r="E178" s="69">
        <v>3.79</v>
      </c>
      <c r="F178" s="69">
        <v>12.7</v>
      </c>
      <c r="G178" s="69">
        <v>2.2200000000000002</v>
      </c>
    </row>
    <row r="179" spans="2:7">
      <c r="B179" s="68" t="s">
        <v>280</v>
      </c>
      <c r="C179" s="69">
        <v>29</v>
      </c>
      <c r="D179" s="69">
        <v>1.93</v>
      </c>
      <c r="E179" s="69">
        <v>2.4700000000000002</v>
      </c>
      <c r="F179" s="69">
        <v>8.9</v>
      </c>
      <c r="G179" s="69">
        <v>1.27</v>
      </c>
    </row>
    <row r="180" spans="2:7">
      <c r="B180" s="68" t="s">
        <v>281</v>
      </c>
      <c r="C180" s="69">
        <v>22.1</v>
      </c>
      <c r="D180" s="69">
        <v>1.95</v>
      </c>
      <c r="E180" s="69">
        <v>2.5099999999999998</v>
      </c>
      <c r="F180" s="69">
        <v>8.9</v>
      </c>
      <c r="G180" s="69">
        <v>0.95</v>
      </c>
    </row>
    <row r="181" spans="2:7">
      <c r="B181" s="68" t="s">
        <v>282</v>
      </c>
      <c r="C181" s="69">
        <v>18.5</v>
      </c>
      <c r="D181" s="69">
        <v>1.9</v>
      </c>
      <c r="E181" s="69">
        <v>2.54</v>
      </c>
      <c r="F181" s="69">
        <v>8.9</v>
      </c>
      <c r="G181" s="69">
        <v>0.79</v>
      </c>
    </row>
    <row r="182" spans="2:7">
      <c r="B182" s="68" t="s">
        <v>283</v>
      </c>
      <c r="C182" s="69">
        <v>30.6</v>
      </c>
      <c r="D182" s="69">
        <v>2.21</v>
      </c>
      <c r="E182" s="69">
        <v>2.94</v>
      </c>
      <c r="F182" s="69">
        <v>10.199999999999999</v>
      </c>
      <c r="G182" s="69">
        <v>1.27</v>
      </c>
    </row>
    <row r="183" spans="2:7">
      <c r="B183" s="68" t="s">
        <v>284</v>
      </c>
      <c r="C183" s="69">
        <v>44.8</v>
      </c>
      <c r="D183" s="69">
        <v>2.1800000000000002</v>
      </c>
      <c r="E183" s="69">
        <v>2.85</v>
      </c>
      <c r="F183" s="69">
        <v>10.199999999999999</v>
      </c>
      <c r="G183" s="69">
        <v>1.9</v>
      </c>
    </row>
    <row r="184" spans="2:7">
      <c r="B184" s="68" t="s">
        <v>285</v>
      </c>
      <c r="C184" s="69">
        <v>23.3</v>
      </c>
      <c r="D184" s="69">
        <v>2.23</v>
      </c>
      <c r="E184" s="69">
        <v>2.97</v>
      </c>
      <c r="F184" s="69">
        <v>10.199999999999999</v>
      </c>
      <c r="G184" s="69">
        <v>0.95</v>
      </c>
    </row>
    <row r="185" spans="2:7">
      <c r="B185" s="68" t="s">
        <v>286</v>
      </c>
      <c r="C185" s="69">
        <v>19.5</v>
      </c>
      <c r="D185" s="69">
        <v>2.2400000000000002</v>
      </c>
      <c r="E185" s="69">
        <v>3</v>
      </c>
      <c r="F185" s="69">
        <v>10.199999999999999</v>
      </c>
      <c r="G185" s="69">
        <v>0.79</v>
      </c>
    </row>
    <row r="186" spans="2:7">
      <c r="B186" s="68" t="s">
        <v>287</v>
      </c>
      <c r="C186" s="69">
        <v>37.799999999999997</v>
      </c>
      <c r="D186" s="69">
        <v>2.19</v>
      </c>
      <c r="E186" s="69">
        <v>2.9</v>
      </c>
      <c r="F186" s="69">
        <v>10.199999999999999</v>
      </c>
      <c r="G186" s="69">
        <v>1.59</v>
      </c>
    </row>
    <row r="187" spans="2:7">
      <c r="B187" s="68" t="s">
        <v>288</v>
      </c>
      <c r="C187" s="69">
        <v>27</v>
      </c>
      <c r="D187" s="69">
        <v>2.2200000000000002</v>
      </c>
      <c r="E187" s="69">
        <v>2.95</v>
      </c>
      <c r="F187" s="69">
        <v>10.199999999999999</v>
      </c>
      <c r="G187" s="69">
        <v>1.1100000000000001</v>
      </c>
    </row>
    <row r="188" spans="2:7">
      <c r="B188" s="68" t="s">
        <v>289</v>
      </c>
      <c r="C188" s="69">
        <v>51.5</v>
      </c>
      <c r="D188" s="69">
        <v>2.1800000000000002</v>
      </c>
      <c r="E188" s="69">
        <v>2.82</v>
      </c>
      <c r="F188" s="69">
        <v>10.199999999999999</v>
      </c>
      <c r="G188" s="69">
        <v>2.2200000000000002</v>
      </c>
    </row>
    <row r="189" spans="2:7">
      <c r="B189" s="68" t="s">
        <v>290</v>
      </c>
      <c r="C189" s="69">
        <v>34.200000000000003</v>
      </c>
      <c r="D189" s="69">
        <v>2.2000000000000002</v>
      </c>
      <c r="E189" s="69">
        <v>2.92</v>
      </c>
      <c r="F189" s="69">
        <v>10.199999999999999</v>
      </c>
      <c r="G189" s="69">
        <v>1.43</v>
      </c>
    </row>
    <row r="190" spans="2:7">
      <c r="B190" s="68" t="s">
        <v>291</v>
      </c>
      <c r="C190" s="69">
        <v>71</v>
      </c>
      <c r="D190" s="69">
        <v>2.97</v>
      </c>
      <c r="E190" s="69">
        <v>4.53</v>
      </c>
      <c r="F190" s="69">
        <v>15.2</v>
      </c>
      <c r="G190" s="69">
        <v>2.54</v>
      </c>
    </row>
    <row r="191" spans="2:7">
      <c r="B191" s="68" t="s">
        <v>292</v>
      </c>
      <c r="C191" s="69">
        <v>37.1</v>
      </c>
      <c r="D191" s="69">
        <v>3</v>
      </c>
      <c r="E191" s="69">
        <v>4.71</v>
      </c>
      <c r="F191" s="69">
        <v>15.2</v>
      </c>
      <c r="G191" s="69">
        <v>1.27</v>
      </c>
    </row>
    <row r="192" spans="2:7">
      <c r="B192" s="68" t="s">
        <v>293</v>
      </c>
      <c r="C192" s="69">
        <v>54.4</v>
      </c>
      <c r="D192" s="69">
        <v>2.97</v>
      </c>
      <c r="E192" s="69">
        <v>4.62</v>
      </c>
      <c r="F192" s="69">
        <v>15.2</v>
      </c>
      <c r="G192" s="69">
        <v>1.9</v>
      </c>
    </row>
    <row r="193" spans="2:7">
      <c r="B193" s="68" t="s">
        <v>294</v>
      </c>
      <c r="C193" s="69">
        <v>28.1</v>
      </c>
      <c r="D193" s="69">
        <v>3.02</v>
      </c>
      <c r="E193" s="69">
        <v>4.75</v>
      </c>
      <c r="F193" s="69">
        <v>15.2</v>
      </c>
      <c r="G193" s="69">
        <v>0.95</v>
      </c>
    </row>
    <row r="194" spans="2:7">
      <c r="B194" s="68" t="s">
        <v>295</v>
      </c>
      <c r="C194" s="69">
        <v>23.6</v>
      </c>
      <c r="D194" s="69">
        <v>3.05</v>
      </c>
      <c r="E194" s="69">
        <v>4.7699999999999996</v>
      </c>
      <c r="F194" s="69">
        <v>15.2</v>
      </c>
      <c r="G194" s="69">
        <v>0.79</v>
      </c>
    </row>
    <row r="195" spans="2:7">
      <c r="B195" s="68" t="s">
        <v>296</v>
      </c>
      <c r="C195" s="69">
        <v>45.9</v>
      </c>
      <c r="D195" s="69">
        <v>3</v>
      </c>
      <c r="E195" s="69">
        <v>4.67</v>
      </c>
      <c r="F195" s="69">
        <v>15.2</v>
      </c>
      <c r="G195" s="69">
        <v>1.59</v>
      </c>
    </row>
    <row r="196" spans="2:7">
      <c r="B196" s="68" t="s">
        <v>297</v>
      </c>
      <c r="C196" s="69">
        <v>32.6</v>
      </c>
      <c r="D196" s="69">
        <v>3.02</v>
      </c>
      <c r="E196" s="69">
        <v>4.7300000000000004</v>
      </c>
      <c r="F196" s="69">
        <v>15.2</v>
      </c>
      <c r="G196" s="69">
        <v>1.1100000000000001</v>
      </c>
    </row>
    <row r="197" spans="2:7">
      <c r="B197" s="68" t="s">
        <v>298</v>
      </c>
      <c r="C197" s="69">
        <v>62.8</v>
      </c>
      <c r="D197" s="69">
        <v>2.97</v>
      </c>
      <c r="E197" s="69">
        <v>4.58</v>
      </c>
      <c r="F197" s="69">
        <v>15.2</v>
      </c>
      <c r="G197" s="69">
        <v>2.2200000000000002</v>
      </c>
    </row>
    <row r="198" spans="2:7">
      <c r="B198" s="68" t="s">
        <v>299</v>
      </c>
      <c r="C198" s="69">
        <v>41.5</v>
      </c>
      <c r="D198" s="69">
        <v>3</v>
      </c>
      <c r="E198" s="69">
        <v>4.6900000000000004</v>
      </c>
      <c r="F198" s="69">
        <v>15.2</v>
      </c>
      <c r="G198" s="69">
        <v>1.43</v>
      </c>
    </row>
    <row r="199" spans="2:7">
      <c r="B199" s="68" t="s">
        <v>307</v>
      </c>
      <c r="C199" s="69">
        <v>33.9</v>
      </c>
      <c r="D199" s="69">
        <v>2.21</v>
      </c>
      <c r="E199" s="69">
        <v>2.85</v>
      </c>
      <c r="F199" s="69">
        <v>10.199999999999999</v>
      </c>
      <c r="G199" s="69">
        <v>1.27</v>
      </c>
    </row>
    <row r="200" spans="2:7">
      <c r="B200" s="68" t="s">
        <v>308</v>
      </c>
      <c r="C200" s="69">
        <v>49.6</v>
      </c>
      <c r="D200" s="69">
        <v>2.1800000000000002</v>
      </c>
      <c r="E200" s="69">
        <v>2.77</v>
      </c>
      <c r="F200" s="69">
        <v>10.199999999999999</v>
      </c>
      <c r="G200" s="69">
        <v>1.9</v>
      </c>
    </row>
    <row r="201" spans="2:7">
      <c r="B201" s="68" t="s">
        <v>309</v>
      </c>
      <c r="C201" s="69">
        <v>25.7</v>
      </c>
      <c r="D201" s="69">
        <v>2.2400000000000002</v>
      </c>
      <c r="E201" s="69">
        <v>2.89</v>
      </c>
      <c r="F201" s="69">
        <v>10.199999999999999</v>
      </c>
      <c r="G201" s="69">
        <v>0.95</v>
      </c>
    </row>
    <row r="202" spans="2:7">
      <c r="B202" s="68" t="s">
        <v>310</v>
      </c>
      <c r="C202" s="69">
        <v>41.8</v>
      </c>
      <c r="D202" s="69">
        <v>2.2000000000000002</v>
      </c>
      <c r="E202" s="69">
        <v>2.81</v>
      </c>
      <c r="F202" s="69">
        <v>10.199999999999999</v>
      </c>
      <c r="G202" s="69">
        <v>1.59</v>
      </c>
    </row>
    <row r="203" spans="2:7">
      <c r="B203" s="68" t="s">
        <v>316</v>
      </c>
      <c r="C203" s="69">
        <v>71</v>
      </c>
      <c r="D203" s="69">
        <v>2.15</v>
      </c>
      <c r="E203" s="69">
        <v>2.63</v>
      </c>
      <c r="F203" s="69">
        <v>10.199999999999999</v>
      </c>
      <c r="G203" s="69">
        <v>2.54</v>
      </c>
    </row>
    <row r="204" spans="2:7">
      <c r="B204" s="68" t="s">
        <v>317</v>
      </c>
      <c r="C204" s="69">
        <v>37.1</v>
      </c>
      <c r="D204" s="69">
        <v>2.2000000000000002</v>
      </c>
      <c r="E204" s="69">
        <v>2.77</v>
      </c>
      <c r="F204" s="69">
        <v>10.199999999999999</v>
      </c>
      <c r="G204" s="69">
        <v>1.27</v>
      </c>
    </row>
    <row r="205" spans="2:7">
      <c r="B205" s="68" t="s">
        <v>318</v>
      </c>
      <c r="C205" s="69">
        <v>54.4</v>
      </c>
      <c r="D205" s="69">
        <v>2.16</v>
      </c>
      <c r="E205" s="69">
        <v>2.69</v>
      </c>
      <c r="F205" s="69">
        <v>10.199999999999999</v>
      </c>
      <c r="G205" s="69">
        <v>1.9</v>
      </c>
    </row>
    <row r="206" spans="2:7">
      <c r="B206" s="68" t="s">
        <v>319</v>
      </c>
      <c r="C206" s="69">
        <v>41.5</v>
      </c>
      <c r="D206" s="69">
        <v>2.19</v>
      </c>
      <c r="E206" s="69">
        <v>2.75</v>
      </c>
      <c r="F206" s="69">
        <v>10.199999999999999</v>
      </c>
      <c r="G206" s="69">
        <v>1.43</v>
      </c>
    </row>
    <row r="207" spans="2:7">
      <c r="B207" s="68" t="s">
        <v>320</v>
      </c>
      <c r="C207" s="69">
        <v>83.9</v>
      </c>
      <c r="D207" s="69">
        <v>3.25</v>
      </c>
      <c r="E207" s="69">
        <v>4.37</v>
      </c>
      <c r="F207" s="69">
        <v>15.2</v>
      </c>
      <c r="G207" s="69">
        <v>2.54</v>
      </c>
    </row>
    <row r="208" spans="2:7">
      <c r="B208" s="68" t="s">
        <v>321</v>
      </c>
      <c r="C208" s="69">
        <v>43.5</v>
      </c>
      <c r="D208" s="69">
        <v>3.3</v>
      </c>
      <c r="E208" s="69">
        <v>4.54</v>
      </c>
      <c r="F208" s="69">
        <v>15.2</v>
      </c>
      <c r="G208" s="69">
        <v>1.27</v>
      </c>
    </row>
    <row r="209" spans="2:7">
      <c r="B209" s="68" t="s">
        <v>322</v>
      </c>
      <c r="C209" s="69">
        <v>64.099999999999994</v>
      </c>
      <c r="D209" s="69">
        <v>3.28</v>
      </c>
      <c r="E209" s="69">
        <v>4.45</v>
      </c>
      <c r="F209" s="69">
        <v>15.2</v>
      </c>
      <c r="G209" s="69">
        <v>1.9</v>
      </c>
    </row>
    <row r="210" spans="2:7">
      <c r="B210" s="68" t="s">
        <v>323</v>
      </c>
      <c r="C210" s="69">
        <v>53.9</v>
      </c>
      <c r="D210" s="69">
        <v>3.28</v>
      </c>
      <c r="E210" s="69">
        <v>4.5</v>
      </c>
      <c r="F210" s="69">
        <v>15.2</v>
      </c>
      <c r="G210" s="69">
        <v>1.59</v>
      </c>
    </row>
    <row r="211" spans="2:7">
      <c r="B211" s="68" t="s">
        <v>324</v>
      </c>
      <c r="C211" s="69">
        <v>38.299999999999997</v>
      </c>
      <c r="D211" s="69">
        <v>3.33</v>
      </c>
      <c r="E211" s="69">
        <v>4.55</v>
      </c>
      <c r="F211" s="69">
        <v>15.2</v>
      </c>
      <c r="G211" s="69">
        <v>1.1100000000000001</v>
      </c>
    </row>
    <row r="212" spans="2:7">
      <c r="B212" s="68" t="s">
        <v>325</v>
      </c>
      <c r="C212" s="69">
        <v>74.099999999999994</v>
      </c>
      <c r="D212" s="69">
        <v>3.25</v>
      </c>
      <c r="E212" s="69">
        <v>4.41</v>
      </c>
      <c r="F212" s="69">
        <v>15.2</v>
      </c>
      <c r="G212" s="69">
        <v>2.2200000000000002</v>
      </c>
    </row>
    <row r="213" spans="2:7">
      <c r="B213" s="68" t="s">
        <v>326</v>
      </c>
      <c r="C213" s="69">
        <v>48.8</v>
      </c>
      <c r="D213" s="69">
        <v>3.3</v>
      </c>
      <c r="E213" s="69">
        <v>4.51</v>
      </c>
      <c r="F213" s="69">
        <v>15.2</v>
      </c>
      <c r="G213" s="69">
        <v>1.43</v>
      </c>
    </row>
    <row r="214" spans="2:7">
      <c r="B214" s="68" t="s">
        <v>327</v>
      </c>
      <c r="C214" s="69">
        <v>96.8</v>
      </c>
      <c r="D214" s="69">
        <v>3.96</v>
      </c>
      <c r="E214" s="69">
        <v>6.17</v>
      </c>
      <c r="F214" s="69">
        <v>20.3</v>
      </c>
      <c r="G214" s="69">
        <v>2.54</v>
      </c>
    </row>
    <row r="215" spans="2:7">
      <c r="B215" s="68" t="s">
        <v>328</v>
      </c>
      <c r="C215" s="69">
        <v>50</v>
      </c>
      <c r="D215" s="69">
        <v>4.04</v>
      </c>
      <c r="E215" s="69">
        <v>6.36</v>
      </c>
      <c r="F215" s="69">
        <v>20.3</v>
      </c>
      <c r="G215" s="69">
        <v>1.27</v>
      </c>
    </row>
    <row r="216" spans="2:7">
      <c r="B216" s="68" t="s">
        <v>329</v>
      </c>
      <c r="C216" s="69">
        <v>108</v>
      </c>
      <c r="D216" s="69">
        <v>3.96</v>
      </c>
      <c r="E216" s="69">
        <v>6.14</v>
      </c>
      <c r="F216" s="69">
        <v>20.3</v>
      </c>
      <c r="G216" s="69">
        <v>2.86</v>
      </c>
    </row>
    <row r="217" spans="2:7">
      <c r="B217" s="68" t="s">
        <v>330</v>
      </c>
      <c r="C217" s="69">
        <v>73.8</v>
      </c>
      <c r="D217" s="69">
        <v>4.01</v>
      </c>
      <c r="E217" s="69">
        <v>6.26</v>
      </c>
      <c r="F217" s="69">
        <v>20.3</v>
      </c>
      <c r="G217" s="69">
        <v>1.9</v>
      </c>
    </row>
    <row r="218" spans="2:7">
      <c r="B218" s="68" t="s">
        <v>331</v>
      </c>
      <c r="C218" s="69">
        <v>62</v>
      </c>
      <c r="D218" s="69">
        <v>4.01</v>
      </c>
      <c r="E218" s="69">
        <v>6.31</v>
      </c>
      <c r="F218" s="69">
        <v>20.3</v>
      </c>
      <c r="G218" s="69">
        <v>1.59</v>
      </c>
    </row>
    <row r="219" spans="2:7">
      <c r="B219" s="68" t="s">
        <v>332</v>
      </c>
      <c r="C219" s="69">
        <v>85.4</v>
      </c>
      <c r="D219" s="69">
        <v>3.99</v>
      </c>
      <c r="E219" s="69">
        <v>6.22</v>
      </c>
      <c r="F219" s="69">
        <v>20.3</v>
      </c>
      <c r="G219" s="69">
        <v>2.2200000000000002</v>
      </c>
    </row>
    <row r="220" spans="2:7">
      <c r="B220" s="68" t="s">
        <v>333</v>
      </c>
      <c r="C220" s="69">
        <v>56</v>
      </c>
      <c r="D220" s="69">
        <v>4.04</v>
      </c>
      <c r="E220" s="69">
        <v>6.34</v>
      </c>
      <c r="F220" s="69">
        <v>20.3</v>
      </c>
      <c r="G220" s="69">
        <v>1.43</v>
      </c>
    </row>
    <row r="223" spans="2:7">
      <c r="D223" s="1" t="s">
        <v>580</v>
      </c>
    </row>
    <row r="225" spans="2:33">
      <c r="B225" s="1" t="s">
        <v>581</v>
      </c>
      <c r="D225" s="1" t="s">
        <v>545</v>
      </c>
      <c r="F225" s="1" t="s">
        <v>582</v>
      </c>
    </row>
    <row r="226" spans="2:33">
      <c r="B226" s="1" t="s">
        <v>547</v>
      </c>
      <c r="C226" s="1" t="s">
        <v>583</v>
      </c>
      <c r="D226" s="1" t="s">
        <v>584</v>
      </c>
      <c r="E226" s="1" t="s">
        <v>348</v>
      </c>
      <c r="F226" s="1" t="s">
        <v>584</v>
      </c>
      <c r="G226" s="1" t="s">
        <v>348</v>
      </c>
    </row>
    <row r="227" spans="2:33">
      <c r="B227" s="132"/>
      <c r="C227" s="133"/>
      <c r="E227" s="133"/>
      <c r="G227" s="133"/>
    </row>
    <row r="228" spans="2:33">
      <c r="B228" s="132"/>
      <c r="C228" s="133"/>
      <c r="E228" s="133"/>
      <c r="G228" s="133"/>
    </row>
    <row r="229" spans="2:33">
      <c r="B229" s="132" t="s">
        <v>585</v>
      </c>
      <c r="C229" s="133">
        <v>12.7</v>
      </c>
      <c r="D229" s="1">
        <v>0.19700000000000001</v>
      </c>
      <c r="E229" s="133">
        <v>1.2667686977437442</v>
      </c>
      <c r="F229" s="1">
        <v>0.14199999999999999</v>
      </c>
      <c r="G229" s="133">
        <v>0.91612719999999992</v>
      </c>
    </row>
    <row r="230" spans="2:33">
      <c r="B230" s="132" t="s">
        <v>586</v>
      </c>
      <c r="C230" s="133">
        <v>15.875</v>
      </c>
      <c r="D230" s="1">
        <v>0.307</v>
      </c>
      <c r="E230" s="133">
        <v>1.9793260902246004</v>
      </c>
      <c r="F230" s="1">
        <v>0.22600000000000001</v>
      </c>
      <c r="G230" s="133">
        <v>1.4580616</v>
      </c>
    </row>
    <row r="231" spans="2:33">
      <c r="B231" s="132" t="s">
        <v>587</v>
      </c>
      <c r="C231" s="133">
        <v>19.049999999999997</v>
      </c>
      <c r="D231" s="1">
        <v>0.442</v>
      </c>
      <c r="E231" s="133">
        <v>2.8502295699234241</v>
      </c>
      <c r="F231" s="1">
        <v>0.33400000000000002</v>
      </c>
      <c r="G231" s="133">
        <v>2.1548343999999999</v>
      </c>
    </row>
    <row r="232" spans="2:33">
      <c r="B232" s="132" t="s">
        <v>588</v>
      </c>
      <c r="C232" s="133">
        <v>22.224999999999998</v>
      </c>
      <c r="D232" s="1">
        <v>0.60099999999999998</v>
      </c>
      <c r="E232" s="133">
        <v>3.8794791368402164</v>
      </c>
      <c r="F232" s="1">
        <v>0.46200000000000002</v>
      </c>
      <c r="G232" s="133">
        <v>2.9806392000000002</v>
      </c>
    </row>
    <row r="233" spans="2:33">
      <c r="B233" s="132" t="s">
        <v>589</v>
      </c>
      <c r="C233" s="133">
        <v>25.4</v>
      </c>
      <c r="D233" s="1">
        <v>0.78500000000000003</v>
      </c>
      <c r="E233" s="133">
        <v>5.0670747909749769</v>
      </c>
      <c r="F233" s="1">
        <v>0.60599999999999998</v>
      </c>
      <c r="G233" s="133">
        <v>3.9096696</v>
      </c>
    </row>
    <row r="234" spans="2:33">
      <c r="B234" s="132" t="s">
        <v>590</v>
      </c>
      <c r="C234" s="133">
        <v>28.574999999999999</v>
      </c>
      <c r="D234" s="1">
        <v>0.99399999999999999</v>
      </c>
      <c r="E234" s="133">
        <v>6.4130165323277062</v>
      </c>
      <c r="F234" s="1">
        <v>0.76800000000000002</v>
      </c>
      <c r="G234" s="133">
        <v>4.9548288000000005</v>
      </c>
    </row>
    <row r="235" spans="2:33">
      <c r="B235" s="132" t="s">
        <v>591</v>
      </c>
      <c r="C235" s="133">
        <v>31.75</v>
      </c>
      <c r="D235" s="1">
        <v>1.2270000000000001</v>
      </c>
      <c r="E235" s="133">
        <v>7.9173043608984015</v>
      </c>
      <c r="F235" s="1">
        <v>0.96899999999999997</v>
      </c>
      <c r="G235" s="133">
        <v>6.2516004000000001</v>
      </c>
    </row>
    <row r="236" spans="2:33">
      <c r="B236" s="132" t="s">
        <v>592</v>
      </c>
      <c r="C236" s="133">
        <v>38.099999999999994</v>
      </c>
      <c r="D236" s="1">
        <v>1.7669999999999999</v>
      </c>
      <c r="E236" s="133">
        <v>11.400918279693697</v>
      </c>
      <c r="F236" s="1">
        <v>1.41</v>
      </c>
      <c r="G236" s="133">
        <v>9.0967559999999992</v>
      </c>
    </row>
    <row r="238" spans="2:33" s="9" customFormat="1">
      <c r="B238" s="145" t="s">
        <v>581</v>
      </c>
      <c r="C238" s="145" t="s">
        <v>681</v>
      </c>
      <c r="D238" s="193" t="s">
        <v>682</v>
      </c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</row>
    <row r="239" spans="2:33" s="9" customFormat="1">
      <c r="B239" s="145" t="s">
        <v>583</v>
      </c>
      <c r="C239" s="145" t="s">
        <v>348</v>
      </c>
      <c r="D239" s="145">
        <v>1</v>
      </c>
      <c r="E239" s="145">
        <f t="shared" ref="E239:AG239" si="1">+D239+1</f>
        <v>2</v>
      </c>
      <c r="F239" s="145">
        <f t="shared" si="1"/>
        <v>3</v>
      </c>
      <c r="G239" s="145">
        <f t="shared" si="1"/>
        <v>4</v>
      </c>
      <c r="H239" s="145">
        <f t="shared" si="1"/>
        <v>5</v>
      </c>
      <c r="I239" s="145">
        <f t="shared" si="1"/>
        <v>6</v>
      </c>
      <c r="J239" s="145">
        <f t="shared" si="1"/>
        <v>7</v>
      </c>
      <c r="K239" s="145">
        <f t="shared" si="1"/>
        <v>8</v>
      </c>
      <c r="L239" s="145">
        <f t="shared" si="1"/>
        <v>9</v>
      </c>
      <c r="M239" s="145">
        <f t="shared" si="1"/>
        <v>10</v>
      </c>
      <c r="N239" s="145">
        <f t="shared" si="1"/>
        <v>11</v>
      </c>
      <c r="O239" s="145">
        <f t="shared" si="1"/>
        <v>12</v>
      </c>
      <c r="P239" s="145">
        <f t="shared" si="1"/>
        <v>13</v>
      </c>
      <c r="Q239" s="145">
        <f t="shared" si="1"/>
        <v>14</v>
      </c>
      <c r="R239" s="145">
        <f t="shared" si="1"/>
        <v>15</v>
      </c>
      <c r="S239" s="145">
        <f t="shared" si="1"/>
        <v>16</v>
      </c>
      <c r="T239" s="145">
        <f t="shared" si="1"/>
        <v>17</v>
      </c>
      <c r="U239" s="145">
        <f t="shared" si="1"/>
        <v>18</v>
      </c>
      <c r="V239" s="145">
        <f t="shared" si="1"/>
        <v>19</v>
      </c>
      <c r="W239" s="145">
        <f t="shared" si="1"/>
        <v>20</v>
      </c>
      <c r="X239" s="145">
        <f t="shared" si="1"/>
        <v>21</v>
      </c>
      <c r="Y239" s="145">
        <f t="shared" si="1"/>
        <v>22</v>
      </c>
      <c r="Z239" s="145">
        <f t="shared" si="1"/>
        <v>23</v>
      </c>
      <c r="AA239" s="145">
        <f t="shared" si="1"/>
        <v>24</v>
      </c>
      <c r="AB239" s="145">
        <f t="shared" si="1"/>
        <v>25</v>
      </c>
      <c r="AC239" s="145">
        <f t="shared" si="1"/>
        <v>26</v>
      </c>
      <c r="AD239" s="145">
        <f t="shared" si="1"/>
        <v>27</v>
      </c>
      <c r="AE239" s="145">
        <f t="shared" si="1"/>
        <v>28</v>
      </c>
      <c r="AF239" s="145">
        <f t="shared" si="1"/>
        <v>29</v>
      </c>
      <c r="AG239" s="145">
        <f t="shared" si="1"/>
        <v>30</v>
      </c>
    </row>
    <row r="240" spans="2:33" s="9" customFormat="1">
      <c r="B240" s="145">
        <v>6</v>
      </c>
      <c r="C240" s="146">
        <f t="shared" ref="C240:C250" si="2">PI()*(B240/10)^2/4</f>
        <v>0.28274333882308139</v>
      </c>
      <c r="D240" s="147">
        <f t="shared" ref="D240:M250" si="3">$C240*D$239</f>
        <v>0.28274333882308139</v>
      </c>
      <c r="E240" s="147">
        <f t="shared" si="3"/>
        <v>0.56548667764616278</v>
      </c>
      <c r="F240" s="147">
        <f t="shared" si="3"/>
        <v>0.84823001646924423</v>
      </c>
      <c r="G240" s="147">
        <f t="shared" si="3"/>
        <v>1.1309733552923256</v>
      </c>
      <c r="H240" s="147">
        <f t="shared" si="3"/>
        <v>1.4137166941154069</v>
      </c>
      <c r="I240" s="147">
        <f t="shared" si="3"/>
        <v>1.6964600329384885</v>
      </c>
      <c r="J240" s="147">
        <f t="shared" si="3"/>
        <v>1.9792033717615698</v>
      </c>
      <c r="K240" s="147">
        <f t="shared" si="3"/>
        <v>2.2619467105846511</v>
      </c>
      <c r="L240" s="147">
        <f t="shared" si="3"/>
        <v>2.5446900494077327</v>
      </c>
      <c r="M240" s="147">
        <f t="shared" si="3"/>
        <v>2.8274333882308138</v>
      </c>
      <c r="N240" s="147">
        <f t="shared" ref="N240:W250" si="4">$C240*N$239</f>
        <v>3.1101767270538954</v>
      </c>
      <c r="O240" s="147">
        <f t="shared" si="4"/>
        <v>3.3929200658769769</v>
      </c>
      <c r="P240" s="147">
        <f t="shared" si="4"/>
        <v>3.675663404700058</v>
      </c>
      <c r="Q240" s="147">
        <f t="shared" si="4"/>
        <v>3.9584067435231396</v>
      </c>
      <c r="R240" s="147">
        <f t="shared" si="4"/>
        <v>4.2411500823462207</v>
      </c>
      <c r="S240" s="147">
        <f t="shared" si="4"/>
        <v>4.5238934211693023</v>
      </c>
      <c r="T240" s="147">
        <f t="shared" si="4"/>
        <v>4.8066367599923838</v>
      </c>
      <c r="U240" s="147">
        <f t="shared" si="4"/>
        <v>5.0893800988154654</v>
      </c>
      <c r="V240" s="147">
        <f t="shared" si="4"/>
        <v>5.3721234376385461</v>
      </c>
      <c r="W240" s="147">
        <f t="shared" si="4"/>
        <v>5.6548667764616276</v>
      </c>
      <c r="X240" s="147">
        <f t="shared" ref="X240:AG250" si="5">$C240*X$239</f>
        <v>5.9376101152847092</v>
      </c>
      <c r="Y240" s="147">
        <f t="shared" si="5"/>
        <v>6.2203534541077907</v>
      </c>
      <c r="Z240" s="147">
        <f t="shared" si="5"/>
        <v>6.5030967929308723</v>
      </c>
      <c r="AA240" s="147">
        <f t="shared" si="5"/>
        <v>6.7858401317539538</v>
      </c>
      <c r="AB240" s="147">
        <f t="shared" si="5"/>
        <v>7.0685834705770345</v>
      </c>
      <c r="AC240" s="147">
        <f t="shared" si="5"/>
        <v>7.3513268094001161</v>
      </c>
      <c r="AD240" s="147">
        <f t="shared" si="5"/>
        <v>7.6340701482231976</v>
      </c>
      <c r="AE240" s="147">
        <f t="shared" si="5"/>
        <v>7.9168134870462792</v>
      </c>
      <c r="AF240" s="147">
        <f t="shared" si="5"/>
        <v>8.1995568258693599</v>
      </c>
      <c r="AG240" s="147">
        <f t="shared" si="5"/>
        <v>8.4823001646924414</v>
      </c>
    </row>
    <row r="241" spans="2:33" s="9" customFormat="1">
      <c r="B241" s="145">
        <v>8</v>
      </c>
      <c r="C241" s="146">
        <f t="shared" si="2"/>
        <v>0.50265482457436694</v>
      </c>
      <c r="D241" s="147">
        <f t="shared" si="3"/>
        <v>0.50265482457436694</v>
      </c>
      <c r="E241" s="147">
        <f t="shared" si="3"/>
        <v>1.0053096491487339</v>
      </c>
      <c r="F241" s="147">
        <f t="shared" si="3"/>
        <v>1.5079644737231008</v>
      </c>
      <c r="G241" s="147">
        <f t="shared" si="3"/>
        <v>2.0106192982974678</v>
      </c>
      <c r="H241" s="147">
        <f t="shared" si="3"/>
        <v>2.5132741228718345</v>
      </c>
      <c r="I241" s="147">
        <f t="shared" si="3"/>
        <v>3.0159289474462017</v>
      </c>
      <c r="J241" s="147">
        <f t="shared" si="3"/>
        <v>3.5185837720205688</v>
      </c>
      <c r="K241" s="147">
        <f t="shared" si="3"/>
        <v>4.0212385965949355</v>
      </c>
      <c r="L241" s="147">
        <f t="shared" si="3"/>
        <v>4.5238934211693023</v>
      </c>
      <c r="M241" s="147">
        <f t="shared" si="3"/>
        <v>5.026548245743669</v>
      </c>
      <c r="N241" s="147">
        <f t="shared" si="4"/>
        <v>5.5292030703180366</v>
      </c>
      <c r="O241" s="147">
        <f t="shared" si="4"/>
        <v>6.0318578948924033</v>
      </c>
      <c r="P241" s="147">
        <f t="shared" si="4"/>
        <v>6.53451271946677</v>
      </c>
      <c r="Q241" s="147">
        <f t="shared" si="4"/>
        <v>7.0371675440411376</v>
      </c>
      <c r="R241" s="147">
        <f t="shared" si="4"/>
        <v>7.5398223686155044</v>
      </c>
      <c r="S241" s="147">
        <f t="shared" si="4"/>
        <v>8.0424771931898711</v>
      </c>
      <c r="T241" s="147">
        <f t="shared" si="4"/>
        <v>8.5451320177642387</v>
      </c>
      <c r="U241" s="147">
        <f t="shared" si="4"/>
        <v>9.0477868423386045</v>
      </c>
      <c r="V241" s="147">
        <f t="shared" si="4"/>
        <v>9.5504416669129721</v>
      </c>
      <c r="W241" s="147">
        <f t="shared" si="4"/>
        <v>10.053096491487338</v>
      </c>
      <c r="X241" s="147">
        <f t="shared" si="5"/>
        <v>10.555751316061706</v>
      </c>
      <c r="Y241" s="147">
        <f t="shared" si="5"/>
        <v>11.058406140636073</v>
      </c>
      <c r="Z241" s="147">
        <f t="shared" si="5"/>
        <v>11.561060965210439</v>
      </c>
      <c r="AA241" s="147">
        <f t="shared" si="5"/>
        <v>12.063715789784807</v>
      </c>
      <c r="AB241" s="147">
        <f t="shared" si="5"/>
        <v>12.566370614359174</v>
      </c>
      <c r="AC241" s="147">
        <f t="shared" si="5"/>
        <v>13.06902543893354</v>
      </c>
      <c r="AD241" s="147">
        <f t="shared" si="5"/>
        <v>13.571680263507908</v>
      </c>
      <c r="AE241" s="147">
        <f t="shared" si="5"/>
        <v>14.074335088082275</v>
      </c>
      <c r="AF241" s="147">
        <f t="shared" si="5"/>
        <v>14.576989912656641</v>
      </c>
      <c r="AG241" s="147">
        <f t="shared" si="5"/>
        <v>15.079644737231009</v>
      </c>
    </row>
    <row r="242" spans="2:33" s="9" customFormat="1">
      <c r="B242" s="145">
        <v>10</v>
      </c>
      <c r="C242" s="146">
        <f t="shared" si="2"/>
        <v>0.78539816339744828</v>
      </c>
      <c r="D242" s="147">
        <f t="shared" si="3"/>
        <v>0.78539816339744828</v>
      </c>
      <c r="E242" s="147">
        <f t="shared" si="3"/>
        <v>1.5707963267948966</v>
      </c>
      <c r="F242" s="147">
        <f t="shared" si="3"/>
        <v>2.3561944901923448</v>
      </c>
      <c r="G242" s="147">
        <f t="shared" si="3"/>
        <v>3.1415926535897931</v>
      </c>
      <c r="H242" s="147">
        <f t="shared" si="3"/>
        <v>3.9269908169872414</v>
      </c>
      <c r="I242" s="147">
        <f t="shared" si="3"/>
        <v>4.7123889803846897</v>
      </c>
      <c r="J242" s="147">
        <f t="shared" si="3"/>
        <v>5.497787143782138</v>
      </c>
      <c r="K242" s="147">
        <f t="shared" si="3"/>
        <v>6.2831853071795862</v>
      </c>
      <c r="L242" s="147">
        <f t="shared" si="3"/>
        <v>7.0685834705770345</v>
      </c>
      <c r="M242" s="147">
        <f t="shared" si="3"/>
        <v>7.8539816339744828</v>
      </c>
      <c r="N242" s="147">
        <f t="shared" si="4"/>
        <v>8.6393797973719302</v>
      </c>
      <c r="O242" s="147">
        <f t="shared" si="4"/>
        <v>9.4247779607693793</v>
      </c>
      <c r="P242" s="147">
        <f t="shared" si="4"/>
        <v>10.210176124166829</v>
      </c>
      <c r="Q242" s="147">
        <f t="shared" si="4"/>
        <v>10.995574287564276</v>
      </c>
      <c r="R242" s="147">
        <f t="shared" si="4"/>
        <v>11.780972450961723</v>
      </c>
      <c r="S242" s="147">
        <f t="shared" si="4"/>
        <v>12.566370614359172</v>
      </c>
      <c r="T242" s="147">
        <f t="shared" si="4"/>
        <v>13.351768777756622</v>
      </c>
      <c r="U242" s="147">
        <f t="shared" si="4"/>
        <v>14.137166941154069</v>
      </c>
      <c r="V242" s="147">
        <f t="shared" si="4"/>
        <v>14.922565104551516</v>
      </c>
      <c r="W242" s="147">
        <f t="shared" si="4"/>
        <v>15.707963267948966</v>
      </c>
      <c r="X242" s="147">
        <f t="shared" si="5"/>
        <v>16.493361431346415</v>
      </c>
      <c r="Y242" s="147">
        <f t="shared" si="5"/>
        <v>17.27875959474386</v>
      </c>
      <c r="Z242" s="147">
        <f t="shared" si="5"/>
        <v>18.06415775814131</v>
      </c>
      <c r="AA242" s="147">
        <f t="shared" si="5"/>
        <v>18.849555921538759</v>
      </c>
      <c r="AB242" s="147">
        <f t="shared" si="5"/>
        <v>19.634954084936208</v>
      </c>
      <c r="AC242" s="147">
        <f t="shared" si="5"/>
        <v>20.420352248333657</v>
      </c>
      <c r="AD242" s="147">
        <f t="shared" si="5"/>
        <v>21.205750411731103</v>
      </c>
      <c r="AE242" s="147">
        <f t="shared" si="5"/>
        <v>21.991148575128552</v>
      </c>
      <c r="AF242" s="147">
        <f t="shared" si="5"/>
        <v>22.776546738526001</v>
      </c>
      <c r="AG242" s="147">
        <f t="shared" si="5"/>
        <v>23.561944901923447</v>
      </c>
    </row>
    <row r="243" spans="2:33" s="9" customFormat="1">
      <c r="B243" s="145">
        <v>12</v>
      </c>
      <c r="C243" s="146">
        <f t="shared" si="2"/>
        <v>1.1309733552923256</v>
      </c>
      <c r="D243" s="147">
        <f t="shared" si="3"/>
        <v>1.1309733552923256</v>
      </c>
      <c r="E243" s="147">
        <f t="shared" si="3"/>
        <v>2.2619467105846511</v>
      </c>
      <c r="F243" s="147">
        <f t="shared" si="3"/>
        <v>3.3929200658769769</v>
      </c>
      <c r="G243" s="147">
        <f t="shared" si="3"/>
        <v>4.5238934211693023</v>
      </c>
      <c r="H243" s="147">
        <f t="shared" si="3"/>
        <v>5.6548667764616276</v>
      </c>
      <c r="I243" s="147">
        <f t="shared" si="3"/>
        <v>6.7858401317539538</v>
      </c>
      <c r="J243" s="147">
        <f t="shared" si="3"/>
        <v>7.9168134870462792</v>
      </c>
      <c r="K243" s="147">
        <f t="shared" si="3"/>
        <v>9.0477868423386045</v>
      </c>
      <c r="L243" s="147">
        <f t="shared" si="3"/>
        <v>10.178760197630931</v>
      </c>
      <c r="M243" s="147">
        <f t="shared" si="3"/>
        <v>11.309733552923255</v>
      </c>
      <c r="N243" s="147">
        <f t="shared" si="4"/>
        <v>12.440706908215581</v>
      </c>
      <c r="O243" s="147">
        <f t="shared" si="4"/>
        <v>13.571680263507908</v>
      </c>
      <c r="P243" s="147">
        <f t="shared" si="4"/>
        <v>14.702653618800232</v>
      </c>
      <c r="Q243" s="147">
        <f t="shared" si="4"/>
        <v>15.833626974092558</v>
      </c>
      <c r="R243" s="147">
        <f t="shared" si="4"/>
        <v>16.964600329384883</v>
      </c>
      <c r="S243" s="147">
        <f t="shared" si="4"/>
        <v>18.095573684677209</v>
      </c>
      <c r="T243" s="147">
        <f t="shared" si="4"/>
        <v>19.226547039969535</v>
      </c>
      <c r="U243" s="147">
        <f t="shared" si="4"/>
        <v>20.357520395261862</v>
      </c>
      <c r="V243" s="147">
        <f t="shared" si="4"/>
        <v>21.488493750554184</v>
      </c>
      <c r="W243" s="147">
        <f t="shared" si="4"/>
        <v>22.61946710584651</v>
      </c>
      <c r="X243" s="147">
        <f t="shared" si="5"/>
        <v>23.750440461138837</v>
      </c>
      <c r="Y243" s="147">
        <f t="shared" si="5"/>
        <v>24.881413816431163</v>
      </c>
      <c r="Z243" s="147">
        <f t="shared" si="5"/>
        <v>26.012387171723489</v>
      </c>
      <c r="AA243" s="147">
        <f t="shared" si="5"/>
        <v>27.143360527015815</v>
      </c>
      <c r="AB243" s="147">
        <f t="shared" si="5"/>
        <v>28.274333882308138</v>
      </c>
      <c r="AC243" s="147">
        <f t="shared" si="5"/>
        <v>29.405307237600464</v>
      </c>
      <c r="AD243" s="147">
        <f t="shared" si="5"/>
        <v>30.536280592892791</v>
      </c>
      <c r="AE243" s="147">
        <f t="shared" si="5"/>
        <v>31.667253948185117</v>
      </c>
      <c r="AF243" s="147">
        <f t="shared" si="5"/>
        <v>32.798227303477439</v>
      </c>
      <c r="AG243" s="147">
        <f t="shared" si="5"/>
        <v>33.929200658769766</v>
      </c>
    </row>
    <row r="244" spans="2:33" s="9" customFormat="1">
      <c r="B244" s="145">
        <v>16</v>
      </c>
      <c r="C244" s="146">
        <f t="shared" si="2"/>
        <v>2.0106192982974678</v>
      </c>
      <c r="D244" s="147">
        <f t="shared" si="3"/>
        <v>2.0106192982974678</v>
      </c>
      <c r="E244" s="147">
        <f t="shared" si="3"/>
        <v>4.0212385965949355</v>
      </c>
      <c r="F244" s="147">
        <f t="shared" si="3"/>
        <v>6.0318578948924033</v>
      </c>
      <c r="G244" s="147">
        <f t="shared" si="3"/>
        <v>8.0424771931898711</v>
      </c>
      <c r="H244" s="147">
        <f t="shared" si="3"/>
        <v>10.053096491487338</v>
      </c>
      <c r="I244" s="147">
        <f t="shared" si="3"/>
        <v>12.063715789784807</v>
      </c>
      <c r="J244" s="147">
        <f t="shared" si="3"/>
        <v>14.074335088082275</v>
      </c>
      <c r="K244" s="147">
        <f t="shared" si="3"/>
        <v>16.084954386379742</v>
      </c>
      <c r="L244" s="147">
        <f t="shared" si="3"/>
        <v>18.095573684677209</v>
      </c>
      <c r="M244" s="147">
        <f t="shared" si="3"/>
        <v>20.106192982974676</v>
      </c>
      <c r="N244" s="147">
        <f t="shared" si="4"/>
        <v>22.116812281272146</v>
      </c>
      <c r="O244" s="147">
        <f t="shared" si="4"/>
        <v>24.127431579569613</v>
      </c>
      <c r="P244" s="147">
        <f t="shared" si="4"/>
        <v>26.13805087786708</v>
      </c>
      <c r="Q244" s="147">
        <f t="shared" si="4"/>
        <v>28.148670176164551</v>
      </c>
      <c r="R244" s="147">
        <f t="shared" si="4"/>
        <v>30.159289474462017</v>
      </c>
      <c r="S244" s="147">
        <f t="shared" si="4"/>
        <v>32.169908772759484</v>
      </c>
      <c r="T244" s="147">
        <f t="shared" si="4"/>
        <v>34.180528071056955</v>
      </c>
      <c r="U244" s="147">
        <f t="shared" si="4"/>
        <v>36.191147369354418</v>
      </c>
      <c r="V244" s="147">
        <f t="shared" si="4"/>
        <v>38.201766667651889</v>
      </c>
      <c r="W244" s="147">
        <f t="shared" si="4"/>
        <v>40.212385965949352</v>
      </c>
      <c r="X244" s="147">
        <f t="shared" si="5"/>
        <v>42.223005264246822</v>
      </c>
      <c r="Y244" s="147">
        <f t="shared" si="5"/>
        <v>44.233624562544293</v>
      </c>
      <c r="Z244" s="147">
        <f t="shared" si="5"/>
        <v>46.244243860841756</v>
      </c>
      <c r="AA244" s="147">
        <f t="shared" si="5"/>
        <v>48.254863159139227</v>
      </c>
      <c r="AB244" s="147">
        <f t="shared" si="5"/>
        <v>50.265482457436697</v>
      </c>
      <c r="AC244" s="147">
        <f t="shared" si="5"/>
        <v>52.27610175573416</v>
      </c>
      <c r="AD244" s="147">
        <f t="shared" si="5"/>
        <v>54.286721054031631</v>
      </c>
      <c r="AE244" s="147">
        <f t="shared" si="5"/>
        <v>56.297340352329101</v>
      </c>
      <c r="AF244" s="147">
        <f t="shared" si="5"/>
        <v>58.307959650626564</v>
      </c>
      <c r="AG244" s="147">
        <f t="shared" si="5"/>
        <v>60.318578948924035</v>
      </c>
    </row>
    <row r="245" spans="2:33" s="9" customFormat="1">
      <c r="B245" s="145">
        <v>18</v>
      </c>
      <c r="C245" s="146">
        <f t="shared" si="2"/>
        <v>2.5446900494077327</v>
      </c>
      <c r="D245" s="147">
        <f t="shared" si="3"/>
        <v>2.5446900494077327</v>
      </c>
      <c r="E245" s="147">
        <f t="shared" si="3"/>
        <v>5.0893800988154654</v>
      </c>
      <c r="F245" s="147">
        <f t="shared" si="3"/>
        <v>7.6340701482231985</v>
      </c>
      <c r="G245" s="147">
        <f t="shared" si="3"/>
        <v>10.178760197630931</v>
      </c>
      <c r="H245" s="147">
        <f t="shared" si="3"/>
        <v>12.723450247038663</v>
      </c>
      <c r="I245" s="147">
        <f t="shared" si="3"/>
        <v>15.268140296446397</v>
      </c>
      <c r="J245" s="147">
        <f t="shared" si="3"/>
        <v>17.812830345854128</v>
      </c>
      <c r="K245" s="147">
        <f t="shared" si="3"/>
        <v>20.357520395261862</v>
      </c>
      <c r="L245" s="147">
        <f t="shared" si="3"/>
        <v>22.902210444669596</v>
      </c>
      <c r="M245" s="147">
        <f t="shared" si="3"/>
        <v>25.446900494077326</v>
      </c>
      <c r="N245" s="147">
        <f t="shared" si="4"/>
        <v>27.99159054348506</v>
      </c>
      <c r="O245" s="147">
        <f t="shared" si="4"/>
        <v>30.536280592892794</v>
      </c>
      <c r="P245" s="147">
        <f t="shared" si="4"/>
        <v>33.080970642300528</v>
      </c>
      <c r="Q245" s="147">
        <f t="shared" si="4"/>
        <v>35.625660691708255</v>
      </c>
      <c r="R245" s="147">
        <f t="shared" si="4"/>
        <v>38.170350741115989</v>
      </c>
      <c r="S245" s="147">
        <f t="shared" si="4"/>
        <v>40.715040790523723</v>
      </c>
      <c r="T245" s="147">
        <f t="shared" si="4"/>
        <v>43.259730839931457</v>
      </c>
      <c r="U245" s="147">
        <f t="shared" si="4"/>
        <v>45.804420889339191</v>
      </c>
      <c r="V245" s="147">
        <f t="shared" si="4"/>
        <v>48.349110938746918</v>
      </c>
      <c r="W245" s="147">
        <f t="shared" si="4"/>
        <v>50.893800988154652</v>
      </c>
      <c r="X245" s="147">
        <f t="shared" si="5"/>
        <v>53.438491037562386</v>
      </c>
      <c r="Y245" s="147">
        <f t="shared" si="5"/>
        <v>55.98318108697012</v>
      </c>
      <c r="Z245" s="147">
        <f t="shared" si="5"/>
        <v>58.527871136377854</v>
      </c>
      <c r="AA245" s="147">
        <f t="shared" si="5"/>
        <v>61.072561185785588</v>
      </c>
      <c r="AB245" s="147">
        <f t="shared" si="5"/>
        <v>63.617251235193315</v>
      </c>
      <c r="AC245" s="147">
        <f t="shared" si="5"/>
        <v>66.161941284601056</v>
      </c>
      <c r="AD245" s="147">
        <f t="shared" si="5"/>
        <v>68.706631334008776</v>
      </c>
      <c r="AE245" s="147">
        <f t="shared" si="5"/>
        <v>71.25132138341651</v>
      </c>
      <c r="AF245" s="147">
        <f t="shared" si="5"/>
        <v>73.796011432824244</v>
      </c>
      <c r="AG245" s="147">
        <f t="shared" si="5"/>
        <v>76.340701482231978</v>
      </c>
    </row>
    <row r="246" spans="2:33" s="9" customFormat="1">
      <c r="B246" s="145">
        <v>22</v>
      </c>
      <c r="C246" s="146">
        <f t="shared" si="2"/>
        <v>3.8013271108436504</v>
      </c>
      <c r="D246" s="147">
        <f t="shared" si="3"/>
        <v>3.8013271108436504</v>
      </c>
      <c r="E246" s="147">
        <f t="shared" si="3"/>
        <v>7.6026542216873008</v>
      </c>
      <c r="F246" s="147">
        <f t="shared" si="3"/>
        <v>11.40398133253095</v>
      </c>
      <c r="G246" s="147">
        <f t="shared" si="3"/>
        <v>15.205308443374602</v>
      </c>
      <c r="H246" s="147">
        <f t="shared" si="3"/>
        <v>19.006635554218253</v>
      </c>
      <c r="I246" s="147">
        <f t="shared" si="3"/>
        <v>22.807962665061901</v>
      </c>
      <c r="J246" s="147">
        <f t="shared" si="3"/>
        <v>26.609289775905552</v>
      </c>
      <c r="K246" s="147">
        <f t="shared" si="3"/>
        <v>30.410616886749203</v>
      </c>
      <c r="L246" s="147">
        <f t="shared" si="3"/>
        <v>34.211943997592854</v>
      </c>
      <c r="M246" s="147">
        <f t="shared" si="3"/>
        <v>38.013271108436506</v>
      </c>
      <c r="N246" s="147">
        <f t="shared" si="4"/>
        <v>41.814598219280157</v>
      </c>
      <c r="O246" s="147">
        <f t="shared" si="4"/>
        <v>45.615925330123801</v>
      </c>
      <c r="P246" s="147">
        <f t="shared" si="4"/>
        <v>49.417252440967452</v>
      </c>
      <c r="Q246" s="147">
        <f t="shared" si="4"/>
        <v>53.218579551811104</v>
      </c>
      <c r="R246" s="147">
        <f t="shared" si="4"/>
        <v>57.019906662654755</v>
      </c>
      <c r="S246" s="147">
        <f t="shared" si="4"/>
        <v>60.821233773498406</v>
      </c>
      <c r="T246" s="147">
        <f t="shared" si="4"/>
        <v>64.62256088434205</v>
      </c>
      <c r="U246" s="147">
        <f t="shared" si="4"/>
        <v>68.423887995185709</v>
      </c>
      <c r="V246" s="147">
        <f t="shared" si="4"/>
        <v>72.225215106029353</v>
      </c>
      <c r="W246" s="147">
        <f t="shared" si="4"/>
        <v>76.026542216873011</v>
      </c>
      <c r="X246" s="147">
        <f t="shared" si="5"/>
        <v>79.827869327716655</v>
      </c>
      <c r="Y246" s="147">
        <f t="shared" si="5"/>
        <v>83.629196438560314</v>
      </c>
      <c r="Z246" s="147">
        <f t="shared" si="5"/>
        <v>87.430523549403958</v>
      </c>
      <c r="AA246" s="147">
        <f t="shared" si="5"/>
        <v>91.231850660247602</v>
      </c>
      <c r="AB246" s="147">
        <f t="shared" si="5"/>
        <v>95.03317777109126</v>
      </c>
      <c r="AC246" s="147">
        <f t="shared" si="5"/>
        <v>98.834504881934905</v>
      </c>
      <c r="AD246" s="147">
        <f t="shared" si="5"/>
        <v>102.63583199277856</v>
      </c>
      <c r="AE246" s="147">
        <f t="shared" si="5"/>
        <v>106.43715910362221</v>
      </c>
      <c r="AF246" s="147">
        <f t="shared" si="5"/>
        <v>110.23848621446587</v>
      </c>
      <c r="AG246" s="147">
        <f t="shared" si="5"/>
        <v>114.03981332530951</v>
      </c>
    </row>
    <row r="247" spans="2:33" s="9" customFormat="1">
      <c r="B247" s="145">
        <v>25</v>
      </c>
      <c r="C247" s="146">
        <f t="shared" si="2"/>
        <v>4.908738521234052</v>
      </c>
      <c r="D247" s="147">
        <f t="shared" si="3"/>
        <v>4.908738521234052</v>
      </c>
      <c r="E247" s="147">
        <f t="shared" si="3"/>
        <v>9.8174770424681039</v>
      </c>
      <c r="F247" s="147">
        <f t="shared" si="3"/>
        <v>14.726215563702155</v>
      </c>
      <c r="G247" s="147">
        <f t="shared" si="3"/>
        <v>19.634954084936208</v>
      </c>
      <c r="H247" s="147">
        <f t="shared" si="3"/>
        <v>24.543692606170261</v>
      </c>
      <c r="I247" s="147">
        <f t="shared" si="3"/>
        <v>29.45243112740431</v>
      </c>
      <c r="J247" s="147">
        <f t="shared" si="3"/>
        <v>34.361169648638366</v>
      </c>
      <c r="K247" s="147">
        <f t="shared" si="3"/>
        <v>39.269908169872416</v>
      </c>
      <c r="L247" s="147">
        <f t="shared" si="3"/>
        <v>44.178646691106465</v>
      </c>
      <c r="M247" s="147">
        <f t="shared" si="3"/>
        <v>49.087385212340521</v>
      </c>
      <c r="N247" s="147">
        <f t="shared" si="4"/>
        <v>53.996123733574571</v>
      </c>
      <c r="O247" s="147">
        <f t="shared" si="4"/>
        <v>58.90486225480862</v>
      </c>
      <c r="P247" s="147">
        <f t="shared" si="4"/>
        <v>63.813600776042676</v>
      </c>
      <c r="Q247" s="147">
        <f t="shared" si="4"/>
        <v>68.722339297276733</v>
      </c>
      <c r="R247" s="147">
        <f t="shared" si="4"/>
        <v>73.631077818510775</v>
      </c>
      <c r="S247" s="147">
        <f t="shared" si="4"/>
        <v>78.539816339744831</v>
      </c>
      <c r="T247" s="147">
        <f t="shared" si="4"/>
        <v>83.448554860978888</v>
      </c>
      <c r="U247" s="147">
        <f t="shared" si="4"/>
        <v>88.35729338221293</v>
      </c>
      <c r="V247" s="147">
        <f t="shared" si="4"/>
        <v>93.266031903446986</v>
      </c>
      <c r="W247" s="147">
        <f t="shared" si="4"/>
        <v>98.174770424681043</v>
      </c>
      <c r="X247" s="147">
        <f t="shared" si="5"/>
        <v>103.08350894591509</v>
      </c>
      <c r="Y247" s="147">
        <f t="shared" si="5"/>
        <v>107.99224746714914</v>
      </c>
      <c r="Z247" s="147">
        <f t="shared" si="5"/>
        <v>112.9009859883832</v>
      </c>
      <c r="AA247" s="147">
        <f t="shared" si="5"/>
        <v>117.80972450961724</v>
      </c>
      <c r="AB247" s="147">
        <f t="shared" si="5"/>
        <v>122.7184630308513</v>
      </c>
      <c r="AC247" s="147">
        <f t="shared" si="5"/>
        <v>127.62720155208535</v>
      </c>
      <c r="AD247" s="147">
        <f t="shared" si="5"/>
        <v>132.53594007331941</v>
      </c>
      <c r="AE247" s="147">
        <f t="shared" si="5"/>
        <v>137.44467859455347</v>
      </c>
      <c r="AF247" s="147">
        <f t="shared" si="5"/>
        <v>142.35341711578749</v>
      </c>
      <c r="AG247" s="147">
        <f t="shared" si="5"/>
        <v>147.26215563702155</v>
      </c>
    </row>
    <row r="248" spans="2:33" s="9" customFormat="1">
      <c r="B248" s="145">
        <v>28</v>
      </c>
      <c r="C248" s="146">
        <f t="shared" si="2"/>
        <v>6.1575216010359934</v>
      </c>
      <c r="D248" s="147">
        <f t="shared" si="3"/>
        <v>6.1575216010359934</v>
      </c>
      <c r="E248" s="147">
        <f t="shared" si="3"/>
        <v>12.315043202071987</v>
      </c>
      <c r="F248" s="147">
        <f t="shared" si="3"/>
        <v>18.472564803107979</v>
      </c>
      <c r="G248" s="147">
        <f t="shared" si="3"/>
        <v>24.630086404143974</v>
      </c>
      <c r="H248" s="147">
        <f t="shared" si="3"/>
        <v>30.787608005179969</v>
      </c>
      <c r="I248" s="147">
        <f t="shared" si="3"/>
        <v>36.945129606215957</v>
      </c>
      <c r="J248" s="147">
        <f t="shared" si="3"/>
        <v>43.102651207251952</v>
      </c>
      <c r="K248" s="147">
        <f t="shared" si="3"/>
        <v>49.260172808287948</v>
      </c>
      <c r="L248" s="147">
        <f t="shared" si="3"/>
        <v>55.417694409323943</v>
      </c>
      <c r="M248" s="147">
        <f t="shared" si="3"/>
        <v>61.575216010359938</v>
      </c>
      <c r="N248" s="147">
        <f t="shared" si="4"/>
        <v>67.732737611395933</v>
      </c>
      <c r="O248" s="147">
        <f t="shared" si="4"/>
        <v>73.890259212431914</v>
      </c>
      <c r="P248" s="147">
        <f t="shared" si="4"/>
        <v>80.047780813467909</v>
      </c>
      <c r="Q248" s="147">
        <f t="shared" si="4"/>
        <v>86.205302414503905</v>
      </c>
      <c r="R248" s="147">
        <f t="shared" si="4"/>
        <v>92.3628240155399</v>
      </c>
      <c r="S248" s="147">
        <f t="shared" si="4"/>
        <v>98.520345616575895</v>
      </c>
      <c r="T248" s="147">
        <f t="shared" si="4"/>
        <v>104.67786721761189</v>
      </c>
      <c r="U248" s="147">
        <f t="shared" si="4"/>
        <v>110.83538881864789</v>
      </c>
      <c r="V248" s="147">
        <f t="shared" si="4"/>
        <v>116.99291041968388</v>
      </c>
      <c r="W248" s="147">
        <f t="shared" si="4"/>
        <v>123.15043202071988</v>
      </c>
      <c r="X248" s="147">
        <f t="shared" si="5"/>
        <v>129.30795362175587</v>
      </c>
      <c r="Y248" s="147">
        <f t="shared" si="5"/>
        <v>135.46547522279187</v>
      </c>
      <c r="Z248" s="147">
        <f t="shared" si="5"/>
        <v>141.62299682382786</v>
      </c>
      <c r="AA248" s="147">
        <f t="shared" si="5"/>
        <v>147.78051842486383</v>
      </c>
      <c r="AB248" s="147">
        <f t="shared" si="5"/>
        <v>153.93804002589982</v>
      </c>
      <c r="AC248" s="147">
        <f t="shared" si="5"/>
        <v>160.09556162693582</v>
      </c>
      <c r="AD248" s="147">
        <f t="shared" si="5"/>
        <v>166.25308322797181</v>
      </c>
      <c r="AE248" s="147">
        <f t="shared" si="5"/>
        <v>172.41060482900781</v>
      </c>
      <c r="AF248" s="147">
        <f t="shared" si="5"/>
        <v>178.5681264300438</v>
      </c>
      <c r="AG248" s="147">
        <f t="shared" si="5"/>
        <v>184.7256480310798</v>
      </c>
    </row>
    <row r="249" spans="2:33" s="9" customFormat="1">
      <c r="B249" s="145">
        <v>32</v>
      </c>
      <c r="C249" s="146">
        <f t="shared" si="2"/>
        <v>8.0424771931898711</v>
      </c>
      <c r="D249" s="147">
        <f t="shared" si="3"/>
        <v>8.0424771931898711</v>
      </c>
      <c r="E249" s="147">
        <f t="shared" si="3"/>
        <v>16.084954386379742</v>
      </c>
      <c r="F249" s="147">
        <f t="shared" si="3"/>
        <v>24.127431579569613</v>
      </c>
      <c r="G249" s="147">
        <f t="shared" si="3"/>
        <v>32.169908772759484</v>
      </c>
      <c r="H249" s="147">
        <f t="shared" si="3"/>
        <v>40.212385965949352</v>
      </c>
      <c r="I249" s="147">
        <f t="shared" si="3"/>
        <v>48.254863159139227</v>
      </c>
      <c r="J249" s="147">
        <f t="shared" si="3"/>
        <v>56.297340352329101</v>
      </c>
      <c r="K249" s="147">
        <f t="shared" si="3"/>
        <v>64.339817545518969</v>
      </c>
      <c r="L249" s="147">
        <f t="shared" si="3"/>
        <v>72.382294738708836</v>
      </c>
      <c r="M249" s="147">
        <f t="shared" si="3"/>
        <v>80.424771931898704</v>
      </c>
      <c r="N249" s="147">
        <f t="shared" si="4"/>
        <v>88.467249125088586</v>
      </c>
      <c r="O249" s="147">
        <f t="shared" si="4"/>
        <v>96.509726318278453</v>
      </c>
      <c r="P249" s="147">
        <f t="shared" si="4"/>
        <v>104.55220351146832</v>
      </c>
      <c r="Q249" s="147">
        <f t="shared" si="4"/>
        <v>112.5946807046582</v>
      </c>
      <c r="R249" s="147">
        <f t="shared" si="4"/>
        <v>120.63715789784807</v>
      </c>
      <c r="S249" s="147">
        <f t="shared" si="4"/>
        <v>128.67963509103794</v>
      </c>
      <c r="T249" s="147">
        <f t="shared" si="4"/>
        <v>136.72211228422782</v>
      </c>
      <c r="U249" s="147">
        <f t="shared" si="4"/>
        <v>144.76458947741767</v>
      </c>
      <c r="V249" s="147">
        <f t="shared" si="4"/>
        <v>152.80706667060755</v>
      </c>
      <c r="W249" s="147">
        <f t="shared" si="4"/>
        <v>160.84954386379741</v>
      </c>
      <c r="X249" s="147">
        <f t="shared" si="5"/>
        <v>168.89202105698729</v>
      </c>
      <c r="Y249" s="147">
        <f t="shared" si="5"/>
        <v>176.93449825017717</v>
      </c>
      <c r="Z249" s="147">
        <f t="shared" si="5"/>
        <v>184.97697544336702</v>
      </c>
      <c r="AA249" s="147">
        <f t="shared" si="5"/>
        <v>193.01945263655691</v>
      </c>
      <c r="AB249" s="147">
        <f t="shared" si="5"/>
        <v>201.06192982974679</v>
      </c>
      <c r="AC249" s="147">
        <f t="shared" si="5"/>
        <v>209.10440702293664</v>
      </c>
      <c r="AD249" s="147">
        <f t="shared" si="5"/>
        <v>217.14688421612652</v>
      </c>
      <c r="AE249" s="147">
        <f t="shared" si="5"/>
        <v>225.1893614093164</v>
      </c>
      <c r="AF249" s="147">
        <f t="shared" si="5"/>
        <v>233.23183860250626</v>
      </c>
      <c r="AG249" s="147">
        <f t="shared" si="5"/>
        <v>241.27431579569614</v>
      </c>
    </row>
    <row r="250" spans="2:33" s="9" customFormat="1">
      <c r="B250" s="145">
        <v>36</v>
      </c>
      <c r="C250" s="146">
        <f t="shared" si="2"/>
        <v>10.178760197630931</v>
      </c>
      <c r="D250" s="147">
        <f t="shared" si="3"/>
        <v>10.178760197630931</v>
      </c>
      <c r="E250" s="147">
        <f t="shared" si="3"/>
        <v>20.357520395261862</v>
      </c>
      <c r="F250" s="147">
        <f t="shared" si="3"/>
        <v>30.536280592892794</v>
      </c>
      <c r="G250" s="147">
        <f t="shared" si="3"/>
        <v>40.715040790523723</v>
      </c>
      <c r="H250" s="147">
        <f t="shared" si="3"/>
        <v>50.893800988154652</v>
      </c>
      <c r="I250" s="147">
        <f t="shared" si="3"/>
        <v>61.072561185785588</v>
      </c>
      <c r="J250" s="147">
        <f t="shared" si="3"/>
        <v>71.25132138341651</v>
      </c>
      <c r="K250" s="147">
        <f t="shared" si="3"/>
        <v>81.430081581047446</v>
      </c>
      <c r="L250" s="147">
        <f t="shared" si="3"/>
        <v>91.608841778678382</v>
      </c>
      <c r="M250" s="147">
        <f t="shared" si="3"/>
        <v>101.7876019763093</v>
      </c>
      <c r="N250" s="147">
        <f t="shared" si="4"/>
        <v>111.96636217394024</v>
      </c>
      <c r="O250" s="147">
        <f t="shared" si="4"/>
        <v>122.14512237157118</v>
      </c>
      <c r="P250" s="147">
        <f t="shared" si="4"/>
        <v>132.32388256920211</v>
      </c>
      <c r="Q250" s="147">
        <f t="shared" si="4"/>
        <v>142.50264276683302</v>
      </c>
      <c r="R250" s="147">
        <f t="shared" si="4"/>
        <v>152.68140296446396</v>
      </c>
      <c r="S250" s="147">
        <f t="shared" si="4"/>
        <v>162.86016316209489</v>
      </c>
      <c r="T250" s="147">
        <f t="shared" si="4"/>
        <v>173.03892335972583</v>
      </c>
      <c r="U250" s="147">
        <f t="shared" si="4"/>
        <v>183.21768355735676</v>
      </c>
      <c r="V250" s="147">
        <f t="shared" si="4"/>
        <v>193.39644375498767</v>
      </c>
      <c r="W250" s="147">
        <f t="shared" si="4"/>
        <v>203.57520395261861</v>
      </c>
      <c r="X250" s="147">
        <f t="shared" si="5"/>
        <v>213.75396415024954</v>
      </c>
      <c r="Y250" s="147">
        <f t="shared" si="5"/>
        <v>223.93272434788048</v>
      </c>
      <c r="Z250" s="147">
        <f t="shared" si="5"/>
        <v>234.11148454551142</v>
      </c>
      <c r="AA250" s="147">
        <f t="shared" si="5"/>
        <v>244.29024474314235</v>
      </c>
      <c r="AB250" s="147">
        <f t="shared" si="5"/>
        <v>254.46900494077326</v>
      </c>
      <c r="AC250" s="147">
        <f t="shared" si="5"/>
        <v>264.64776513840422</v>
      </c>
      <c r="AD250" s="147">
        <f t="shared" si="5"/>
        <v>274.8265253360351</v>
      </c>
      <c r="AE250" s="147">
        <f t="shared" si="5"/>
        <v>285.00528553366604</v>
      </c>
      <c r="AF250" s="147">
        <f t="shared" si="5"/>
        <v>295.18404573129698</v>
      </c>
      <c r="AG250" s="147">
        <f t="shared" si="5"/>
        <v>305.36280592892791</v>
      </c>
    </row>
    <row r="251" spans="2:33" s="9" customFormat="1" ht="14.25"/>
    <row r="252" spans="2:33" s="9" customFormat="1" ht="14.25"/>
    <row r="253" spans="2:33" s="9" customFormat="1">
      <c r="B253" s="145" t="s">
        <v>581</v>
      </c>
      <c r="C253" s="145" t="s">
        <v>681</v>
      </c>
      <c r="D253" s="193" t="s">
        <v>683</v>
      </c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</row>
    <row r="254" spans="2:33" s="9" customFormat="1">
      <c r="B254" s="145" t="s">
        <v>583</v>
      </c>
      <c r="C254" s="145" t="s">
        <v>348</v>
      </c>
      <c r="D254" s="145">
        <v>8</v>
      </c>
      <c r="E254" s="145">
        <v>10</v>
      </c>
      <c r="F254" s="145">
        <v>11</v>
      </c>
      <c r="G254" s="145">
        <v>12</v>
      </c>
      <c r="H254" s="145">
        <v>13</v>
      </c>
      <c r="I254" s="145">
        <v>14</v>
      </c>
      <c r="J254" s="145">
        <v>15</v>
      </c>
      <c r="K254" s="145">
        <v>16</v>
      </c>
      <c r="L254" s="145">
        <v>17</v>
      </c>
      <c r="M254" s="145">
        <v>18</v>
      </c>
      <c r="N254" s="145">
        <v>19</v>
      </c>
      <c r="O254" s="145">
        <v>20</v>
      </c>
      <c r="P254" s="145">
        <v>22</v>
      </c>
      <c r="Q254" s="145">
        <v>24</v>
      </c>
      <c r="R254" s="145">
        <v>26</v>
      </c>
      <c r="S254" s="145">
        <v>28</v>
      </c>
      <c r="T254" s="145">
        <v>30</v>
      </c>
      <c r="U254" s="145">
        <v>35</v>
      </c>
      <c r="V254" s="145">
        <v>40</v>
      </c>
      <c r="W254" s="145">
        <v>45</v>
      </c>
      <c r="X254" s="145">
        <v>50</v>
      </c>
    </row>
    <row r="255" spans="2:33" s="9" customFormat="1">
      <c r="B255" s="145">
        <v>6</v>
      </c>
      <c r="C255" s="146">
        <f t="shared" ref="C255:C265" si="6">PI()*(B255/10)^2/4</f>
        <v>0.28274333882308139</v>
      </c>
      <c r="D255" s="147">
        <f t="shared" ref="D255:M265" si="7">$C255*100/D$254</f>
        <v>3.5342917352885173</v>
      </c>
      <c r="E255" s="147">
        <f t="shared" si="7"/>
        <v>2.8274333882308138</v>
      </c>
      <c r="F255" s="147">
        <f t="shared" si="7"/>
        <v>2.5703939893007397</v>
      </c>
      <c r="G255" s="147">
        <f t="shared" si="7"/>
        <v>2.3561944901923448</v>
      </c>
      <c r="H255" s="147">
        <f t="shared" si="7"/>
        <v>2.174948760177549</v>
      </c>
      <c r="I255" s="147">
        <f t="shared" si="7"/>
        <v>2.0195952773077241</v>
      </c>
      <c r="J255" s="147">
        <f t="shared" si="7"/>
        <v>1.8849555921538759</v>
      </c>
      <c r="K255" s="147">
        <f t="shared" si="7"/>
        <v>1.7671458676442586</v>
      </c>
      <c r="L255" s="147">
        <f t="shared" si="7"/>
        <v>1.6631961107240081</v>
      </c>
      <c r="M255" s="147">
        <f t="shared" si="7"/>
        <v>1.5707963267948966</v>
      </c>
      <c r="N255" s="147">
        <f t="shared" ref="N255:X265" si="8">$C255*100/N$254</f>
        <v>1.4881228359109546</v>
      </c>
      <c r="O255" s="147">
        <f t="shared" si="8"/>
        <v>1.4137166941154069</v>
      </c>
      <c r="P255" s="147">
        <f t="shared" si="8"/>
        <v>1.2851969946503699</v>
      </c>
      <c r="Q255" s="147">
        <f t="shared" si="8"/>
        <v>1.1780972450961724</v>
      </c>
      <c r="R255" s="147">
        <f t="shared" si="8"/>
        <v>1.0874743800887745</v>
      </c>
      <c r="S255" s="147">
        <f t="shared" si="8"/>
        <v>1.0097976386538621</v>
      </c>
      <c r="T255" s="147">
        <f t="shared" si="8"/>
        <v>0.94247779607693793</v>
      </c>
      <c r="U255" s="147">
        <f t="shared" si="8"/>
        <v>0.80783811092308966</v>
      </c>
      <c r="V255" s="147">
        <f t="shared" si="8"/>
        <v>0.70685834705770345</v>
      </c>
      <c r="W255" s="147">
        <f t="shared" si="8"/>
        <v>0.62831853071795862</v>
      </c>
      <c r="X255" s="147">
        <f t="shared" si="8"/>
        <v>0.56548667764616278</v>
      </c>
    </row>
    <row r="256" spans="2:33" s="9" customFormat="1">
      <c r="B256" s="145">
        <v>8</v>
      </c>
      <c r="C256" s="146">
        <f t="shared" si="6"/>
        <v>0.50265482457436694</v>
      </c>
      <c r="D256" s="147">
        <f t="shared" si="7"/>
        <v>6.2831853071795871</v>
      </c>
      <c r="E256" s="147">
        <f t="shared" si="7"/>
        <v>5.0265482457436699</v>
      </c>
      <c r="F256" s="147">
        <f t="shared" si="7"/>
        <v>4.5695893143124273</v>
      </c>
      <c r="G256" s="147">
        <f t="shared" si="7"/>
        <v>4.1887902047863914</v>
      </c>
      <c r="H256" s="147">
        <f t="shared" si="7"/>
        <v>3.8665755736489769</v>
      </c>
      <c r="I256" s="147">
        <f t="shared" si="7"/>
        <v>3.5903916041026211</v>
      </c>
      <c r="J256" s="147">
        <f t="shared" si="7"/>
        <v>3.351032163829113</v>
      </c>
      <c r="K256" s="147">
        <f t="shared" si="7"/>
        <v>3.1415926535897936</v>
      </c>
      <c r="L256" s="147">
        <f t="shared" si="7"/>
        <v>2.9567930857315705</v>
      </c>
      <c r="M256" s="147">
        <f t="shared" si="7"/>
        <v>2.7925268031909276</v>
      </c>
      <c r="N256" s="147">
        <f t="shared" si="8"/>
        <v>2.6455517082861419</v>
      </c>
      <c r="O256" s="147">
        <f t="shared" si="8"/>
        <v>2.5132741228718349</v>
      </c>
      <c r="P256" s="147">
        <f t="shared" si="8"/>
        <v>2.2847946571562137</v>
      </c>
      <c r="Q256" s="147">
        <f t="shared" si="8"/>
        <v>2.0943951023931957</v>
      </c>
      <c r="R256" s="147">
        <f t="shared" si="8"/>
        <v>1.9332877868244884</v>
      </c>
      <c r="S256" s="147">
        <f t="shared" si="8"/>
        <v>1.7951958020513106</v>
      </c>
      <c r="T256" s="147">
        <f t="shared" si="8"/>
        <v>1.6755160819145565</v>
      </c>
      <c r="U256" s="147">
        <f t="shared" si="8"/>
        <v>1.4361566416410485</v>
      </c>
      <c r="V256" s="147">
        <f t="shared" si="8"/>
        <v>1.2566370614359175</v>
      </c>
      <c r="W256" s="147">
        <f t="shared" si="8"/>
        <v>1.1170107212763711</v>
      </c>
      <c r="X256" s="147">
        <f t="shared" si="8"/>
        <v>1.0053096491487339</v>
      </c>
    </row>
    <row r="257" spans="2:24" s="9" customFormat="1">
      <c r="B257" s="145">
        <v>10</v>
      </c>
      <c r="C257" s="146">
        <f t="shared" si="6"/>
        <v>0.78539816339744828</v>
      </c>
      <c r="D257" s="147">
        <f t="shared" si="7"/>
        <v>9.8174770424681039</v>
      </c>
      <c r="E257" s="147">
        <f t="shared" si="7"/>
        <v>7.8539816339744828</v>
      </c>
      <c r="F257" s="147">
        <f t="shared" si="7"/>
        <v>7.1399833036131666</v>
      </c>
      <c r="G257" s="147">
        <f t="shared" si="7"/>
        <v>6.5449846949787363</v>
      </c>
      <c r="H257" s="147">
        <f t="shared" si="7"/>
        <v>6.0415243338265254</v>
      </c>
      <c r="I257" s="147">
        <f t="shared" si="7"/>
        <v>5.6099868814103448</v>
      </c>
      <c r="J257" s="147">
        <f t="shared" si="7"/>
        <v>5.2359877559829888</v>
      </c>
      <c r="K257" s="147">
        <f t="shared" si="7"/>
        <v>4.908738521234052</v>
      </c>
      <c r="L257" s="147">
        <f t="shared" si="7"/>
        <v>4.6199891964555784</v>
      </c>
      <c r="M257" s="147">
        <f t="shared" si="7"/>
        <v>4.3633231299858242</v>
      </c>
      <c r="N257" s="147">
        <f t="shared" si="8"/>
        <v>4.1336745441970963</v>
      </c>
      <c r="O257" s="147">
        <f t="shared" si="8"/>
        <v>3.9269908169872414</v>
      </c>
      <c r="P257" s="147">
        <f t="shared" si="8"/>
        <v>3.5699916518065833</v>
      </c>
      <c r="Q257" s="147">
        <f t="shared" si="8"/>
        <v>3.2724923474893681</v>
      </c>
      <c r="R257" s="147">
        <f t="shared" si="8"/>
        <v>3.0207621669132627</v>
      </c>
      <c r="S257" s="147">
        <f t="shared" si="8"/>
        <v>2.8049934407051724</v>
      </c>
      <c r="T257" s="147">
        <f t="shared" si="8"/>
        <v>2.6179938779914944</v>
      </c>
      <c r="U257" s="147">
        <f t="shared" si="8"/>
        <v>2.2439947525641379</v>
      </c>
      <c r="V257" s="147">
        <f t="shared" si="8"/>
        <v>1.9634954084936207</v>
      </c>
      <c r="W257" s="147">
        <f t="shared" si="8"/>
        <v>1.7453292519943295</v>
      </c>
      <c r="X257" s="147">
        <f t="shared" si="8"/>
        <v>1.5707963267948966</v>
      </c>
    </row>
    <row r="258" spans="2:24" s="9" customFormat="1">
      <c r="B258" s="145">
        <v>12</v>
      </c>
      <c r="C258" s="146">
        <f t="shared" si="6"/>
        <v>1.1309733552923256</v>
      </c>
      <c r="D258" s="147">
        <f t="shared" si="7"/>
        <v>14.137166941154069</v>
      </c>
      <c r="E258" s="147">
        <f t="shared" si="7"/>
        <v>11.309733552923255</v>
      </c>
      <c r="F258" s="147">
        <f t="shared" si="7"/>
        <v>10.281575957202959</v>
      </c>
      <c r="G258" s="147">
        <f t="shared" si="7"/>
        <v>9.4247779607693793</v>
      </c>
      <c r="H258" s="147">
        <f t="shared" si="7"/>
        <v>8.699795040710196</v>
      </c>
      <c r="I258" s="147">
        <f t="shared" si="7"/>
        <v>8.0783811092308966</v>
      </c>
      <c r="J258" s="147">
        <f t="shared" si="7"/>
        <v>7.5398223686155035</v>
      </c>
      <c r="K258" s="147">
        <f t="shared" si="7"/>
        <v>7.0685834705770345</v>
      </c>
      <c r="L258" s="147">
        <f t="shared" si="7"/>
        <v>6.6527844428960323</v>
      </c>
      <c r="M258" s="147">
        <f t="shared" si="7"/>
        <v>6.2831853071795862</v>
      </c>
      <c r="N258" s="147">
        <f t="shared" si="8"/>
        <v>5.9524913436438185</v>
      </c>
      <c r="O258" s="147">
        <f t="shared" si="8"/>
        <v>5.6548667764616276</v>
      </c>
      <c r="P258" s="147">
        <f t="shared" si="8"/>
        <v>5.1407879786014794</v>
      </c>
      <c r="Q258" s="147">
        <f t="shared" si="8"/>
        <v>4.7123889803846897</v>
      </c>
      <c r="R258" s="147">
        <f t="shared" si="8"/>
        <v>4.349897520355098</v>
      </c>
      <c r="S258" s="147">
        <f t="shared" si="8"/>
        <v>4.0391905546154483</v>
      </c>
      <c r="T258" s="147">
        <f t="shared" si="8"/>
        <v>3.7699111843077517</v>
      </c>
      <c r="U258" s="147">
        <f t="shared" si="8"/>
        <v>3.2313524436923586</v>
      </c>
      <c r="V258" s="147">
        <f t="shared" si="8"/>
        <v>2.8274333882308138</v>
      </c>
      <c r="W258" s="147">
        <f t="shared" si="8"/>
        <v>2.5132741228718345</v>
      </c>
      <c r="X258" s="147">
        <f t="shared" si="8"/>
        <v>2.2619467105846511</v>
      </c>
    </row>
    <row r="259" spans="2:24" s="9" customFormat="1">
      <c r="B259" s="145">
        <v>16</v>
      </c>
      <c r="C259" s="146">
        <f t="shared" si="6"/>
        <v>2.0106192982974678</v>
      </c>
      <c r="D259" s="147">
        <f t="shared" si="7"/>
        <v>25.132741228718348</v>
      </c>
      <c r="E259" s="147">
        <f t="shared" si="7"/>
        <v>20.106192982974679</v>
      </c>
      <c r="F259" s="147">
        <f t="shared" si="7"/>
        <v>18.278357257249709</v>
      </c>
      <c r="G259" s="147">
        <f t="shared" si="7"/>
        <v>16.755160819145566</v>
      </c>
      <c r="H259" s="147">
        <f t="shared" si="7"/>
        <v>15.466302294595907</v>
      </c>
      <c r="I259" s="147">
        <f t="shared" si="7"/>
        <v>14.361566416410485</v>
      </c>
      <c r="J259" s="147">
        <f t="shared" si="7"/>
        <v>13.404128655316452</v>
      </c>
      <c r="K259" s="147">
        <f t="shared" si="7"/>
        <v>12.566370614359174</v>
      </c>
      <c r="L259" s="147">
        <f t="shared" si="7"/>
        <v>11.827172342926282</v>
      </c>
      <c r="M259" s="147">
        <f t="shared" si="7"/>
        <v>11.17010721276371</v>
      </c>
      <c r="N259" s="147">
        <f t="shared" si="8"/>
        <v>10.582206833144568</v>
      </c>
      <c r="O259" s="147">
        <f t="shared" si="8"/>
        <v>10.05309649148734</v>
      </c>
      <c r="P259" s="147">
        <f t="shared" si="8"/>
        <v>9.1391786286248546</v>
      </c>
      <c r="Q259" s="147">
        <f t="shared" si="8"/>
        <v>8.3775804095727828</v>
      </c>
      <c r="R259" s="147">
        <f t="shared" si="8"/>
        <v>7.7331511472979537</v>
      </c>
      <c r="S259" s="147">
        <f t="shared" si="8"/>
        <v>7.1807832082052423</v>
      </c>
      <c r="T259" s="147">
        <f t="shared" si="8"/>
        <v>6.7020643276582259</v>
      </c>
      <c r="U259" s="147">
        <f t="shared" si="8"/>
        <v>5.744626566564194</v>
      </c>
      <c r="V259" s="147">
        <f t="shared" si="8"/>
        <v>5.0265482457436699</v>
      </c>
      <c r="W259" s="147">
        <f t="shared" si="8"/>
        <v>4.4680428851054845</v>
      </c>
      <c r="X259" s="147">
        <f t="shared" si="8"/>
        <v>4.0212385965949355</v>
      </c>
    </row>
    <row r="260" spans="2:24" s="9" customFormat="1">
      <c r="B260" s="145">
        <v>18</v>
      </c>
      <c r="C260" s="146">
        <f t="shared" si="6"/>
        <v>2.5446900494077327</v>
      </c>
      <c r="D260" s="147">
        <f t="shared" si="7"/>
        <v>31.808625617596658</v>
      </c>
      <c r="E260" s="147">
        <f t="shared" si="7"/>
        <v>25.446900494077326</v>
      </c>
      <c r="F260" s="147">
        <f t="shared" si="7"/>
        <v>23.133545903706661</v>
      </c>
      <c r="G260" s="147">
        <f t="shared" si="7"/>
        <v>21.205750411731106</v>
      </c>
      <c r="H260" s="147">
        <f t="shared" si="7"/>
        <v>19.574538841597942</v>
      </c>
      <c r="I260" s="147">
        <f t="shared" si="7"/>
        <v>18.176357495769519</v>
      </c>
      <c r="J260" s="147">
        <f t="shared" si="7"/>
        <v>16.964600329384883</v>
      </c>
      <c r="K260" s="147">
        <f t="shared" si="7"/>
        <v>15.904312808798329</v>
      </c>
      <c r="L260" s="147">
        <f t="shared" si="7"/>
        <v>14.968764996516073</v>
      </c>
      <c r="M260" s="147">
        <f t="shared" si="7"/>
        <v>14.137166941154071</v>
      </c>
      <c r="N260" s="147">
        <f t="shared" si="8"/>
        <v>13.393105523198592</v>
      </c>
      <c r="O260" s="147">
        <f t="shared" si="8"/>
        <v>12.723450247038663</v>
      </c>
      <c r="P260" s="147">
        <f t="shared" si="8"/>
        <v>11.566772951853331</v>
      </c>
      <c r="Q260" s="147">
        <f t="shared" si="8"/>
        <v>10.602875205865553</v>
      </c>
      <c r="R260" s="147">
        <f t="shared" si="8"/>
        <v>9.787269420798971</v>
      </c>
      <c r="S260" s="147">
        <f t="shared" si="8"/>
        <v>9.0881787478847595</v>
      </c>
      <c r="T260" s="147">
        <f t="shared" si="8"/>
        <v>8.4823001646924414</v>
      </c>
      <c r="U260" s="147">
        <f t="shared" si="8"/>
        <v>7.2705429983078078</v>
      </c>
      <c r="V260" s="147">
        <f t="shared" si="8"/>
        <v>6.3617251235193315</v>
      </c>
      <c r="W260" s="147">
        <f t="shared" si="8"/>
        <v>5.6548667764616276</v>
      </c>
      <c r="X260" s="147">
        <f t="shared" si="8"/>
        <v>5.0893800988154654</v>
      </c>
    </row>
    <row r="261" spans="2:24" s="9" customFormat="1">
      <c r="B261" s="145">
        <v>22</v>
      </c>
      <c r="C261" s="146">
        <f t="shared" si="6"/>
        <v>3.8013271108436504</v>
      </c>
      <c r="D261" s="147">
        <f t="shared" si="7"/>
        <v>47.51658888554563</v>
      </c>
      <c r="E261" s="147">
        <f t="shared" si="7"/>
        <v>38.013271108436506</v>
      </c>
      <c r="F261" s="147">
        <f t="shared" si="7"/>
        <v>34.557519189487728</v>
      </c>
      <c r="G261" s="147">
        <f t="shared" si="7"/>
        <v>31.677725923697086</v>
      </c>
      <c r="H261" s="147">
        <f t="shared" si="7"/>
        <v>29.240977775720388</v>
      </c>
      <c r="I261" s="147">
        <f t="shared" si="7"/>
        <v>27.152336506026074</v>
      </c>
      <c r="J261" s="147">
        <f t="shared" si="7"/>
        <v>25.342180738957669</v>
      </c>
      <c r="K261" s="147">
        <f t="shared" si="7"/>
        <v>23.758294442772815</v>
      </c>
      <c r="L261" s="147">
        <f t="shared" si="7"/>
        <v>22.360747710845004</v>
      </c>
      <c r="M261" s="147">
        <f t="shared" si="7"/>
        <v>21.118483949131392</v>
      </c>
      <c r="N261" s="147">
        <f t="shared" si="8"/>
        <v>20.006984793913951</v>
      </c>
      <c r="O261" s="147">
        <f t="shared" si="8"/>
        <v>19.006635554218253</v>
      </c>
      <c r="P261" s="147">
        <f t="shared" si="8"/>
        <v>17.278759594743864</v>
      </c>
      <c r="Q261" s="147">
        <f t="shared" si="8"/>
        <v>15.838862961848543</v>
      </c>
      <c r="R261" s="147">
        <f t="shared" si="8"/>
        <v>14.620488887860194</v>
      </c>
      <c r="S261" s="147">
        <f t="shared" si="8"/>
        <v>13.576168253013037</v>
      </c>
      <c r="T261" s="147">
        <f t="shared" si="8"/>
        <v>12.671090369478835</v>
      </c>
      <c r="U261" s="147">
        <f t="shared" si="8"/>
        <v>10.860934602410429</v>
      </c>
      <c r="V261" s="147">
        <f t="shared" si="8"/>
        <v>9.5033177771091264</v>
      </c>
      <c r="W261" s="147">
        <f t="shared" si="8"/>
        <v>8.447393579652557</v>
      </c>
      <c r="X261" s="147">
        <f t="shared" si="8"/>
        <v>7.6026542216873008</v>
      </c>
    </row>
    <row r="262" spans="2:24" s="9" customFormat="1">
      <c r="B262" s="145">
        <v>25</v>
      </c>
      <c r="C262" s="146">
        <f t="shared" si="6"/>
        <v>4.908738521234052</v>
      </c>
      <c r="D262" s="147">
        <f t="shared" si="7"/>
        <v>61.359231515425648</v>
      </c>
      <c r="E262" s="147">
        <f t="shared" si="7"/>
        <v>49.087385212340521</v>
      </c>
      <c r="F262" s="147">
        <f t="shared" si="7"/>
        <v>44.624895647582292</v>
      </c>
      <c r="G262" s="147">
        <f t="shared" si="7"/>
        <v>40.906154343617096</v>
      </c>
      <c r="H262" s="147">
        <f t="shared" si="7"/>
        <v>37.759527086415787</v>
      </c>
      <c r="I262" s="147">
        <f t="shared" si="7"/>
        <v>35.062418008814653</v>
      </c>
      <c r="J262" s="147">
        <f t="shared" si="7"/>
        <v>32.724923474893679</v>
      </c>
      <c r="K262" s="147">
        <f t="shared" si="7"/>
        <v>30.679615757712824</v>
      </c>
      <c r="L262" s="147">
        <f t="shared" si="7"/>
        <v>28.874932477847363</v>
      </c>
      <c r="M262" s="147">
        <f t="shared" si="7"/>
        <v>27.270769562411399</v>
      </c>
      <c r="N262" s="147">
        <f t="shared" si="8"/>
        <v>25.835465901231853</v>
      </c>
      <c r="O262" s="147">
        <f t="shared" si="8"/>
        <v>24.543692606170261</v>
      </c>
      <c r="P262" s="147">
        <f t="shared" si="8"/>
        <v>22.312447823791146</v>
      </c>
      <c r="Q262" s="147">
        <f t="shared" si="8"/>
        <v>20.453077171808548</v>
      </c>
      <c r="R262" s="147">
        <f t="shared" si="8"/>
        <v>18.879763543207893</v>
      </c>
      <c r="S262" s="147">
        <f t="shared" si="8"/>
        <v>17.531209004407327</v>
      </c>
      <c r="T262" s="147">
        <f t="shared" si="8"/>
        <v>16.362461737446839</v>
      </c>
      <c r="U262" s="147">
        <f t="shared" si="8"/>
        <v>14.024967203525863</v>
      </c>
      <c r="V262" s="147">
        <f t="shared" si="8"/>
        <v>12.27184630308513</v>
      </c>
      <c r="W262" s="147">
        <f t="shared" si="8"/>
        <v>10.90830782496456</v>
      </c>
      <c r="X262" s="147">
        <f t="shared" si="8"/>
        <v>9.8174770424681039</v>
      </c>
    </row>
    <row r="263" spans="2:24" s="9" customFormat="1">
      <c r="B263" s="145">
        <v>28</v>
      </c>
      <c r="C263" s="146">
        <f t="shared" si="6"/>
        <v>6.1575216010359934</v>
      </c>
      <c r="D263" s="147">
        <f t="shared" si="7"/>
        <v>76.969020012949912</v>
      </c>
      <c r="E263" s="147">
        <f t="shared" si="7"/>
        <v>61.575216010359931</v>
      </c>
      <c r="F263" s="147">
        <f t="shared" si="7"/>
        <v>55.977469100327205</v>
      </c>
      <c r="G263" s="147">
        <f t="shared" si="7"/>
        <v>51.312680008633272</v>
      </c>
      <c r="H263" s="147">
        <f t="shared" si="7"/>
        <v>47.365550777199942</v>
      </c>
      <c r="I263" s="147">
        <f t="shared" si="7"/>
        <v>43.982297150257089</v>
      </c>
      <c r="J263" s="147">
        <f t="shared" si="7"/>
        <v>41.050144006906621</v>
      </c>
      <c r="K263" s="147">
        <f t="shared" si="7"/>
        <v>38.484510006474956</v>
      </c>
      <c r="L263" s="147">
        <f t="shared" si="7"/>
        <v>36.220715300211722</v>
      </c>
      <c r="M263" s="147">
        <f t="shared" si="7"/>
        <v>34.208453339088848</v>
      </c>
      <c r="N263" s="147">
        <f t="shared" si="8"/>
        <v>32.408008426505226</v>
      </c>
      <c r="O263" s="147">
        <f t="shared" si="8"/>
        <v>30.787608005179965</v>
      </c>
      <c r="P263" s="147">
        <f t="shared" si="8"/>
        <v>27.988734550163603</v>
      </c>
      <c r="Q263" s="147">
        <f t="shared" si="8"/>
        <v>25.656340004316636</v>
      </c>
      <c r="R263" s="147">
        <f t="shared" si="8"/>
        <v>23.682775388599971</v>
      </c>
      <c r="S263" s="147">
        <f t="shared" si="8"/>
        <v>21.991148575128545</v>
      </c>
      <c r="T263" s="147">
        <f t="shared" si="8"/>
        <v>20.52507200345331</v>
      </c>
      <c r="U263" s="147">
        <f t="shared" si="8"/>
        <v>17.592918860102838</v>
      </c>
      <c r="V263" s="147">
        <f t="shared" si="8"/>
        <v>15.393804002589983</v>
      </c>
      <c r="W263" s="147">
        <f t="shared" si="8"/>
        <v>13.68338133563554</v>
      </c>
      <c r="X263" s="147">
        <f t="shared" si="8"/>
        <v>12.315043202071985</v>
      </c>
    </row>
    <row r="264" spans="2:24" s="9" customFormat="1">
      <c r="B264" s="145">
        <v>32</v>
      </c>
      <c r="C264" s="146">
        <f t="shared" si="6"/>
        <v>8.0424771931898711</v>
      </c>
      <c r="D264" s="147">
        <f t="shared" si="7"/>
        <v>100.53096491487339</v>
      </c>
      <c r="E264" s="147">
        <f t="shared" si="7"/>
        <v>80.424771931898718</v>
      </c>
      <c r="F264" s="147">
        <f t="shared" si="7"/>
        <v>73.113429028998837</v>
      </c>
      <c r="G264" s="147">
        <f t="shared" si="7"/>
        <v>67.020643276582263</v>
      </c>
      <c r="H264" s="147">
        <f t="shared" si="7"/>
        <v>61.86520917838363</v>
      </c>
      <c r="I264" s="147">
        <f t="shared" si="7"/>
        <v>57.446265665641938</v>
      </c>
      <c r="J264" s="147">
        <f t="shared" si="7"/>
        <v>53.616514621265807</v>
      </c>
      <c r="K264" s="147">
        <f t="shared" si="7"/>
        <v>50.265482457436697</v>
      </c>
      <c r="L264" s="147">
        <f t="shared" si="7"/>
        <v>47.308689371705128</v>
      </c>
      <c r="M264" s="147">
        <f t="shared" si="7"/>
        <v>44.680428851054842</v>
      </c>
      <c r="N264" s="147">
        <f t="shared" si="8"/>
        <v>42.328827332578271</v>
      </c>
      <c r="O264" s="147">
        <f t="shared" si="8"/>
        <v>40.212385965949359</v>
      </c>
      <c r="P264" s="147">
        <f t="shared" si="8"/>
        <v>36.556714514499419</v>
      </c>
      <c r="Q264" s="147">
        <f t="shared" si="8"/>
        <v>33.510321638291131</v>
      </c>
      <c r="R264" s="147">
        <f t="shared" si="8"/>
        <v>30.932604589191815</v>
      </c>
      <c r="S264" s="147">
        <f t="shared" si="8"/>
        <v>28.723132832820969</v>
      </c>
      <c r="T264" s="147">
        <f t="shared" si="8"/>
        <v>26.808257310632904</v>
      </c>
      <c r="U264" s="147">
        <f t="shared" si="8"/>
        <v>22.978506266256776</v>
      </c>
      <c r="V264" s="147">
        <f t="shared" si="8"/>
        <v>20.106192982974679</v>
      </c>
      <c r="W264" s="147">
        <f t="shared" si="8"/>
        <v>17.872171540421938</v>
      </c>
      <c r="X264" s="147">
        <f t="shared" si="8"/>
        <v>16.084954386379742</v>
      </c>
    </row>
    <row r="265" spans="2:24" s="9" customFormat="1">
      <c r="B265" s="145">
        <v>36</v>
      </c>
      <c r="C265" s="146">
        <f t="shared" si="6"/>
        <v>10.178760197630931</v>
      </c>
      <c r="D265" s="147">
        <f t="shared" si="7"/>
        <v>127.23450247038663</v>
      </c>
      <c r="E265" s="147">
        <f t="shared" si="7"/>
        <v>101.7876019763093</v>
      </c>
      <c r="F265" s="147">
        <f t="shared" si="7"/>
        <v>92.534183614826645</v>
      </c>
      <c r="G265" s="147">
        <f t="shared" si="7"/>
        <v>84.823001646924425</v>
      </c>
      <c r="H265" s="147">
        <f t="shared" si="7"/>
        <v>78.298155366391768</v>
      </c>
      <c r="I265" s="147">
        <f t="shared" si="7"/>
        <v>72.705429983078076</v>
      </c>
      <c r="J265" s="147">
        <f t="shared" si="7"/>
        <v>67.858401317539531</v>
      </c>
      <c r="K265" s="147">
        <f t="shared" si="7"/>
        <v>63.617251235193315</v>
      </c>
      <c r="L265" s="147">
        <f t="shared" si="7"/>
        <v>59.875059986064294</v>
      </c>
      <c r="M265" s="147">
        <f t="shared" si="7"/>
        <v>56.548667764616283</v>
      </c>
      <c r="N265" s="147">
        <f t="shared" si="8"/>
        <v>53.572422092794369</v>
      </c>
      <c r="O265" s="147">
        <f t="shared" si="8"/>
        <v>50.893800988154652</v>
      </c>
      <c r="P265" s="147">
        <f t="shared" si="8"/>
        <v>46.267091807413323</v>
      </c>
      <c r="Q265" s="147">
        <f t="shared" si="8"/>
        <v>42.411500823462212</v>
      </c>
      <c r="R265" s="147">
        <f t="shared" si="8"/>
        <v>39.149077683195884</v>
      </c>
      <c r="S265" s="147">
        <f t="shared" si="8"/>
        <v>36.352714991539038</v>
      </c>
      <c r="T265" s="147">
        <f t="shared" si="8"/>
        <v>33.929200658769766</v>
      </c>
      <c r="U265" s="147">
        <f t="shared" si="8"/>
        <v>29.082171993231231</v>
      </c>
      <c r="V265" s="147">
        <f t="shared" si="8"/>
        <v>25.446900494077326</v>
      </c>
      <c r="W265" s="147">
        <f t="shared" si="8"/>
        <v>22.61946710584651</v>
      </c>
      <c r="X265" s="147">
        <f t="shared" si="8"/>
        <v>20.357520395261862</v>
      </c>
    </row>
  </sheetData>
  <mergeCells count="13">
    <mergeCell ref="B4:B7"/>
    <mergeCell ref="C4:C7"/>
    <mergeCell ref="D4:D7"/>
    <mergeCell ref="E4:E7"/>
    <mergeCell ref="F4:F7"/>
    <mergeCell ref="J4:J7"/>
    <mergeCell ref="K4:K7"/>
    <mergeCell ref="L4:L7"/>
    <mergeCell ref="D253:X253"/>
    <mergeCell ref="D238:AG238"/>
    <mergeCell ref="G4:G7"/>
    <mergeCell ref="I4:I7"/>
    <mergeCell ref="H4:H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3" scale="20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54"/>
  <sheetViews>
    <sheetView zoomScaleNormal="100" zoomScaleSheetLayoutView="100" workbookViewId="0">
      <selection activeCell="N10" sqref="N10"/>
    </sheetView>
  </sheetViews>
  <sheetFormatPr baseColWidth="10" defaultColWidth="11.42578125" defaultRowHeight="15" customHeight="1"/>
  <cols>
    <col min="1" max="1" width="4.28515625" style="134" customWidth="1"/>
    <col min="2" max="11" width="10.28515625" style="134" customWidth="1"/>
    <col min="12" max="12" width="8.7109375" style="134" customWidth="1"/>
    <col min="13" max="14" width="10.28515625" style="134" customWidth="1"/>
    <col min="15" max="16384" width="11.42578125" style="134"/>
  </cols>
  <sheetData>
    <row r="2" spans="2:4" ht="15" customHeight="1">
      <c r="B2" s="135" t="s">
        <v>601</v>
      </c>
    </row>
    <row r="4" spans="2:4" ht="15" customHeight="1">
      <c r="B4" s="94" t="s">
        <v>602</v>
      </c>
    </row>
    <row r="5" spans="2:4" ht="15" customHeight="1">
      <c r="B5" s="88"/>
      <c r="C5" s="88"/>
      <c r="D5" s="88"/>
    </row>
    <row r="6" spans="2:4" ht="15" customHeight="1">
      <c r="B6" s="32" t="s">
        <v>354</v>
      </c>
      <c r="C6" s="20">
        <f>'Cálculo de estructura'!J4</f>
        <v>2.3660000000000001</v>
      </c>
      <c r="D6" s="88" t="s">
        <v>4</v>
      </c>
    </row>
    <row r="7" spans="2:4" ht="15" customHeight="1">
      <c r="B7" s="32" t="s">
        <v>349</v>
      </c>
      <c r="C7" s="20">
        <f>'Cálculo de estructura'!J6</f>
        <v>0.8</v>
      </c>
      <c r="D7" s="88" t="s">
        <v>4</v>
      </c>
    </row>
    <row r="8" spans="2:4" ht="15" customHeight="1">
      <c r="B8" s="32" t="s">
        <v>362</v>
      </c>
      <c r="C8" s="20">
        <f>'Cálculo de estructura'!J7</f>
        <v>0.78866666666666674</v>
      </c>
      <c r="D8" s="88" t="s">
        <v>4</v>
      </c>
    </row>
    <row r="9" spans="2:4" ht="15" customHeight="1">
      <c r="B9" s="52" t="s">
        <v>356</v>
      </c>
      <c r="C9" s="20">
        <f>'Cálculo de estructura'!J8</f>
        <v>44.591266584640138</v>
      </c>
      <c r="D9" s="88" t="s">
        <v>357</v>
      </c>
    </row>
    <row r="21" spans="2:8" ht="15" customHeight="1">
      <c r="B21" s="94" t="s">
        <v>603</v>
      </c>
    </row>
    <row r="23" spans="2:8" ht="15" customHeight="1">
      <c r="B23" s="88" t="s">
        <v>604</v>
      </c>
      <c r="C23" s="88"/>
      <c r="D23" s="88" t="s">
        <v>609</v>
      </c>
      <c r="E23" s="88"/>
      <c r="F23" s="32" t="s">
        <v>613</v>
      </c>
      <c r="G23" s="9">
        <f>'Armaduras y anclajes'!G6</f>
        <v>200</v>
      </c>
      <c r="H23" s="88" t="s">
        <v>614</v>
      </c>
    </row>
    <row r="24" spans="2:8" ht="15" customHeight="1">
      <c r="B24" s="88" t="s">
        <v>606</v>
      </c>
      <c r="C24" s="88"/>
      <c r="D24" s="88" t="s">
        <v>610</v>
      </c>
      <c r="E24" s="88"/>
      <c r="F24" s="32" t="s">
        <v>487</v>
      </c>
      <c r="G24" s="9">
        <f>'Cálculo de estructura'!J17</f>
        <v>2530</v>
      </c>
      <c r="H24" s="88" t="s">
        <v>614</v>
      </c>
    </row>
    <row r="25" spans="2:8" ht="15" customHeight="1">
      <c r="B25" s="88" t="s">
        <v>605</v>
      </c>
      <c r="C25" s="88"/>
      <c r="D25" s="88" t="s">
        <v>611</v>
      </c>
      <c r="E25" s="88"/>
      <c r="F25" s="32" t="s">
        <v>615</v>
      </c>
      <c r="G25" s="9">
        <f>'Cálculo de estructura'!D75</f>
        <v>1476</v>
      </c>
      <c r="H25" s="88" t="s">
        <v>614</v>
      </c>
    </row>
    <row r="26" spans="2:8" ht="15" customHeight="1">
      <c r="B26" s="88" t="s">
        <v>607</v>
      </c>
      <c r="C26" s="88"/>
      <c r="D26" s="88" t="s">
        <v>551</v>
      </c>
      <c r="E26" s="88"/>
      <c r="F26" s="32" t="s">
        <v>487</v>
      </c>
      <c r="G26" s="89">
        <f>'Armaduras y anclajes'!D125</f>
        <v>7382</v>
      </c>
      <c r="H26" s="88" t="s">
        <v>614</v>
      </c>
    </row>
    <row r="27" spans="2:8" ht="15" customHeight="1">
      <c r="B27" s="88" t="s">
        <v>608</v>
      </c>
      <c r="C27" s="88"/>
      <c r="D27" s="88" t="s">
        <v>610</v>
      </c>
      <c r="E27" s="88"/>
      <c r="F27" s="32" t="s">
        <v>487</v>
      </c>
      <c r="G27" s="9">
        <f>G24</f>
        <v>2530</v>
      </c>
      <c r="H27" s="88" t="s">
        <v>614</v>
      </c>
    </row>
    <row r="29" spans="2:8" ht="15" customHeight="1">
      <c r="B29" s="93" t="s">
        <v>616</v>
      </c>
    </row>
    <row r="31" spans="2:8" ht="15" customHeight="1">
      <c r="B31" s="94"/>
    </row>
    <row r="33" spans="2:6" ht="15" customHeight="1">
      <c r="B33" s="88"/>
      <c r="C33" s="88"/>
      <c r="D33" s="88"/>
      <c r="E33" s="158"/>
      <c r="F33" s="88"/>
    </row>
    <row r="34" spans="2:6" ht="15" customHeight="1">
      <c r="B34" s="88"/>
      <c r="C34" s="88"/>
      <c r="D34" s="88"/>
      <c r="E34" s="38"/>
      <c r="F34" s="88"/>
    </row>
    <row r="35" spans="2:6" ht="15" customHeight="1">
      <c r="B35" s="88"/>
      <c r="C35" s="88"/>
      <c r="D35" s="88"/>
      <c r="E35" s="38"/>
      <c r="F35" s="88"/>
    </row>
    <row r="36" spans="2:6" ht="15" customHeight="1">
      <c r="B36" s="88"/>
      <c r="C36" s="88"/>
      <c r="D36" s="88"/>
      <c r="E36" s="38"/>
      <c r="F36" s="88"/>
    </row>
    <row r="37" spans="2:6" ht="15" customHeight="1">
      <c r="B37" s="88"/>
      <c r="C37" s="88"/>
      <c r="D37" s="88"/>
      <c r="E37" s="88"/>
      <c r="F37" s="88"/>
    </row>
    <row r="38" spans="2:6" ht="15" customHeight="1">
      <c r="B38" s="135" t="s">
        <v>617</v>
      </c>
    </row>
    <row r="40" spans="2:6" ht="15" customHeight="1">
      <c r="B40" s="93" t="s">
        <v>618</v>
      </c>
    </row>
    <row r="58" spans="2:10" ht="15" customHeight="1">
      <c r="B58" s="32" t="str">
        <f>'Cálculo de cargas'!B45</f>
        <v>H1 =</v>
      </c>
      <c r="C58" s="9">
        <f>'Cálculo de cargas'!C45</f>
        <v>3.32</v>
      </c>
      <c r="D58" s="88" t="str">
        <f>'Cálculo de cargas'!D45</f>
        <v>m</v>
      </c>
      <c r="E58" s="88" t="str">
        <f>'Cálculo de cargas'!E45</f>
        <v>Altura del equipo</v>
      </c>
      <c r="F58" s="88"/>
      <c r="G58" s="88"/>
      <c r="H58" s="88"/>
      <c r="I58" s="88"/>
      <c r="J58" s="88"/>
    </row>
    <row r="59" spans="2:10" ht="15" customHeight="1">
      <c r="B59" s="32" t="str">
        <f>'Cálculo de cargas'!B46</f>
        <v>H2 =</v>
      </c>
      <c r="C59" s="9">
        <f>'Cálculo de cargas'!C46</f>
        <v>1.85</v>
      </c>
      <c r="D59" s="88" t="str">
        <f>'Cálculo de cargas'!D46</f>
        <v>m</v>
      </c>
      <c r="E59" s="88" t="str">
        <f>'Cálculo de cargas'!E46</f>
        <v>Altura de la estructura</v>
      </c>
      <c r="F59" s="88"/>
      <c r="G59" s="88"/>
      <c r="H59" s="88"/>
      <c r="I59" s="88"/>
      <c r="J59" s="88"/>
    </row>
    <row r="60" spans="2:10" ht="15" customHeight="1">
      <c r="B60" s="32" t="str">
        <f>'Cálculo de cargas'!B47</f>
        <v>H3 =</v>
      </c>
      <c r="C60" s="9">
        <f>'Cálculo de cargas'!C47</f>
        <v>2.2999999999999998</v>
      </c>
      <c r="D60" s="88" t="str">
        <f>'Cálculo de cargas'!D47</f>
        <v>m</v>
      </c>
      <c r="E60" s="88" t="str">
        <f>'Cálculo de cargas'!E47</f>
        <v>Altura de la fundación</v>
      </c>
      <c r="F60" s="88"/>
      <c r="G60" s="88"/>
      <c r="H60" s="88"/>
      <c r="I60" s="88"/>
      <c r="J60" s="88"/>
    </row>
    <row r="61" spans="2:10" ht="15" customHeight="1">
      <c r="B61" s="32" t="str">
        <f>'Cálculo de cargas'!B48</f>
        <v>HT =</v>
      </c>
      <c r="C61" s="9">
        <f>'Cálculo de cargas'!C48</f>
        <v>7.47</v>
      </c>
      <c r="D61" s="88" t="str">
        <f>'Cálculo de cargas'!D48</f>
        <v>m</v>
      </c>
      <c r="E61" s="88" t="str">
        <f>'Cálculo de cargas'!E48</f>
        <v>Altura total</v>
      </c>
      <c r="F61" s="88"/>
      <c r="G61" s="88"/>
      <c r="H61" s="88"/>
      <c r="I61" s="88"/>
      <c r="J61" s="88"/>
    </row>
    <row r="62" spans="2:10" ht="15" customHeight="1">
      <c r="B62" s="32"/>
      <c r="C62" s="9"/>
      <c r="D62" s="88"/>
      <c r="E62" s="88"/>
      <c r="F62" s="88"/>
      <c r="G62" s="88"/>
      <c r="H62" s="88"/>
      <c r="I62" s="88"/>
      <c r="J62" s="88"/>
    </row>
    <row r="63" spans="2:10" ht="15" customHeight="1">
      <c r="B63" s="32" t="str">
        <f>'Cálculo de cargas'!B50</f>
        <v>Hg1 =</v>
      </c>
      <c r="C63" s="20">
        <f>'Cálculo de cargas'!C50</f>
        <v>1.31</v>
      </c>
      <c r="D63" s="88" t="str">
        <f>'Cálculo de cargas'!D50</f>
        <v>m</v>
      </c>
      <c r="E63" s="88" t="str">
        <f>'Cálculo de cargas'!E50</f>
        <v xml:space="preserve">Centro de masa del equipo </v>
      </c>
      <c r="F63" s="88"/>
      <c r="G63" s="88"/>
      <c r="H63" s="88"/>
      <c r="I63" s="88"/>
      <c r="J63" s="88"/>
    </row>
    <row r="64" spans="2:10" ht="15" customHeight="1">
      <c r="B64" s="32" t="str">
        <f>'Cálculo de cargas'!B51</f>
        <v>Hg2 =</v>
      </c>
      <c r="C64" s="9">
        <f>'Cálculo de cargas'!C51</f>
        <v>0.92500000000000004</v>
      </c>
      <c r="D64" s="88" t="str">
        <f>'Cálculo de cargas'!D51</f>
        <v>m</v>
      </c>
      <c r="E64" s="88" t="str">
        <f>'Cálculo de cargas'!E51</f>
        <v>Centro de masa de la estructura</v>
      </c>
      <c r="F64" s="88"/>
      <c r="G64" s="88"/>
      <c r="H64" s="88"/>
      <c r="I64" s="88"/>
      <c r="J64" s="88"/>
    </row>
    <row r="65" spans="2:12" ht="15" customHeight="1">
      <c r="B65" s="32" t="str">
        <f>'Cálculo de cargas'!B52</f>
        <v>Hg3 =</v>
      </c>
      <c r="C65" s="20">
        <f>'Cálculo de cargas'!C52</f>
        <v>0.91159090909090923</v>
      </c>
      <c r="D65" s="88" t="str">
        <f>'Cálculo de cargas'!D52</f>
        <v>m</v>
      </c>
      <c r="E65" s="88" t="str">
        <f>'Cálculo de cargas'!E52</f>
        <v>Centro de masa de la fundación (sin considerar relleno ni napa)</v>
      </c>
      <c r="F65" s="88"/>
      <c r="G65" s="88"/>
      <c r="H65" s="88"/>
      <c r="I65" s="88"/>
      <c r="J65" s="88"/>
    </row>
    <row r="66" spans="2:12" ht="15" customHeight="1">
      <c r="B66" s="32"/>
      <c r="C66" s="9"/>
      <c r="D66" s="88"/>
      <c r="E66" s="88"/>
      <c r="F66" s="88"/>
      <c r="G66" s="88"/>
      <c r="H66" s="88"/>
      <c r="I66" s="88"/>
      <c r="J66" s="88"/>
    </row>
    <row r="67" spans="2:12" ht="15" customHeight="1">
      <c r="B67" s="32" t="str">
        <f>'Cálculo de cargas'!B54</f>
        <v>W1 =</v>
      </c>
      <c r="C67" s="9">
        <f>'Cálculo de cargas'!C54</f>
        <v>1118</v>
      </c>
      <c r="D67" s="88" t="str">
        <f>'Cálculo de cargas'!D54</f>
        <v>kg</v>
      </c>
      <c r="E67" s="88" t="str">
        <f>'Cálculo de cargas'!E54</f>
        <v>Peso del equipo</v>
      </c>
      <c r="F67" s="88"/>
      <c r="G67" s="88"/>
      <c r="H67" s="88"/>
      <c r="I67" s="88"/>
      <c r="J67" s="88"/>
    </row>
    <row r="68" spans="2:12" ht="15" customHeight="1">
      <c r="B68" s="32" t="str">
        <f>'Cálculo de cargas'!B55</f>
        <v>W2 =</v>
      </c>
      <c r="C68" s="9">
        <f>'Cálculo de cargas'!C55</f>
        <v>158.4</v>
      </c>
      <c r="D68" s="88" t="str">
        <f>'Cálculo de cargas'!D55</f>
        <v>kg</v>
      </c>
      <c r="E68" s="88" t="str">
        <f>'Cálculo de cargas'!E55</f>
        <v>Peso de la estructura</v>
      </c>
      <c r="F68" s="88"/>
      <c r="G68" s="88"/>
      <c r="H68" s="88"/>
      <c r="I68" s="88"/>
      <c r="J68" s="88"/>
    </row>
    <row r="69" spans="2:12" ht="15" customHeight="1">
      <c r="B69" s="32" t="str">
        <f>'Cálculo de cargas'!B56</f>
        <v>W3 =</v>
      </c>
      <c r="C69" s="89">
        <f>'Cálculo de cargas'!C56</f>
        <v>7668.0000000000009</v>
      </c>
      <c r="D69" s="88" t="str">
        <f>'Cálculo de cargas'!D56</f>
        <v>kg</v>
      </c>
      <c r="E69" s="88" t="str">
        <f>'Cálculo de cargas'!E56</f>
        <v>Peso de la fundación (sin considerar relleno ni napa)</v>
      </c>
      <c r="F69" s="88"/>
      <c r="G69" s="88"/>
      <c r="H69" s="88"/>
      <c r="I69" s="88"/>
      <c r="J69" s="88"/>
    </row>
    <row r="71" spans="2:12" ht="15" customHeight="1">
      <c r="B71" s="93" t="s">
        <v>619</v>
      </c>
      <c r="C71" s="88"/>
      <c r="D71" s="88"/>
      <c r="E71" s="88"/>
      <c r="F71" s="88"/>
      <c r="G71" s="88"/>
      <c r="H71" s="88"/>
      <c r="I71" s="88"/>
      <c r="J71" s="88"/>
      <c r="K71" s="88"/>
      <c r="L71" s="88"/>
    </row>
    <row r="72" spans="2:12" ht="15" customHeight="1">
      <c r="B72" s="94"/>
      <c r="C72" s="88"/>
      <c r="D72" s="88"/>
      <c r="E72" s="88"/>
      <c r="F72" s="88"/>
      <c r="G72" s="88"/>
      <c r="H72" s="88"/>
      <c r="I72" s="88"/>
      <c r="J72" s="88"/>
      <c r="K72" s="88"/>
      <c r="L72" s="88"/>
    </row>
    <row r="73" spans="2:12" ht="15" customHeight="1">
      <c r="B73" s="94" t="s">
        <v>621</v>
      </c>
      <c r="C73" s="88"/>
      <c r="D73" s="88"/>
      <c r="E73" s="88"/>
      <c r="F73" s="88"/>
      <c r="G73" s="88"/>
      <c r="H73" s="88"/>
      <c r="I73" s="88"/>
      <c r="J73" s="88"/>
      <c r="K73" s="88"/>
      <c r="L73" s="88"/>
    </row>
    <row r="74" spans="2:12" ht="15" customHeight="1"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</row>
    <row r="75" spans="2:12" ht="15" customHeight="1">
      <c r="B75" s="88"/>
      <c r="C75" s="194" t="s">
        <v>455</v>
      </c>
      <c r="D75" s="195"/>
      <c r="E75" s="194" t="s">
        <v>456</v>
      </c>
      <c r="F75" s="195"/>
      <c r="G75" s="194" t="s">
        <v>457</v>
      </c>
      <c r="H75" s="195"/>
      <c r="I75" s="194" t="s">
        <v>458</v>
      </c>
      <c r="J75" s="195"/>
      <c r="K75" s="88"/>
      <c r="L75" s="88"/>
    </row>
    <row r="76" spans="2:12" ht="15" customHeight="1">
      <c r="B76" s="97" t="s">
        <v>425</v>
      </c>
      <c r="C76" s="197">
        <f>'Cálculo de cargas'!C63</f>
        <v>1118</v>
      </c>
      <c r="D76" s="197"/>
      <c r="E76" s="197">
        <f>'Cálculo de cargas'!E63</f>
        <v>1118</v>
      </c>
      <c r="F76" s="197"/>
      <c r="G76" s="197">
        <f>'Cálculo de cargas'!G63</f>
        <v>0</v>
      </c>
      <c r="H76" s="197"/>
      <c r="I76" s="197">
        <f>'Cálculo de cargas'!J63</f>
        <v>0</v>
      </c>
      <c r="J76" s="197"/>
      <c r="K76" s="88" t="s">
        <v>689</v>
      </c>
      <c r="L76" s="88"/>
    </row>
    <row r="77" spans="2:12" ht="15" customHeight="1">
      <c r="B77" s="97" t="s">
        <v>426</v>
      </c>
      <c r="C77" s="197">
        <f>'Cálculo de cargas'!C64</f>
        <v>1276.4000000000001</v>
      </c>
      <c r="D77" s="197"/>
      <c r="E77" s="197">
        <f>'Cálculo de cargas'!E64</f>
        <v>1276.4000000000001</v>
      </c>
      <c r="F77" s="197"/>
      <c r="G77" s="197">
        <f>'Cálculo de cargas'!G64</f>
        <v>0</v>
      </c>
      <c r="H77" s="197"/>
      <c r="I77" s="197">
        <f>'Cálculo de cargas'!J64</f>
        <v>0</v>
      </c>
      <c r="J77" s="197"/>
      <c r="K77" s="88" t="s">
        <v>690</v>
      </c>
      <c r="L77" s="88"/>
    </row>
    <row r="78" spans="2:12" ht="15" customHeight="1">
      <c r="B78" s="97" t="s">
        <v>427</v>
      </c>
      <c r="C78" s="197">
        <f>'Cálculo de cargas'!C65</f>
        <v>8306.2000000000007</v>
      </c>
      <c r="D78" s="197"/>
      <c r="E78" s="197">
        <f>'Cálculo de cargas'!E65</f>
        <v>8306.2000000000007</v>
      </c>
      <c r="F78" s="197"/>
      <c r="G78" s="197">
        <f>'Cálculo de cargas'!G65</f>
        <v>0</v>
      </c>
      <c r="H78" s="197"/>
      <c r="I78" s="197">
        <f>'Cálculo de cargas'!J65</f>
        <v>0</v>
      </c>
      <c r="J78" s="197"/>
      <c r="K78" s="88" t="s">
        <v>691</v>
      </c>
      <c r="L78" s="88"/>
    </row>
    <row r="79" spans="2:12" ht="15" customHeight="1">
      <c r="B79" s="9"/>
      <c r="C79" s="88"/>
      <c r="D79" s="88"/>
      <c r="E79" s="88"/>
      <c r="F79" s="88"/>
      <c r="G79" s="88"/>
      <c r="H79" s="88"/>
      <c r="I79" s="88"/>
      <c r="J79" s="88"/>
      <c r="K79" s="88"/>
      <c r="L79" s="88"/>
    </row>
    <row r="80" spans="2:12" ht="15" customHeight="1">
      <c r="B80" s="94" t="s">
        <v>622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</row>
    <row r="81" spans="2:12" ht="15" customHeight="1"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</row>
    <row r="82" spans="2:12" ht="15" customHeight="1">
      <c r="B82" s="32" t="s">
        <v>414</v>
      </c>
      <c r="C82" s="9">
        <f>'Cálculo de cargas'!C69</f>
        <v>8944.4000000000015</v>
      </c>
      <c r="D82" s="88" t="s">
        <v>386</v>
      </c>
      <c r="E82" s="88" t="s">
        <v>415</v>
      </c>
      <c r="F82" s="88"/>
      <c r="G82" s="88"/>
      <c r="H82" s="88"/>
      <c r="I82" s="88"/>
      <c r="J82" s="88"/>
      <c r="K82" s="88"/>
      <c r="L82" s="88"/>
    </row>
    <row r="83" spans="2:12" ht="15" customHeight="1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</row>
    <row r="84" spans="2:12" ht="15" customHeight="1">
      <c r="B84" s="32" t="s">
        <v>416</v>
      </c>
      <c r="C84" s="9">
        <f>'Cálculo de cargas'!C71</f>
        <v>0.5</v>
      </c>
      <c r="D84" s="88"/>
      <c r="E84" s="88"/>
      <c r="F84" s="88"/>
      <c r="G84" s="88"/>
      <c r="H84" s="88"/>
      <c r="I84" s="88"/>
      <c r="J84" s="88"/>
      <c r="K84" s="88"/>
      <c r="L84" s="88"/>
    </row>
    <row r="85" spans="2:12" ht="15" customHeight="1">
      <c r="B85" s="32" t="s">
        <v>417</v>
      </c>
      <c r="C85" s="9">
        <f>'Cálculo de cargas'!C72</f>
        <v>1.06</v>
      </c>
      <c r="D85" s="88"/>
      <c r="E85" s="32" t="s">
        <v>421</v>
      </c>
      <c r="F85" s="96">
        <f>'Cálculo de cargas'!F72</f>
        <v>0.35333333333333333</v>
      </c>
      <c r="G85" s="88"/>
      <c r="H85" s="88" t="s">
        <v>423</v>
      </c>
      <c r="I85" s="88"/>
      <c r="J85" s="88"/>
      <c r="K85" s="88"/>
      <c r="L85" s="88"/>
    </row>
    <row r="86" spans="2:12" ht="15" customHeight="1">
      <c r="B86" s="32" t="s">
        <v>418</v>
      </c>
      <c r="C86" s="9">
        <f>'Cálculo de cargas'!C73</f>
        <v>3</v>
      </c>
      <c r="D86" s="88"/>
      <c r="E86" s="32" t="s">
        <v>422</v>
      </c>
      <c r="F86" s="96">
        <f>'Cálculo de cargas'!F73</f>
        <v>0.21199999999999999</v>
      </c>
      <c r="G86" s="88"/>
      <c r="H86" s="88" t="s">
        <v>424</v>
      </c>
      <c r="I86" s="88"/>
      <c r="J86" s="88"/>
      <c r="K86" s="88"/>
      <c r="L86" s="88"/>
    </row>
    <row r="87" spans="2:12" ht="15" customHeight="1">
      <c r="B87" s="95" t="s">
        <v>419</v>
      </c>
      <c r="C87" s="9">
        <f>'Cálculo de cargas'!C74</f>
        <v>5</v>
      </c>
      <c r="D87" s="88" t="s">
        <v>420</v>
      </c>
      <c r="E87" s="88"/>
      <c r="F87" s="88"/>
      <c r="G87" s="88"/>
      <c r="H87" s="88"/>
      <c r="I87" s="88"/>
      <c r="J87" s="88"/>
      <c r="K87" s="88"/>
      <c r="L87" s="88"/>
    </row>
    <row r="88" spans="2:12" ht="15" customHeight="1">
      <c r="B88" s="95"/>
      <c r="C88" s="9"/>
      <c r="D88" s="88"/>
      <c r="E88" s="88"/>
      <c r="F88" s="88"/>
      <c r="G88" s="88"/>
      <c r="H88" s="88"/>
      <c r="I88" s="88"/>
      <c r="J88" s="88"/>
      <c r="K88" s="88"/>
      <c r="L88" s="88"/>
    </row>
    <row r="89" spans="2:12" ht="15" customHeight="1">
      <c r="B89" s="87" t="s">
        <v>412</v>
      </c>
      <c r="C89" s="9">
        <f>'Cálculo de cargas'!C76</f>
        <v>3160.3546666666671</v>
      </c>
      <c r="D89" s="88" t="s">
        <v>386</v>
      </c>
      <c r="E89" s="88" t="s">
        <v>413</v>
      </c>
      <c r="F89" s="88"/>
      <c r="G89" s="88"/>
      <c r="H89" s="88"/>
      <c r="I89" s="88"/>
      <c r="J89" s="88"/>
      <c r="K89" s="88"/>
      <c r="L89" s="88"/>
    </row>
    <row r="90" spans="2:12" ht="15" customHeight="1">
      <c r="B90" s="88"/>
      <c r="C90" s="9"/>
      <c r="D90" s="88"/>
      <c r="E90" s="88"/>
      <c r="F90" s="88"/>
      <c r="G90" s="88"/>
      <c r="H90" s="88"/>
      <c r="I90" s="88"/>
      <c r="J90" s="88"/>
      <c r="K90" s="88"/>
      <c r="L90" s="88"/>
    </row>
    <row r="91" spans="2:12" ht="15" customHeight="1">
      <c r="B91" s="32" t="s">
        <v>428</v>
      </c>
      <c r="C91" s="9">
        <f>'Cálculo de cargas'!C78</f>
        <v>395.02666666666664</v>
      </c>
      <c r="D91" s="88" t="s">
        <v>386</v>
      </c>
      <c r="E91" s="32" t="s">
        <v>432</v>
      </c>
      <c r="F91" s="9">
        <f>'Cálculo de cargas'!F78</f>
        <v>1417.9645336855517</v>
      </c>
      <c r="G91" s="88" t="s">
        <v>386</v>
      </c>
      <c r="H91" s="32" t="s">
        <v>435</v>
      </c>
      <c r="I91" s="9">
        <f>'Cálculo de cargas'!I78</f>
        <v>1076.9852446792565</v>
      </c>
      <c r="J91" s="88" t="s">
        <v>386</v>
      </c>
      <c r="K91" s="88"/>
      <c r="L91" s="88"/>
    </row>
    <row r="92" spans="2:12" ht="15" customHeight="1">
      <c r="B92" s="32" t="s">
        <v>429</v>
      </c>
      <c r="C92" s="9">
        <f>'Cálculo de cargas'!C79</f>
        <v>55.968000000000004</v>
      </c>
      <c r="D92" s="88" t="s">
        <v>386</v>
      </c>
      <c r="E92" s="32" t="s">
        <v>433</v>
      </c>
      <c r="F92" s="9">
        <f>'Cálculo de cargas'!F79</f>
        <v>118.66313510977987</v>
      </c>
      <c r="G92" s="88" t="s">
        <v>386</v>
      </c>
      <c r="H92" s="32" t="s">
        <v>436</v>
      </c>
      <c r="I92" s="9">
        <f>'Cálculo de cargas'!I79</f>
        <v>97.764756739853254</v>
      </c>
      <c r="J92" s="88" t="s">
        <v>386</v>
      </c>
      <c r="K92" s="88"/>
      <c r="L92" s="88"/>
    </row>
    <row r="93" spans="2:12" ht="15" customHeight="1">
      <c r="B93" s="32" t="s">
        <v>430</v>
      </c>
      <c r="C93" s="9">
        <f>'Cálculo de cargas'!C80</f>
        <v>2709.36</v>
      </c>
      <c r="D93" s="88" t="s">
        <v>386</v>
      </c>
      <c r="E93" s="32" t="s">
        <v>434</v>
      </c>
      <c r="F93" s="9">
        <f>'Cálculo de cargas'!F80</f>
        <v>1623.7269978713355</v>
      </c>
      <c r="G93" s="88" t="s">
        <v>386</v>
      </c>
      <c r="H93" s="32" t="s">
        <v>437</v>
      </c>
      <c r="I93" s="9">
        <f>'Cálculo de cargas'!I80</f>
        <v>1985.604665247557</v>
      </c>
      <c r="J93" s="88" t="s">
        <v>386</v>
      </c>
      <c r="K93" s="88"/>
      <c r="L93" s="88"/>
    </row>
    <row r="94" spans="2:12" ht="15" customHeight="1"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</row>
    <row r="95" spans="2:12" ht="15" customHeight="1">
      <c r="B95" s="88"/>
      <c r="C95" s="194" t="s">
        <v>455</v>
      </c>
      <c r="D95" s="195"/>
      <c r="E95" s="194" t="s">
        <v>456</v>
      </c>
      <c r="F95" s="195"/>
      <c r="G95" s="194" t="s">
        <v>457</v>
      </c>
      <c r="H95" s="195"/>
      <c r="I95" s="194" t="s">
        <v>458</v>
      </c>
      <c r="J95" s="195"/>
      <c r="K95" s="88"/>
      <c r="L95" s="88"/>
    </row>
    <row r="96" spans="2:12" ht="15" customHeight="1">
      <c r="B96" s="97" t="s">
        <v>425</v>
      </c>
      <c r="C96" s="197">
        <f>'Cálculo de cargas'!C83</f>
        <v>237.01599999999999</v>
      </c>
      <c r="D96" s="197"/>
      <c r="E96" s="197">
        <f>'Cálculo de cargas'!E83</f>
        <v>-237.01599999999999</v>
      </c>
      <c r="F96" s="197"/>
      <c r="G96" s="197">
        <f>'Cálculo de cargas'!G83</f>
        <v>1076.9852446792565</v>
      </c>
      <c r="H96" s="197"/>
      <c r="I96" s="197">
        <f>'Cálculo de cargas'!J83</f>
        <v>1285.4417220382861</v>
      </c>
      <c r="J96" s="197"/>
      <c r="K96" s="88"/>
      <c r="L96" s="88"/>
    </row>
    <row r="97" spans="2:12" ht="15" customHeight="1">
      <c r="B97" s="97" t="s">
        <v>426</v>
      </c>
      <c r="C97" s="197">
        <f>'Cálculo de cargas'!C84</f>
        <v>270.59680000000003</v>
      </c>
      <c r="D97" s="197"/>
      <c r="E97" s="197">
        <f>'Cálculo de cargas'!E84</f>
        <v>-270.59680000000003</v>
      </c>
      <c r="F97" s="197"/>
      <c r="G97" s="197">
        <f>'Cálculo de cargas'!G84</f>
        <v>1174.7500014191098</v>
      </c>
      <c r="H97" s="197"/>
      <c r="I97" s="197">
        <f>'Cálculo de cargas'!J84</f>
        <v>3010.1058040331145</v>
      </c>
      <c r="J97" s="197"/>
      <c r="K97" s="88"/>
      <c r="L97" s="88"/>
    </row>
    <row r="98" spans="2:12" ht="15" customHeight="1">
      <c r="B98" s="97" t="s">
        <v>427</v>
      </c>
      <c r="C98" s="197">
        <f>'Cálculo de cargas'!C85</f>
        <v>1760.9144000000001</v>
      </c>
      <c r="D98" s="197"/>
      <c r="E98" s="197">
        <f>'Cálculo de cargas'!E85</f>
        <v>-1760.9144000000001</v>
      </c>
      <c r="F98" s="197"/>
      <c r="G98" s="197">
        <f>'Cálculo de cargas'!G85</f>
        <v>2572.979665957112</v>
      </c>
      <c r="H98" s="197"/>
      <c r="I98" s="197">
        <f>'Cálculo de cargas'!J85</f>
        <v>3926.2996400844445</v>
      </c>
      <c r="J98" s="197"/>
      <c r="K98" s="88"/>
      <c r="L98" s="88"/>
    </row>
    <row r="99" spans="2:12" ht="15" customHeight="1"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</row>
    <row r="100" spans="2:12" ht="15" customHeight="1">
      <c r="B100" s="94" t="s">
        <v>623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88"/>
    </row>
    <row r="101" spans="2:12" ht="15" customHeight="1"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</row>
    <row r="102" spans="2:12" ht="15" customHeight="1">
      <c r="B102" s="32" t="s">
        <v>443</v>
      </c>
      <c r="C102" s="9">
        <f>'Cálculo de cargas'!C89</f>
        <v>100</v>
      </c>
      <c r="D102" s="88" t="s">
        <v>444</v>
      </c>
      <c r="E102" s="88" t="s">
        <v>446</v>
      </c>
      <c r="F102" s="88"/>
      <c r="G102" s="88"/>
      <c r="H102" s="88"/>
      <c r="I102" s="88"/>
      <c r="J102" s="88"/>
      <c r="K102" s="88"/>
      <c r="L102" s="88"/>
    </row>
    <row r="103" spans="2:12" ht="15" customHeight="1">
      <c r="B103" s="32" t="s">
        <v>441</v>
      </c>
      <c r="C103" s="9">
        <f>'Cálculo de cargas'!C90</f>
        <v>1.1746987951807228</v>
      </c>
      <c r="D103" s="88" t="s">
        <v>445</v>
      </c>
      <c r="E103" s="88" t="s">
        <v>447</v>
      </c>
      <c r="F103" s="88"/>
      <c r="G103" s="88"/>
      <c r="H103" s="88"/>
      <c r="I103" s="88"/>
      <c r="J103" s="88"/>
      <c r="K103" s="88"/>
      <c r="L103" s="88"/>
    </row>
    <row r="104" spans="2:12" ht="15" customHeight="1">
      <c r="B104" s="32" t="s">
        <v>442</v>
      </c>
      <c r="C104" s="20">
        <f>'Cálculo de cargas'!C91</f>
        <v>0.57999999999999996</v>
      </c>
      <c r="D104" s="88" t="s">
        <v>445</v>
      </c>
      <c r="E104" s="88" t="s">
        <v>448</v>
      </c>
      <c r="F104" s="88"/>
      <c r="G104" s="88"/>
      <c r="H104" s="88"/>
      <c r="I104" s="88"/>
      <c r="J104" s="88"/>
      <c r="K104" s="88"/>
      <c r="L104" s="88"/>
    </row>
    <row r="105" spans="2:12" ht="15" customHeight="1">
      <c r="B105" s="32"/>
      <c r="C105" s="9"/>
      <c r="D105" s="88"/>
      <c r="E105" s="88"/>
      <c r="F105" s="88"/>
      <c r="G105" s="88"/>
      <c r="H105" s="88"/>
      <c r="I105" s="88"/>
      <c r="J105" s="88"/>
      <c r="K105" s="88"/>
      <c r="L105" s="88"/>
    </row>
    <row r="106" spans="2:12" ht="15" customHeight="1">
      <c r="B106" s="88"/>
      <c r="C106" s="194" t="s">
        <v>455</v>
      </c>
      <c r="D106" s="195"/>
      <c r="E106" s="194" t="s">
        <v>456</v>
      </c>
      <c r="F106" s="195"/>
      <c r="G106" s="194" t="s">
        <v>457</v>
      </c>
      <c r="H106" s="195"/>
      <c r="I106" s="194" t="s">
        <v>458</v>
      </c>
      <c r="J106" s="195"/>
      <c r="K106" s="88"/>
      <c r="L106" s="88"/>
    </row>
    <row r="107" spans="2:12" ht="15" customHeight="1">
      <c r="B107" s="97" t="s">
        <v>425</v>
      </c>
      <c r="C107" s="197">
        <f>'Cálculo de cargas'!C97</f>
        <v>0</v>
      </c>
      <c r="D107" s="197"/>
      <c r="E107" s="197">
        <f>'Cálculo de cargas'!E97</f>
        <v>0</v>
      </c>
      <c r="F107" s="197"/>
      <c r="G107" s="197">
        <f>'Cálculo de cargas'!G97</f>
        <v>390</v>
      </c>
      <c r="H107" s="197"/>
      <c r="I107" s="197">
        <f>'Cálculo de cargas'!J97</f>
        <v>182.6</v>
      </c>
      <c r="J107" s="197"/>
      <c r="K107" s="88"/>
      <c r="L107" s="88"/>
    </row>
    <row r="108" spans="2:12" ht="15" customHeight="1">
      <c r="B108" s="97" t="s">
        <v>426</v>
      </c>
      <c r="C108" s="197">
        <f>'Cálculo de cargas'!C98</f>
        <v>0</v>
      </c>
      <c r="D108" s="197"/>
      <c r="E108" s="197">
        <f>'Cálculo de cargas'!E98</f>
        <v>0</v>
      </c>
      <c r="F108" s="197"/>
      <c r="G108" s="197">
        <f>'Cálculo de cargas'!G98</f>
        <v>497.3</v>
      </c>
      <c r="H108" s="197"/>
      <c r="I108" s="197">
        <f>'Cálculo de cargas'!J98</f>
        <v>435.72624999999994</v>
      </c>
      <c r="J108" s="197"/>
      <c r="K108" s="88"/>
      <c r="L108" s="88"/>
    </row>
    <row r="109" spans="2:12" ht="15" customHeight="1">
      <c r="B109" s="97" t="s">
        <v>427</v>
      </c>
      <c r="C109" s="197">
        <f>'Cálculo de cargas'!C99</f>
        <v>0</v>
      </c>
      <c r="D109" s="197"/>
      <c r="E109" s="197">
        <f>'Cálculo de cargas'!E99</f>
        <v>0</v>
      </c>
      <c r="F109" s="197"/>
      <c r="G109" s="197">
        <f>'Cálculo de cargas'!G99</f>
        <v>248.65</v>
      </c>
      <c r="H109" s="197"/>
      <c r="I109" s="197">
        <f>'Cálculo de cargas'!J99</f>
        <v>467.75812500000001</v>
      </c>
      <c r="J109" s="197"/>
      <c r="K109" s="88"/>
      <c r="L109" s="88"/>
    </row>
    <row r="110" spans="2:12" ht="15" customHeight="1"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</row>
    <row r="111" spans="2:12" ht="15" customHeight="1">
      <c r="B111" s="94" t="s">
        <v>624</v>
      </c>
      <c r="C111" s="88"/>
      <c r="D111" s="88"/>
      <c r="E111" s="88"/>
      <c r="F111" s="88"/>
      <c r="G111" s="88"/>
      <c r="H111" s="88"/>
      <c r="I111" s="88"/>
      <c r="J111" s="88"/>
      <c r="K111" s="88"/>
      <c r="L111" s="88"/>
    </row>
    <row r="112" spans="2:12" ht="15" customHeight="1">
      <c r="B112" s="94"/>
      <c r="C112" s="88"/>
      <c r="D112" s="88"/>
      <c r="E112" s="88"/>
      <c r="F112" s="88"/>
      <c r="G112" s="88"/>
      <c r="H112" s="88"/>
      <c r="I112" s="88"/>
      <c r="J112" s="88"/>
      <c r="K112" s="88"/>
      <c r="L112" s="88"/>
    </row>
    <row r="113" spans="2:12" ht="15" customHeight="1">
      <c r="B113" s="32" t="s">
        <v>449</v>
      </c>
      <c r="C113" s="9">
        <f>'Cálculo de cargas'!C103</f>
        <v>500</v>
      </c>
      <c r="D113" s="88" t="s">
        <v>386</v>
      </c>
      <c r="E113" s="88" t="s">
        <v>450</v>
      </c>
      <c r="F113" s="88"/>
      <c r="G113" s="88"/>
      <c r="H113" s="88"/>
      <c r="I113" s="88"/>
      <c r="J113" s="88"/>
      <c r="K113" s="88"/>
      <c r="L113" s="88"/>
    </row>
    <row r="114" spans="2:12" ht="15" customHeight="1"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</row>
    <row r="115" spans="2:12" ht="15" customHeight="1">
      <c r="B115" s="88"/>
      <c r="C115" s="194" t="s">
        <v>455</v>
      </c>
      <c r="D115" s="195"/>
      <c r="E115" s="194" t="s">
        <v>456</v>
      </c>
      <c r="F115" s="195"/>
      <c r="G115" s="194" t="s">
        <v>457</v>
      </c>
      <c r="H115" s="195"/>
      <c r="I115" s="194" t="s">
        <v>458</v>
      </c>
      <c r="J115" s="195"/>
      <c r="K115" s="88"/>
      <c r="L115" s="88"/>
    </row>
    <row r="116" spans="2:12" ht="15" customHeight="1">
      <c r="B116" s="97" t="s">
        <v>425</v>
      </c>
      <c r="C116" s="197">
        <f>'Cálculo de cargas'!C106</f>
        <v>500</v>
      </c>
      <c r="D116" s="197"/>
      <c r="E116" s="197">
        <f>'Cálculo de cargas'!E106</f>
        <v>-500</v>
      </c>
      <c r="F116" s="197"/>
      <c r="G116" s="197">
        <f>'Cálculo de cargas'!G106</f>
        <v>800</v>
      </c>
      <c r="H116" s="197"/>
      <c r="I116" s="197">
        <f>'Cálculo de cargas'!J106</f>
        <v>1493.9999999999998</v>
      </c>
      <c r="J116" s="197"/>
      <c r="K116" s="88"/>
      <c r="L116" s="88"/>
    </row>
    <row r="117" spans="2:12" ht="15" customHeight="1">
      <c r="B117" s="97" t="s">
        <v>426</v>
      </c>
      <c r="C117" s="197">
        <f>'Cálculo de cargas'!C107</f>
        <v>500</v>
      </c>
      <c r="D117" s="197"/>
      <c r="E117" s="197">
        <f>'Cálculo de cargas'!E107</f>
        <v>-500</v>
      </c>
      <c r="F117" s="197"/>
      <c r="G117" s="197">
        <f>'Cálculo de cargas'!G107</f>
        <v>800</v>
      </c>
      <c r="H117" s="197"/>
      <c r="I117" s="197">
        <f>'Cálculo de cargas'!J107</f>
        <v>2604</v>
      </c>
      <c r="J117" s="197"/>
      <c r="K117" s="88"/>
      <c r="L117" s="88"/>
    </row>
    <row r="118" spans="2:12" ht="15" customHeight="1">
      <c r="B118" s="97" t="s">
        <v>427</v>
      </c>
      <c r="C118" s="197">
        <f>'Cálculo de cargas'!C108</f>
        <v>500</v>
      </c>
      <c r="D118" s="197"/>
      <c r="E118" s="197">
        <f>'Cálculo de cargas'!E108</f>
        <v>-500</v>
      </c>
      <c r="F118" s="197"/>
      <c r="G118" s="197">
        <f>'Cálculo de cargas'!G108</f>
        <v>400</v>
      </c>
      <c r="H118" s="197"/>
      <c r="I118" s="197">
        <f>'Cálculo de cargas'!J108</f>
        <v>1992</v>
      </c>
      <c r="J118" s="197"/>
      <c r="K118" s="88"/>
      <c r="L118" s="88"/>
    </row>
    <row r="119" spans="2:12" ht="15" customHeight="1"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</row>
    <row r="120" spans="2:12" ht="15" customHeight="1">
      <c r="B120" s="93" t="s">
        <v>640</v>
      </c>
      <c r="C120" s="88"/>
      <c r="D120" s="88"/>
      <c r="E120" s="88"/>
      <c r="F120" s="88"/>
      <c r="G120" s="88"/>
      <c r="H120" s="88"/>
      <c r="I120" s="88"/>
      <c r="J120" s="88"/>
      <c r="K120" s="88"/>
      <c r="L120" s="88"/>
    </row>
    <row r="121" spans="2:12" ht="15" customHeight="1"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</row>
    <row r="122" spans="2:12" ht="15" customHeight="1">
      <c r="B122" s="88"/>
      <c r="C122" s="142" t="s">
        <v>387</v>
      </c>
      <c r="D122" s="142" t="s">
        <v>452</v>
      </c>
      <c r="E122" s="88"/>
      <c r="F122" s="88"/>
      <c r="G122" s="88"/>
      <c r="H122" s="88"/>
      <c r="I122" s="88"/>
      <c r="J122" s="88"/>
      <c r="K122" s="88"/>
      <c r="L122" s="88"/>
    </row>
    <row r="123" spans="2:12" ht="15" customHeight="1"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</row>
    <row r="124" spans="2:12" ht="15" customHeight="1">
      <c r="B124" s="88"/>
      <c r="C124" s="194" t="s">
        <v>455</v>
      </c>
      <c r="D124" s="195"/>
      <c r="E124" s="194" t="s">
        <v>456</v>
      </c>
      <c r="F124" s="195"/>
      <c r="G124" s="194" t="s">
        <v>457</v>
      </c>
      <c r="H124" s="195"/>
      <c r="I124" s="194" t="s">
        <v>458</v>
      </c>
      <c r="J124" s="195"/>
      <c r="K124" s="88"/>
      <c r="L124" s="88"/>
    </row>
    <row r="125" spans="2:12" ht="15" customHeight="1">
      <c r="B125" s="97" t="s">
        <v>425</v>
      </c>
      <c r="C125" s="210">
        <f>'Cálculo de cargas'!C115</f>
        <v>1618</v>
      </c>
      <c r="D125" s="210"/>
      <c r="E125" s="210">
        <f>'Cálculo de cargas'!E115</f>
        <v>618</v>
      </c>
      <c r="F125" s="210"/>
      <c r="G125" s="210">
        <f>'Cálculo de cargas'!G115</f>
        <v>800</v>
      </c>
      <c r="H125" s="210"/>
      <c r="I125" s="210">
        <f>'Cálculo de cargas'!J115</f>
        <v>1493.9999999999998</v>
      </c>
      <c r="J125" s="210"/>
      <c r="K125" s="94" t="s">
        <v>393</v>
      </c>
      <c r="L125" s="88"/>
    </row>
    <row r="126" spans="2:12" ht="15" customHeight="1">
      <c r="B126" s="97" t="s">
        <v>426</v>
      </c>
      <c r="C126" s="210">
        <f>'Cálculo de cargas'!C116</f>
        <v>1776.4</v>
      </c>
      <c r="D126" s="210"/>
      <c r="E126" s="210">
        <f>'Cálculo de cargas'!E116</f>
        <v>776.40000000000009</v>
      </c>
      <c r="F126" s="210"/>
      <c r="G126" s="210">
        <f>'Cálculo de cargas'!G116</f>
        <v>800</v>
      </c>
      <c r="H126" s="210"/>
      <c r="I126" s="210">
        <f>'Cálculo de cargas'!J116</f>
        <v>2604</v>
      </c>
      <c r="J126" s="210"/>
      <c r="K126" s="94" t="s">
        <v>394</v>
      </c>
      <c r="L126" s="88"/>
    </row>
    <row r="127" spans="2:12" ht="15" customHeight="1">
      <c r="B127" s="97" t="s">
        <v>427</v>
      </c>
      <c r="C127" s="197">
        <f>'Cálculo de cargas'!C117</f>
        <v>8806.2000000000007</v>
      </c>
      <c r="D127" s="197"/>
      <c r="E127" s="197">
        <f>'Cálculo de cargas'!E117</f>
        <v>7806.2000000000007</v>
      </c>
      <c r="F127" s="197"/>
      <c r="G127" s="197">
        <f>'Cálculo de cargas'!G117</f>
        <v>400</v>
      </c>
      <c r="H127" s="197"/>
      <c r="I127" s="197">
        <f>'Cálculo de cargas'!J117</f>
        <v>1992</v>
      </c>
      <c r="J127" s="197"/>
      <c r="K127" s="88" t="s">
        <v>395</v>
      </c>
      <c r="L127" s="88"/>
    </row>
    <row r="128" spans="2:12" ht="15" customHeight="1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</row>
    <row r="129" spans="2:14" ht="15" customHeight="1">
      <c r="B129" s="88"/>
      <c r="C129" s="142" t="s">
        <v>388</v>
      </c>
      <c r="D129" s="142" t="s">
        <v>453</v>
      </c>
      <c r="E129" s="88"/>
      <c r="F129" s="88"/>
      <c r="G129" s="88"/>
      <c r="H129" s="88"/>
      <c r="I129" s="88"/>
      <c r="J129" s="88"/>
      <c r="K129" s="88"/>
      <c r="L129" s="88"/>
    </row>
    <row r="130" spans="2:14" ht="15" customHeight="1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</row>
    <row r="131" spans="2:14" ht="15" customHeight="1">
      <c r="B131" s="88"/>
      <c r="C131" s="194" t="s">
        <v>455</v>
      </c>
      <c r="D131" s="195"/>
      <c r="E131" s="194" t="s">
        <v>456</v>
      </c>
      <c r="F131" s="195"/>
      <c r="G131" s="194" t="s">
        <v>457</v>
      </c>
      <c r="H131" s="195"/>
      <c r="I131" s="194" t="s">
        <v>458</v>
      </c>
      <c r="J131" s="195"/>
      <c r="K131" s="88"/>
      <c r="L131" s="88"/>
    </row>
    <row r="132" spans="2:14" ht="15" customHeight="1">
      <c r="B132" s="97" t="s">
        <v>425</v>
      </c>
      <c r="C132" s="210">
        <f>'Cálculo de cargas'!C122</f>
        <v>1618</v>
      </c>
      <c r="D132" s="210"/>
      <c r="E132" s="210">
        <f>'Cálculo de cargas'!E122</f>
        <v>618</v>
      </c>
      <c r="F132" s="210"/>
      <c r="G132" s="210">
        <f>'Cálculo de cargas'!G122</f>
        <v>1190</v>
      </c>
      <c r="H132" s="210"/>
      <c r="I132" s="210">
        <f>'Cálculo de cargas'!J122</f>
        <v>1676.5999999999997</v>
      </c>
      <c r="J132" s="210"/>
      <c r="K132" s="94" t="s">
        <v>393</v>
      </c>
      <c r="L132" s="88"/>
    </row>
    <row r="133" spans="2:14" ht="15" customHeight="1">
      <c r="B133" s="97" t="s">
        <v>426</v>
      </c>
      <c r="C133" s="210">
        <f>'Cálculo de cargas'!C123</f>
        <v>1776.4</v>
      </c>
      <c r="D133" s="210"/>
      <c r="E133" s="210">
        <f>'Cálculo de cargas'!E123</f>
        <v>776.40000000000009</v>
      </c>
      <c r="F133" s="210"/>
      <c r="G133" s="210">
        <f>'Cálculo de cargas'!G123</f>
        <v>1297.3</v>
      </c>
      <c r="H133" s="210"/>
      <c r="I133" s="210">
        <f>'Cálculo de cargas'!J123</f>
        <v>3039.7262499999997</v>
      </c>
      <c r="J133" s="210"/>
      <c r="K133" s="94" t="s">
        <v>394</v>
      </c>
      <c r="L133" s="88"/>
    </row>
    <row r="134" spans="2:14" ht="15" customHeight="1">
      <c r="B134" s="97" t="s">
        <v>427</v>
      </c>
      <c r="C134" s="197">
        <f>'Cálculo de cargas'!C124</f>
        <v>8806.2000000000007</v>
      </c>
      <c r="D134" s="197"/>
      <c r="E134" s="197">
        <f>'Cálculo de cargas'!E124</f>
        <v>7806.2000000000007</v>
      </c>
      <c r="F134" s="197"/>
      <c r="G134" s="197">
        <f>'Cálculo de cargas'!G124</f>
        <v>648.65</v>
      </c>
      <c r="H134" s="197"/>
      <c r="I134" s="197">
        <f>'Cálculo de cargas'!J124</f>
        <v>2459.7581249999998</v>
      </c>
      <c r="J134" s="197"/>
      <c r="K134" s="88" t="s">
        <v>395</v>
      </c>
      <c r="L134" s="88"/>
    </row>
    <row r="135" spans="2:14" ht="15" customHeight="1"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</row>
    <row r="136" spans="2:14" ht="15" customHeight="1">
      <c r="B136" s="88"/>
      <c r="C136" s="142" t="s">
        <v>389</v>
      </c>
      <c r="D136" s="142" t="s">
        <v>454</v>
      </c>
      <c r="E136" s="88"/>
      <c r="F136" s="88"/>
      <c r="G136" s="88"/>
      <c r="H136" s="88"/>
      <c r="I136" s="88"/>
      <c r="J136" s="88"/>
      <c r="K136" s="88"/>
      <c r="L136" s="88"/>
    </row>
    <row r="137" spans="2:14" ht="15" customHeight="1"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</row>
    <row r="138" spans="2:14" ht="15" customHeight="1">
      <c r="B138" s="88"/>
      <c r="C138" s="194" t="s">
        <v>455</v>
      </c>
      <c r="D138" s="195"/>
      <c r="E138" s="194" t="s">
        <v>456</v>
      </c>
      <c r="F138" s="195"/>
      <c r="G138" s="194" t="s">
        <v>457</v>
      </c>
      <c r="H138" s="195"/>
      <c r="I138" s="194" t="s">
        <v>458</v>
      </c>
      <c r="J138" s="195"/>
      <c r="K138" s="88"/>
      <c r="L138" s="88"/>
    </row>
    <row r="139" spans="2:14" ht="15" customHeight="1">
      <c r="B139" s="97" t="s">
        <v>425</v>
      </c>
      <c r="C139" s="210">
        <f>'Cálculo de cargas'!C129</f>
        <v>1855.0160000000001</v>
      </c>
      <c r="D139" s="210"/>
      <c r="E139" s="210">
        <f>'Cálculo de cargas'!E129</f>
        <v>380.98400000000004</v>
      </c>
      <c r="F139" s="210"/>
      <c r="G139" s="210">
        <f>'Cálculo de cargas'!G129</f>
        <v>1876.9852446792565</v>
      </c>
      <c r="H139" s="210"/>
      <c r="I139" s="210">
        <f>'Cálculo de cargas'!J129</f>
        <v>2779.4417220382857</v>
      </c>
      <c r="J139" s="210"/>
      <c r="K139" s="94" t="s">
        <v>393</v>
      </c>
      <c r="L139" s="88"/>
    </row>
    <row r="140" spans="2:14" ht="15" customHeight="1">
      <c r="B140" s="97" t="s">
        <v>426</v>
      </c>
      <c r="C140" s="210">
        <f>'Cálculo de cargas'!C130</f>
        <v>2046.9968000000001</v>
      </c>
      <c r="D140" s="210"/>
      <c r="E140" s="210">
        <f>'Cálculo de cargas'!E130</f>
        <v>505.80320000000006</v>
      </c>
      <c r="F140" s="210"/>
      <c r="G140" s="210">
        <f>'Cálculo de cargas'!G130</f>
        <v>1974.7500014191098</v>
      </c>
      <c r="H140" s="210"/>
      <c r="I140" s="210">
        <f>'Cálculo de cargas'!J130</f>
        <v>5614.1058040331145</v>
      </c>
      <c r="J140" s="210"/>
      <c r="K140" s="94" t="s">
        <v>394</v>
      </c>
      <c r="L140" s="88"/>
    </row>
    <row r="141" spans="2:14" ht="15" customHeight="1">
      <c r="B141" s="97" t="s">
        <v>427</v>
      </c>
      <c r="C141" s="197">
        <f>'Cálculo de cargas'!C131</f>
        <v>10567.1144</v>
      </c>
      <c r="D141" s="197"/>
      <c r="E141" s="197">
        <f>'Cálculo de cargas'!E131</f>
        <v>6045.2856000000011</v>
      </c>
      <c r="F141" s="197"/>
      <c r="G141" s="197">
        <f>'Cálculo de cargas'!G131</f>
        <v>2972.979665957112</v>
      </c>
      <c r="H141" s="197"/>
      <c r="I141" s="197">
        <f>'Cálculo de cargas'!J131</f>
        <v>5918.299640084444</v>
      </c>
      <c r="J141" s="197"/>
      <c r="K141" s="88" t="s">
        <v>395</v>
      </c>
      <c r="L141" s="88"/>
    </row>
    <row r="143" spans="2:14" ht="15" customHeight="1">
      <c r="B143" s="136" t="s">
        <v>620</v>
      </c>
      <c r="C143" s="4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2:14" ht="15" customHeight="1">
      <c r="B144" s="22"/>
      <c r="C144" s="4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</row>
    <row r="145" spans="2:14" ht="15" customHeight="1">
      <c r="B145" s="52"/>
      <c r="C145" s="138" t="s">
        <v>560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2:14" ht="15" customHeight="1">
      <c r="B146" s="22"/>
      <c r="C146" s="4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 spans="2:14" ht="15" customHeight="1">
      <c r="B147" s="52" t="s">
        <v>385</v>
      </c>
      <c r="C147" s="141">
        <f>'Cálculo de estructura'!D72</f>
        <v>0.625</v>
      </c>
      <c r="D147" s="22" t="s">
        <v>547</v>
      </c>
      <c r="E147" s="22" t="s">
        <v>561</v>
      </c>
      <c r="F147" s="22"/>
      <c r="G147" s="22"/>
      <c r="H147" s="22"/>
      <c r="I147" s="22"/>
      <c r="J147" s="22"/>
      <c r="K147" s="22"/>
      <c r="L147" s="22"/>
      <c r="M147" s="22"/>
      <c r="N147" s="22"/>
    </row>
    <row r="148" spans="2:14" ht="15" customHeight="1">
      <c r="B148" s="52" t="s">
        <v>562</v>
      </c>
      <c r="C148" s="137">
        <f>'Cálculo de estructura'!D73</f>
        <v>1.9793260902246004</v>
      </c>
      <c r="D148" s="63" t="s">
        <v>348</v>
      </c>
      <c r="E148" s="22" t="s">
        <v>563</v>
      </c>
      <c r="F148" s="22"/>
      <c r="G148" s="22"/>
      <c r="H148" s="22"/>
      <c r="I148" s="22"/>
      <c r="J148" s="22"/>
      <c r="K148" s="22"/>
      <c r="L148" s="22"/>
      <c r="M148" s="22"/>
      <c r="N148" s="22"/>
    </row>
    <row r="149" spans="2:14" ht="15" customHeight="1">
      <c r="B149" s="52" t="s">
        <v>355</v>
      </c>
      <c r="C149" s="137">
        <f>'Cálculo de estructura'!D74</f>
        <v>1</v>
      </c>
      <c r="D149" s="72"/>
      <c r="E149" s="22" t="s">
        <v>564</v>
      </c>
      <c r="F149" s="22"/>
      <c r="G149" s="22"/>
      <c r="H149" s="22"/>
      <c r="I149" s="43"/>
      <c r="J149" s="22"/>
      <c r="K149" s="22"/>
      <c r="L149" s="22"/>
      <c r="M149" s="22"/>
      <c r="N149" s="22"/>
    </row>
    <row r="150" spans="2:14" ht="15" customHeight="1">
      <c r="B150" s="52" t="s">
        <v>565</v>
      </c>
      <c r="C150" s="140">
        <f>'Cálculo de estructura'!D75</f>
        <v>1476</v>
      </c>
      <c r="D150" s="22" t="s">
        <v>374</v>
      </c>
      <c r="E150" s="22" t="s">
        <v>566</v>
      </c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2:14" ht="15" customHeight="1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43"/>
      <c r="N151" s="22"/>
    </row>
    <row r="152" spans="2:14" ht="15" customHeight="1">
      <c r="B152" s="52" t="s">
        <v>559</v>
      </c>
      <c r="C152" s="140">
        <f>'Cálculo de estructura'!D77</f>
        <v>52.729475015260022</v>
      </c>
      <c r="D152" s="22" t="s">
        <v>374</v>
      </c>
      <c r="E152" s="54" t="str">
        <f>IF(G152&gt;C152,"&lt;","&gt;")</f>
        <v>&lt;</v>
      </c>
      <c r="F152" s="52" t="s">
        <v>565</v>
      </c>
      <c r="G152" s="137">
        <f>'Cálculo de estructura'!H77</f>
        <v>1476</v>
      </c>
      <c r="H152" s="22" t="s">
        <v>374</v>
      </c>
      <c r="I152" s="22"/>
      <c r="J152" s="139" t="str">
        <f>'Cálculo de estructura'!K77</f>
        <v>CUMPLE</v>
      </c>
      <c r="K152" s="22"/>
      <c r="L152" s="22"/>
      <c r="M152" s="43"/>
      <c r="N152" s="22"/>
    </row>
    <row r="154" spans="2:14" ht="15" customHeight="1">
      <c r="B154" s="136"/>
      <c r="I154" s="22" t="s">
        <v>692</v>
      </c>
    </row>
  </sheetData>
  <mergeCells count="112">
    <mergeCell ref="C75:D75"/>
    <mergeCell ref="E75:F75"/>
    <mergeCell ref="G75:H75"/>
    <mergeCell ref="I75:J75"/>
    <mergeCell ref="C76:D76"/>
    <mergeCell ref="E76:F76"/>
    <mergeCell ref="G76:H76"/>
    <mergeCell ref="I76:J76"/>
    <mergeCell ref="C107:D107"/>
    <mergeCell ref="E107:F107"/>
    <mergeCell ref="G107:H107"/>
    <mergeCell ref="I107:J107"/>
    <mergeCell ref="C77:D77"/>
    <mergeCell ref="E77:F77"/>
    <mergeCell ref="G77:H77"/>
    <mergeCell ref="I77:J77"/>
    <mergeCell ref="C78:D78"/>
    <mergeCell ref="E78:F78"/>
    <mergeCell ref="G78:H78"/>
    <mergeCell ref="I78:J78"/>
    <mergeCell ref="C95:D95"/>
    <mergeCell ref="E95:F95"/>
    <mergeCell ref="G95:H95"/>
    <mergeCell ref="I95:J95"/>
    <mergeCell ref="C116:D116"/>
    <mergeCell ref="E116:F116"/>
    <mergeCell ref="G116:H116"/>
    <mergeCell ref="I116:J116"/>
    <mergeCell ref="C96:D96"/>
    <mergeCell ref="E96:F96"/>
    <mergeCell ref="G96:H96"/>
    <mergeCell ref="I96:J96"/>
    <mergeCell ref="C97:D97"/>
    <mergeCell ref="E97:F97"/>
    <mergeCell ref="G97:H97"/>
    <mergeCell ref="I97:J97"/>
    <mergeCell ref="C98:D98"/>
    <mergeCell ref="E98:F98"/>
    <mergeCell ref="G98:H98"/>
    <mergeCell ref="I98:J98"/>
    <mergeCell ref="C126:D126"/>
    <mergeCell ref="E126:F126"/>
    <mergeCell ref="G126:H126"/>
    <mergeCell ref="I126:J126"/>
    <mergeCell ref="C106:D106"/>
    <mergeCell ref="E106:F106"/>
    <mergeCell ref="G106:H106"/>
    <mergeCell ref="I106:J106"/>
    <mergeCell ref="C125:D125"/>
    <mergeCell ref="E125:F125"/>
    <mergeCell ref="G125:H125"/>
    <mergeCell ref="I125:J125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5:D115"/>
    <mergeCell ref="E115:F115"/>
    <mergeCell ref="G115:H115"/>
    <mergeCell ref="I115:J115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24:D124"/>
    <mergeCell ref="E124:F124"/>
    <mergeCell ref="G124:H124"/>
    <mergeCell ref="I124:J124"/>
    <mergeCell ref="C127:D127"/>
    <mergeCell ref="E127:F127"/>
    <mergeCell ref="G127:H127"/>
    <mergeCell ref="I127:J127"/>
    <mergeCell ref="C131:D131"/>
    <mergeCell ref="E131:F131"/>
    <mergeCell ref="G131:H131"/>
    <mergeCell ref="I131:J131"/>
    <mergeCell ref="C134:D134"/>
    <mergeCell ref="E134:F134"/>
    <mergeCell ref="G134:H134"/>
    <mergeCell ref="I134:J134"/>
    <mergeCell ref="C132:D132"/>
    <mergeCell ref="E132:F132"/>
    <mergeCell ref="G132:H132"/>
    <mergeCell ref="I132:J132"/>
    <mergeCell ref="C133:D133"/>
    <mergeCell ref="E133:F133"/>
    <mergeCell ref="G133:H133"/>
    <mergeCell ref="I133:J133"/>
    <mergeCell ref="C140:D140"/>
    <mergeCell ref="E140:F140"/>
    <mergeCell ref="G140:H140"/>
    <mergeCell ref="I140:J140"/>
    <mergeCell ref="C141:D141"/>
    <mergeCell ref="E141:F141"/>
    <mergeCell ref="G141:H141"/>
    <mergeCell ref="I141:J141"/>
    <mergeCell ref="C138:D138"/>
    <mergeCell ref="E138:F138"/>
    <mergeCell ref="G138:H138"/>
    <mergeCell ref="I138:J138"/>
    <mergeCell ref="C139:D139"/>
    <mergeCell ref="E139:F139"/>
    <mergeCell ref="G139:H139"/>
    <mergeCell ref="I139:J139"/>
  </mergeCells>
  <pageMargins left="0.7" right="0.7" top="0.75" bottom="0.75" header="0.3" footer="0.3"/>
  <pageSetup paperSize="9" scale="68" orientation="portrait" r:id="rId1"/>
  <rowBreaks count="2" manualBreakCount="2">
    <brk id="70" max="12" man="1"/>
    <brk id="141" max="12" man="1"/>
  </rowBreaks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B2:S131"/>
  <sheetViews>
    <sheetView topLeftCell="A91" zoomScale="85" zoomScaleNormal="85" zoomScaleSheetLayoutView="100" workbookViewId="0">
      <selection activeCell="J106" sqref="J106:K106"/>
    </sheetView>
  </sheetViews>
  <sheetFormatPr baseColWidth="10" defaultColWidth="8.42578125" defaultRowHeight="14.25" customHeight="1"/>
  <cols>
    <col min="1" max="2" width="8.42578125" style="88"/>
    <col min="3" max="3" width="9.42578125" style="88" bestFit="1" customWidth="1"/>
    <col min="4" max="8" width="8.42578125" style="88"/>
    <col min="9" max="9" width="10.28515625" style="88" customWidth="1"/>
    <col min="10" max="10" width="6.42578125" style="88" customWidth="1"/>
    <col min="11" max="11" width="5" style="88" customWidth="1"/>
    <col min="12" max="12" width="10.7109375" style="88" customWidth="1"/>
    <col min="13" max="16384" width="8.42578125" style="88"/>
  </cols>
  <sheetData>
    <row r="2" spans="2:2" ht="14.25" customHeight="1">
      <c r="B2" s="93" t="s">
        <v>411</v>
      </c>
    </row>
    <row r="4" spans="2:2" ht="14.25" customHeight="1">
      <c r="B4" s="93" t="s">
        <v>459</v>
      </c>
    </row>
    <row r="43" spans="2:13" ht="14.25" customHeight="1">
      <c r="B43" s="93" t="s">
        <v>460</v>
      </c>
    </row>
    <row r="45" spans="2:13" ht="14.25" customHeight="1">
      <c r="B45" s="87" t="s">
        <v>396</v>
      </c>
      <c r="C45" s="30">
        <v>3.32</v>
      </c>
      <c r="D45" s="88" t="s">
        <v>4</v>
      </c>
      <c r="E45" s="88" t="s">
        <v>399</v>
      </c>
    </row>
    <row r="46" spans="2:13" ht="14.25" customHeight="1">
      <c r="B46" s="87" t="s">
        <v>397</v>
      </c>
      <c r="C46" s="159">
        <v>1.85</v>
      </c>
      <c r="D46" s="88" t="s">
        <v>4</v>
      </c>
      <c r="E46" s="88" t="s">
        <v>400</v>
      </c>
    </row>
    <row r="47" spans="2:13" ht="14.25" customHeight="1">
      <c r="B47" s="87" t="s">
        <v>398</v>
      </c>
      <c r="C47" s="92">
        <f>'Zapata Método X - Y'!D30</f>
        <v>2.2999999999999998</v>
      </c>
      <c r="D47" s="88" t="s">
        <v>4</v>
      </c>
      <c r="E47" s="88" t="s">
        <v>401</v>
      </c>
      <c r="M47" s="88">
        <f>1.5*0.7*0.5*2400*2</f>
        <v>2519.9999999999995</v>
      </c>
    </row>
    <row r="48" spans="2:13" ht="14.25" customHeight="1">
      <c r="B48" s="87" t="s">
        <v>409</v>
      </c>
      <c r="C48" s="20">
        <f>SUM(C45:C47)</f>
        <v>7.47</v>
      </c>
      <c r="D48" s="88" t="s">
        <v>4</v>
      </c>
      <c r="E48" s="88" t="s">
        <v>410</v>
      </c>
    </row>
    <row r="49" spans="2:18" ht="14.25" customHeight="1">
      <c r="C49" s="20"/>
    </row>
    <row r="50" spans="2:18" ht="14.25" customHeight="1">
      <c r="B50" s="32" t="s">
        <v>402</v>
      </c>
      <c r="C50" s="30">
        <v>1.31</v>
      </c>
      <c r="D50" s="88" t="s">
        <v>4</v>
      </c>
      <c r="E50" s="88" t="s">
        <v>705</v>
      </c>
    </row>
    <row r="51" spans="2:18" ht="14.25" customHeight="1">
      <c r="B51" s="32" t="s">
        <v>403</v>
      </c>
      <c r="C51" s="20">
        <f>0.5*C46</f>
        <v>0.92500000000000004</v>
      </c>
      <c r="D51" s="88" t="s">
        <v>4</v>
      </c>
      <c r="E51" s="88" t="s">
        <v>405</v>
      </c>
    </row>
    <row r="52" spans="2:18" ht="14.25" customHeight="1">
      <c r="B52" s="32" t="s">
        <v>404</v>
      </c>
      <c r="C52" s="30">
        <f>'Zapata Método X - Y'!T30</f>
        <v>0.91159090909090923</v>
      </c>
      <c r="D52" s="88" t="s">
        <v>4</v>
      </c>
      <c r="E52" s="88" t="s">
        <v>406</v>
      </c>
    </row>
    <row r="53" spans="2:18" ht="14.25" customHeight="1">
      <c r="C53" s="20"/>
    </row>
    <row r="54" spans="2:18" ht="14.25" customHeight="1">
      <c r="B54" s="32" t="s">
        <v>390</v>
      </c>
      <c r="C54" s="90">
        <v>1118</v>
      </c>
      <c r="D54" s="88" t="s">
        <v>386</v>
      </c>
      <c r="E54" s="88" t="s">
        <v>750</v>
      </c>
    </row>
    <row r="55" spans="2:18" ht="14.25" customHeight="1">
      <c r="B55" s="32" t="s">
        <v>391</v>
      </c>
      <c r="C55" s="91">
        <f>2*79.2</f>
        <v>158.4</v>
      </c>
      <c r="D55" s="88" t="s">
        <v>386</v>
      </c>
      <c r="E55" s="88" t="s">
        <v>407</v>
      </c>
    </row>
    <row r="56" spans="2:18" ht="14.25" customHeight="1">
      <c r="B56" s="32" t="s">
        <v>392</v>
      </c>
      <c r="C56" s="90">
        <f>('Zapata Método X - Y'!D32+'Zapata Método X - Y'!D22*'Zapata Método X - Y'!D21*0.05)*2400</f>
        <v>7668.0000000000009</v>
      </c>
      <c r="D56" s="88" t="s">
        <v>386</v>
      </c>
      <c r="E56" s="88" t="s">
        <v>408</v>
      </c>
    </row>
    <row r="58" spans="2:18" ht="14.25" customHeight="1">
      <c r="B58" s="93" t="s">
        <v>461</v>
      </c>
    </row>
    <row r="59" spans="2:18" ht="14.25" customHeight="1">
      <c r="B59" s="94"/>
    </row>
    <row r="60" spans="2:18" ht="14.25" customHeight="1">
      <c r="B60" s="94" t="s">
        <v>438</v>
      </c>
    </row>
    <row r="62" spans="2:18" ht="14.25" customHeight="1">
      <c r="C62" s="194" t="s">
        <v>455</v>
      </c>
      <c r="D62" s="195"/>
      <c r="E62" s="194" t="s">
        <v>456</v>
      </c>
      <c r="F62" s="195"/>
      <c r="G62" s="194" t="s">
        <v>708</v>
      </c>
      <c r="H62" s="195"/>
      <c r="I62" s="166" t="s">
        <v>709</v>
      </c>
      <c r="J62" s="194" t="s">
        <v>710</v>
      </c>
      <c r="K62" s="195"/>
      <c r="L62" s="167" t="s">
        <v>711</v>
      </c>
      <c r="O62" s="9"/>
      <c r="P62" s="9"/>
      <c r="Q62" s="9"/>
      <c r="R62" s="9"/>
    </row>
    <row r="63" spans="2:18" ht="14.25" customHeight="1">
      <c r="B63" s="97" t="s">
        <v>425</v>
      </c>
      <c r="C63" s="196">
        <f>C54</f>
        <v>1118</v>
      </c>
      <c r="D63" s="196"/>
      <c r="E63" s="196">
        <f>C63</f>
        <v>1118</v>
      </c>
      <c r="F63" s="196"/>
      <c r="G63" s="196">
        <v>0</v>
      </c>
      <c r="H63" s="196"/>
      <c r="I63" s="164">
        <v>0</v>
      </c>
      <c r="J63" s="196">
        <v>0</v>
      </c>
      <c r="K63" s="196"/>
      <c r="L63" s="164">
        <v>0</v>
      </c>
      <c r="O63" s="89"/>
      <c r="P63" s="89"/>
      <c r="Q63" s="9"/>
      <c r="R63" s="9"/>
    </row>
    <row r="64" spans="2:18" ht="14.25" customHeight="1">
      <c r="B64" s="97" t="s">
        <v>426</v>
      </c>
      <c r="C64" s="196">
        <f>(C54+C55)</f>
        <v>1276.4000000000001</v>
      </c>
      <c r="D64" s="196"/>
      <c r="E64" s="196">
        <f>C64</f>
        <v>1276.4000000000001</v>
      </c>
      <c r="F64" s="196"/>
      <c r="G64" s="196">
        <v>0</v>
      </c>
      <c r="H64" s="196"/>
      <c r="I64" s="164">
        <v>0</v>
      </c>
      <c r="J64" s="196">
        <v>0</v>
      </c>
      <c r="K64" s="196"/>
      <c r="L64" s="164">
        <v>0</v>
      </c>
      <c r="O64" s="89"/>
      <c r="P64" s="89"/>
      <c r="Q64" s="9"/>
      <c r="R64" s="9"/>
    </row>
    <row r="65" spans="2:18" ht="14.25" customHeight="1">
      <c r="B65" s="97" t="s">
        <v>427</v>
      </c>
      <c r="C65" s="196">
        <f>(C54+C55)/2+C56</f>
        <v>8306.2000000000007</v>
      </c>
      <c r="D65" s="196"/>
      <c r="E65" s="196">
        <f>C65</f>
        <v>8306.2000000000007</v>
      </c>
      <c r="F65" s="196"/>
      <c r="G65" s="196">
        <v>0</v>
      </c>
      <c r="H65" s="196"/>
      <c r="I65" s="164">
        <v>0</v>
      </c>
      <c r="J65" s="196">
        <v>0</v>
      </c>
      <c r="K65" s="196"/>
      <c r="L65" s="164">
        <v>0</v>
      </c>
      <c r="O65" s="89"/>
      <c r="P65" s="89"/>
      <c r="Q65" s="9"/>
      <c r="R65" s="9"/>
    </row>
    <row r="66" spans="2:18" ht="14.25" customHeight="1">
      <c r="B66" s="9"/>
    </row>
    <row r="67" spans="2:18" ht="14.25" customHeight="1">
      <c r="B67" s="94" t="s">
        <v>439</v>
      </c>
    </row>
    <row r="69" spans="2:18" ht="14.25" customHeight="1">
      <c r="B69" s="32" t="s">
        <v>414</v>
      </c>
      <c r="C69" s="89">
        <f>SUM(C54:C56)</f>
        <v>8944.4000000000015</v>
      </c>
      <c r="D69" s="88" t="s">
        <v>386</v>
      </c>
      <c r="E69" s="88" t="s">
        <v>415</v>
      </c>
    </row>
    <row r="71" spans="2:18" ht="14.25" customHeight="1">
      <c r="B71" s="32" t="s">
        <v>416</v>
      </c>
      <c r="C71" s="14">
        <v>0.5</v>
      </c>
    </row>
    <row r="72" spans="2:18" ht="14.25" customHeight="1">
      <c r="B72" s="32" t="s">
        <v>417</v>
      </c>
      <c r="C72" s="14">
        <f>1.06*C71/0.5</f>
        <v>1.06</v>
      </c>
      <c r="E72" s="32" t="s">
        <v>421</v>
      </c>
      <c r="F72" s="96">
        <f>C72/C73</f>
        <v>0.35333333333333333</v>
      </c>
      <c r="H72" s="88" t="s">
        <v>423</v>
      </c>
    </row>
    <row r="73" spans="2:18" ht="14.25" customHeight="1">
      <c r="B73" s="32" t="s">
        <v>418</v>
      </c>
      <c r="C73" s="155">
        <v>3</v>
      </c>
      <c r="E73" s="32" t="s">
        <v>422</v>
      </c>
      <c r="F73" s="96">
        <f>0.6*F72</f>
        <v>0.21199999999999999</v>
      </c>
      <c r="H73" s="88" t="s">
        <v>424</v>
      </c>
    </row>
    <row r="74" spans="2:18" ht="14.25" customHeight="1">
      <c r="B74" s="95" t="s">
        <v>419</v>
      </c>
      <c r="C74" s="155">
        <v>5</v>
      </c>
      <c r="D74" s="88" t="s">
        <v>420</v>
      </c>
    </row>
    <row r="75" spans="2:18" ht="14.25" customHeight="1">
      <c r="B75" s="95"/>
      <c r="C75" s="9"/>
    </row>
    <row r="76" spans="2:18" ht="14.25" customHeight="1">
      <c r="B76" s="87" t="s">
        <v>412</v>
      </c>
      <c r="C76" s="9">
        <f>F72*C69</f>
        <v>3160.3546666666671</v>
      </c>
      <c r="D76" s="88" t="s">
        <v>386</v>
      </c>
      <c r="E76" s="88" t="s">
        <v>413</v>
      </c>
    </row>
    <row r="77" spans="2:18" ht="14.25" customHeight="1">
      <c r="C77" s="9"/>
    </row>
    <row r="78" spans="2:18" ht="14.25" customHeight="1">
      <c r="B78" s="32" t="s">
        <v>428</v>
      </c>
      <c r="C78" s="9">
        <f>F72*C54</f>
        <v>395.02666666666664</v>
      </c>
      <c r="D78" s="88" t="s">
        <v>386</v>
      </c>
      <c r="E78" s="32" t="s">
        <v>432</v>
      </c>
      <c r="F78" s="9">
        <f>(C46+C47+C50)*C54*C76/((C46+C47+C50)*C54+(C47+C51)*C55+C52*C56)</f>
        <v>1417.9645336855517</v>
      </c>
      <c r="G78" s="88" t="s">
        <v>386</v>
      </c>
      <c r="H78" s="32" t="s">
        <v>435</v>
      </c>
      <c r="I78" s="9">
        <f>C78/3+F78*2/3</f>
        <v>1076.9852446792565</v>
      </c>
      <c r="J78" s="88" t="s">
        <v>386</v>
      </c>
    </row>
    <row r="79" spans="2:18" ht="14.25" customHeight="1">
      <c r="B79" s="32" t="s">
        <v>429</v>
      </c>
      <c r="C79" s="9">
        <f>F72*C55</f>
        <v>55.968000000000004</v>
      </c>
      <c r="D79" s="88" t="s">
        <v>386</v>
      </c>
      <c r="E79" s="32" t="s">
        <v>433</v>
      </c>
      <c r="F79" s="9">
        <f>(C47+C51)*C55*C76/((C47+C46+C50)*C54+(C47+C51)*C55+C52*C56)</f>
        <v>118.66313510977987</v>
      </c>
      <c r="G79" s="88" t="s">
        <v>386</v>
      </c>
      <c r="H79" s="32" t="s">
        <v>436</v>
      </c>
      <c r="I79" s="9">
        <f>C79/3+F79*2/3</f>
        <v>97.764756739853254</v>
      </c>
      <c r="J79" s="88" t="s">
        <v>386</v>
      </c>
    </row>
    <row r="80" spans="2:18" ht="14.25" customHeight="1">
      <c r="B80" s="32" t="s">
        <v>430</v>
      </c>
      <c r="C80" s="9">
        <f>F72*C56</f>
        <v>2709.36</v>
      </c>
      <c r="D80" s="88" t="s">
        <v>386</v>
      </c>
      <c r="E80" s="32" t="s">
        <v>434</v>
      </c>
      <c r="F80" s="9">
        <f>C52*C56*C76/((C47+C46+C50)*C54+(C47+C51)*C55+C52*C56)</f>
        <v>1623.7269978713355</v>
      </c>
      <c r="G80" s="88" t="s">
        <v>386</v>
      </c>
      <c r="H80" s="32" t="s">
        <v>437</v>
      </c>
      <c r="I80" s="9">
        <f>C80/3+F80*2/3</f>
        <v>1985.604665247557</v>
      </c>
      <c r="J80" s="88" t="s">
        <v>386</v>
      </c>
    </row>
    <row r="82" spans="2:14" ht="14.25" customHeight="1">
      <c r="C82" s="194" t="s">
        <v>455</v>
      </c>
      <c r="D82" s="195"/>
      <c r="E82" s="194" t="s">
        <v>456</v>
      </c>
      <c r="F82" s="195"/>
      <c r="G82" s="194" t="s">
        <v>708</v>
      </c>
      <c r="H82" s="195"/>
      <c r="I82" s="166" t="s">
        <v>709</v>
      </c>
      <c r="J82" s="194" t="s">
        <v>710</v>
      </c>
      <c r="K82" s="195"/>
      <c r="L82" s="167" t="s">
        <v>711</v>
      </c>
    </row>
    <row r="83" spans="2:14" ht="14.25" customHeight="1">
      <c r="B83" s="97" t="s">
        <v>425</v>
      </c>
      <c r="C83" s="197">
        <f>C54*F73</f>
        <v>237.01599999999999</v>
      </c>
      <c r="D83" s="197"/>
      <c r="E83" s="197">
        <f>C83*-1</f>
        <v>-237.01599999999999</v>
      </c>
      <c r="F83" s="197"/>
      <c r="G83" s="197">
        <f>I78</f>
        <v>1076.9852446792565</v>
      </c>
      <c r="H83" s="197"/>
      <c r="I83" s="163">
        <f>G83</f>
        <v>1076.9852446792565</v>
      </c>
      <c r="J83" s="197">
        <f>(0.8+0.2*(C46+C47)/(SUM(C45:C47)))*(C50*I78)</f>
        <v>1285.4417220382861</v>
      </c>
      <c r="K83" s="197"/>
      <c r="L83" s="168">
        <f>J83</f>
        <v>1285.4417220382861</v>
      </c>
    </row>
    <row r="84" spans="2:14" ht="14.25" customHeight="1">
      <c r="B84" s="97" t="s">
        <v>426</v>
      </c>
      <c r="C84" s="197">
        <f>F73*(C54+C55)</f>
        <v>270.59680000000003</v>
      </c>
      <c r="D84" s="197"/>
      <c r="E84" s="197">
        <f>C84*-1</f>
        <v>-270.59680000000003</v>
      </c>
      <c r="F84" s="197"/>
      <c r="G84" s="197">
        <f>I78+I79</f>
        <v>1174.7500014191098</v>
      </c>
      <c r="H84" s="197"/>
      <c r="I84" s="163">
        <f>G84</f>
        <v>1174.7500014191098</v>
      </c>
      <c r="J84" s="197">
        <f>(0.8+0.2*(C47)/(SUM(C45:C47)))*(I78*(C46+C50)+I79*C51)</f>
        <v>3010.1058040331145</v>
      </c>
      <c r="K84" s="197"/>
      <c r="L84" s="168">
        <f>J84</f>
        <v>3010.1058040331145</v>
      </c>
    </row>
    <row r="85" spans="2:14" ht="14.25" customHeight="1">
      <c r="B85" s="97" t="s">
        <v>427</v>
      </c>
      <c r="C85" s="197">
        <f>SUM(C54:C55)/2*F73+C56*F73</f>
        <v>1760.9144000000001</v>
      </c>
      <c r="D85" s="197"/>
      <c r="E85" s="197">
        <f>C85*-1</f>
        <v>-1760.9144000000001</v>
      </c>
      <c r="F85" s="197"/>
      <c r="G85" s="197">
        <f>(I78+I79)/2+I80</f>
        <v>2572.979665957112</v>
      </c>
      <c r="H85" s="197"/>
      <c r="I85" s="163">
        <f>G85</f>
        <v>2572.979665957112</v>
      </c>
      <c r="J85" s="197">
        <f>(0.8)*(I78*(C47+C46+C50)/2+I79*(C47+C51)/2+I80*C52)</f>
        <v>3926.2996400844445</v>
      </c>
      <c r="K85" s="197"/>
      <c r="L85" s="168">
        <f>J85</f>
        <v>3926.2996400844445</v>
      </c>
    </row>
    <row r="87" spans="2:14" ht="14.25" customHeight="1">
      <c r="B87" s="94" t="s">
        <v>440</v>
      </c>
    </row>
    <row r="89" spans="2:14" ht="14.25" customHeight="1">
      <c r="B89" s="32" t="s">
        <v>443</v>
      </c>
      <c r="C89" s="14">
        <v>100</v>
      </c>
      <c r="D89" s="88" t="s">
        <v>444</v>
      </c>
      <c r="E89" s="88" t="s">
        <v>446</v>
      </c>
    </row>
    <row r="90" spans="2:14" ht="14.25" customHeight="1">
      <c r="B90" s="32" t="s">
        <v>712</v>
      </c>
      <c r="C90" s="30">
        <f>N90</f>
        <v>1.1746987951807228</v>
      </c>
      <c r="D90" s="88" t="s">
        <v>445</v>
      </c>
      <c r="E90" s="88" t="s">
        <v>714</v>
      </c>
      <c r="N90" s="88">
        <f>3.9/C45</f>
        <v>1.1746987951807228</v>
      </c>
    </row>
    <row r="91" spans="2:14" ht="14.25" customHeight="1">
      <c r="B91" s="32" t="s">
        <v>713</v>
      </c>
      <c r="C91" s="92">
        <v>0.57999999999999996</v>
      </c>
      <c r="D91" s="88" t="s">
        <v>445</v>
      </c>
      <c r="E91" s="88" t="s">
        <v>715</v>
      </c>
      <c r="N91" s="88">
        <f>1.1/C45</f>
        <v>0.33132530120481934</v>
      </c>
    </row>
    <row r="92" spans="2:14" ht="14.25" customHeight="1">
      <c r="B92" s="32" t="s">
        <v>716</v>
      </c>
      <c r="C92" s="30">
        <f>N91</f>
        <v>0.33132530120481934</v>
      </c>
      <c r="D92" s="88" t="s">
        <v>445</v>
      </c>
      <c r="E92" s="88" t="s">
        <v>714</v>
      </c>
    </row>
    <row r="93" spans="2:14" ht="14.25" customHeight="1">
      <c r="B93" s="32" t="s">
        <v>717</v>
      </c>
      <c r="C93" s="92">
        <f>C91/2</f>
        <v>0.28999999999999998</v>
      </c>
      <c r="D93" s="88" t="s">
        <v>445</v>
      </c>
      <c r="E93" s="88" t="s">
        <v>715</v>
      </c>
    </row>
    <row r="94" spans="2:14" ht="14.25" customHeight="1">
      <c r="B94" s="32"/>
      <c r="C94" s="92"/>
    </row>
    <row r="95" spans="2:14" ht="14.25" customHeight="1">
      <c r="B95" s="32"/>
      <c r="C95" s="9"/>
    </row>
    <row r="96" spans="2:14" ht="14.25" customHeight="1">
      <c r="C96" s="194" t="s">
        <v>455</v>
      </c>
      <c r="D96" s="195"/>
      <c r="E96" s="194" t="s">
        <v>456</v>
      </c>
      <c r="F96" s="195"/>
      <c r="G96" s="194" t="s">
        <v>708</v>
      </c>
      <c r="H96" s="195"/>
      <c r="I96" s="166" t="s">
        <v>709</v>
      </c>
      <c r="J96" s="194" t="s">
        <v>710</v>
      </c>
      <c r="K96" s="195"/>
      <c r="L96" s="167" t="s">
        <v>711</v>
      </c>
    </row>
    <row r="97" spans="2:19" ht="14.25" customHeight="1">
      <c r="B97" s="97" t="s">
        <v>425</v>
      </c>
      <c r="C97" s="197">
        <v>0</v>
      </c>
      <c r="D97" s="197"/>
      <c r="E97" s="197">
        <v>0</v>
      </c>
      <c r="F97" s="197"/>
      <c r="G97" s="197">
        <f>C89*C90*C45</f>
        <v>390</v>
      </c>
      <c r="H97" s="197"/>
      <c r="I97" s="163">
        <f>C89*C92*C45</f>
        <v>110</v>
      </c>
      <c r="J97" s="197">
        <f>I97*C45/2</f>
        <v>182.6</v>
      </c>
      <c r="K97" s="197"/>
      <c r="L97" s="168">
        <f>G97*C45/2</f>
        <v>647.4</v>
      </c>
    </row>
    <row r="98" spans="2:19" ht="14.25" customHeight="1">
      <c r="B98" s="97" t="s">
        <v>426</v>
      </c>
      <c r="C98" s="197">
        <v>0</v>
      </c>
      <c r="D98" s="197"/>
      <c r="E98" s="197">
        <v>0</v>
      </c>
      <c r="F98" s="197"/>
      <c r="G98" s="197">
        <f>G97+C89*C91*C46</f>
        <v>497.3</v>
      </c>
      <c r="H98" s="197"/>
      <c r="I98" s="163">
        <f>I97+C89*C93*C46</f>
        <v>163.65</v>
      </c>
      <c r="J98" s="197">
        <f>C93*C89*C46*C46/2+C92*C89*C45*(C46+C45/2)</f>
        <v>435.72624999999994</v>
      </c>
      <c r="K98" s="197"/>
      <c r="L98" s="168">
        <f>C91*C89*C46*C46/2+C90*C89*C45*(C46+C45/2)</f>
        <v>1468.1524999999999</v>
      </c>
    </row>
    <row r="99" spans="2:19" ht="14.25" customHeight="1">
      <c r="B99" s="97" t="s">
        <v>427</v>
      </c>
      <c r="C99" s="197">
        <v>0</v>
      </c>
      <c r="D99" s="197"/>
      <c r="E99" s="197">
        <v>0</v>
      </c>
      <c r="F99" s="197"/>
      <c r="G99" s="197">
        <f>G98/2</f>
        <v>248.65</v>
      </c>
      <c r="H99" s="197"/>
      <c r="I99" s="163">
        <f>I98/2</f>
        <v>81.825000000000003</v>
      </c>
      <c r="J99" s="197">
        <f>C93*C89*C46*(C47+C46/2/2)+C92*C89*C45*(C47+C46+C45/2)/2</f>
        <v>467.75812500000001</v>
      </c>
      <c r="K99" s="197"/>
      <c r="L99" s="168">
        <f>C91*C89*C46*(C47+C46/2/2)+C90*C89*C45*(C47+C46+C45/2)/2</f>
        <v>1429.36625</v>
      </c>
      <c r="N99" s="111"/>
      <c r="O99" s="111"/>
      <c r="P99" s="111"/>
      <c r="Q99" s="111"/>
      <c r="R99" s="111"/>
      <c r="S99" s="111"/>
    </row>
    <row r="100" spans="2:19" ht="14.25" customHeight="1">
      <c r="N100" s="111"/>
      <c r="O100" s="111"/>
      <c r="P100" s="111"/>
      <c r="Q100" s="111"/>
      <c r="R100" s="111"/>
      <c r="S100" s="111"/>
    </row>
    <row r="101" spans="2:19" ht="14.25" customHeight="1">
      <c r="B101" s="94" t="s">
        <v>451</v>
      </c>
      <c r="N101" s="111"/>
      <c r="O101" s="111"/>
      <c r="P101" s="111"/>
      <c r="Q101" s="111"/>
      <c r="R101" s="111"/>
      <c r="S101" s="111"/>
    </row>
    <row r="102" spans="2:19" ht="14.25" customHeight="1">
      <c r="B102" s="94"/>
      <c r="N102" s="111"/>
      <c r="O102" s="111"/>
      <c r="P102" s="111"/>
      <c r="Q102" s="111"/>
      <c r="R102" s="111"/>
      <c r="S102" s="111"/>
    </row>
    <row r="103" spans="2:19" ht="14.25" customHeight="1">
      <c r="B103" s="160" t="s">
        <v>449</v>
      </c>
      <c r="C103" s="161">
        <v>500</v>
      </c>
      <c r="D103" s="162" t="s">
        <v>386</v>
      </c>
      <c r="E103" s="162" t="s">
        <v>450</v>
      </c>
      <c r="F103" s="162"/>
      <c r="G103" s="162"/>
      <c r="H103" s="162"/>
      <c r="I103" s="162"/>
      <c r="J103" s="88" t="s">
        <v>707</v>
      </c>
      <c r="N103" s="111"/>
      <c r="O103" s="111"/>
      <c r="P103" s="111"/>
      <c r="Q103" s="111"/>
      <c r="R103" s="111"/>
      <c r="S103" s="111"/>
    </row>
    <row r="104" spans="2:19" ht="14.25" customHeight="1">
      <c r="N104" s="111"/>
      <c r="O104" s="111"/>
      <c r="P104" s="111"/>
      <c r="Q104" s="111"/>
      <c r="R104" s="111"/>
      <c r="S104" s="111"/>
    </row>
    <row r="105" spans="2:19" ht="14.25" customHeight="1">
      <c r="C105" s="194" t="s">
        <v>455</v>
      </c>
      <c r="D105" s="195"/>
      <c r="E105" s="194" t="s">
        <v>456</v>
      </c>
      <c r="F105" s="195"/>
      <c r="G105" s="194" t="s">
        <v>708</v>
      </c>
      <c r="H105" s="195"/>
      <c r="I105" s="166" t="s">
        <v>709</v>
      </c>
      <c r="J105" s="194" t="s">
        <v>710</v>
      </c>
      <c r="K105" s="195"/>
      <c r="L105" s="167" t="s">
        <v>711</v>
      </c>
      <c r="N105" s="111"/>
      <c r="O105" s="111"/>
      <c r="P105" s="111"/>
      <c r="Q105" s="111"/>
      <c r="R105" s="111"/>
      <c r="S105" s="111"/>
    </row>
    <row r="106" spans="2:19" ht="14.25" customHeight="1">
      <c r="B106" s="97" t="s">
        <v>425</v>
      </c>
      <c r="C106" s="196">
        <f>C103</f>
        <v>500</v>
      </c>
      <c r="D106" s="196"/>
      <c r="E106" s="196">
        <f>-C103</f>
        <v>-500</v>
      </c>
      <c r="F106" s="196"/>
      <c r="G106" s="196">
        <v>800</v>
      </c>
      <c r="H106" s="196"/>
      <c r="I106" s="164">
        <v>600</v>
      </c>
      <c r="J106" s="196">
        <f>I106/2*(C45+C45/2)</f>
        <v>1493.9999999999998</v>
      </c>
      <c r="K106" s="196"/>
      <c r="L106" s="169">
        <f>G106/2*(C45+C45/2)</f>
        <v>1991.9999999999998</v>
      </c>
      <c r="N106" s="111"/>
      <c r="O106" s="111"/>
      <c r="P106" s="111"/>
      <c r="Q106" s="111"/>
      <c r="R106" s="111"/>
      <c r="S106" s="111"/>
    </row>
    <row r="107" spans="2:19" ht="14.25" customHeight="1">
      <c r="B107" s="97" t="s">
        <v>426</v>
      </c>
      <c r="C107" s="196">
        <f>C106</f>
        <v>500</v>
      </c>
      <c r="D107" s="196"/>
      <c r="E107" s="196">
        <f>E106</f>
        <v>-500</v>
      </c>
      <c r="F107" s="196"/>
      <c r="G107" s="196">
        <f>G106</f>
        <v>800</v>
      </c>
      <c r="H107" s="196"/>
      <c r="I107" s="164">
        <v>600</v>
      </c>
      <c r="J107" s="196">
        <f>I107/2*(C46+C45)+I107/2*(C46+C45/2)</f>
        <v>2604</v>
      </c>
      <c r="K107" s="196"/>
      <c r="L107" s="169">
        <f>G107/2*(C46+C45)+G107/2*(C46+C45/2)</f>
        <v>3472</v>
      </c>
      <c r="N107" s="111"/>
      <c r="O107" s="111"/>
      <c r="P107" s="111"/>
      <c r="Q107" s="111"/>
      <c r="R107" s="111"/>
      <c r="S107" s="111"/>
    </row>
    <row r="108" spans="2:19" ht="14.25" customHeight="1">
      <c r="B108" s="97" t="s">
        <v>427</v>
      </c>
      <c r="C108" s="196">
        <f>C107</f>
        <v>500</v>
      </c>
      <c r="D108" s="196"/>
      <c r="E108" s="196">
        <f>E107</f>
        <v>-500</v>
      </c>
      <c r="F108" s="196"/>
      <c r="G108" s="196">
        <f>G107/2</f>
        <v>400</v>
      </c>
      <c r="H108" s="196"/>
      <c r="I108" s="175">
        <f>I107/2</f>
        <v>300</v>
      </c>
      <c r="J108" s="196">
        <f>J107/2+I108*C47</f>
        <v>1992</v>
      </c>
      <c r="K108" s="196"/>
      <c r="L108" s="169">
        <f>L107/2+G108*C47</f>
        <v>2656</v>
      </c>
      <c r="N108" s="111"/>
      <c r="O108" s="111"/>
      <c r="P108" s="111"/>
      <c r="Q108" s="111"/>
      <c r="R108" s="111"/>
      <c r="S108" s="111"/>
    </row>
    <row r="109" spans="2:19" ht="14.25" customHeight="1">
      <c r="N109" s="111"/>
      <c r="O109" s="111"/>
      <c r="P109" s="111"/>
      <c r="Q109" s="111"/>
      <c r="R109" s="111"/>
      <c r="S109" s="111"/>
    </row>
    <row r="110" spans="2:19" ht="14.25" customHeight="1">
      <c r="B110" s="93" t="s">
        <v>462</v>
      </c>
      <c r="N110" s="111"/>
      <c r="O110" s="111"/>
      <c r="P110" s="111"/>
      <c r="Q110" s="111"/>
      <c r="R110" s="111"/>
      <c r="S110" s="111"/>
    </row>
    <row r="111" spans="2:19" ht="14.25" customHeight="1">
      <c r="N111" s="111"/>
      <c r="O111" s="111"/>
      <c r="P111" s="111"/>
      <c r="Q111" s="111"/>
      <c r="R111" s="111"/>
      <c r="S111" s="111"/>
    </row>
    <row r="112" spans="2:19" ht="14.25" customHeight="1">
      <c r="C112" s="142" t="s">
        <v>387</v>
      </c>
      <c r="D112" s="142" t="s">
        <v>452</v>
      </c>
    </row>
    <row r="114" spans="2:18" ht="14.25" customHeight="1">
      <c r="C114" s="194" t="s">
        <v>455</v>
      </c>
      <c r="D114" s="195"/>
      <c r="E114" s="194" t="s">
        <v>456</v>
      </c>
      <c r="F114" s="195"/>
      <c r="G114" s="194" t="s">
        <v>708</v>
      </c>
      <c r="H114" s="195"/>
      <c r="I114" s="166" t="s">
        <v>709</v>
      </c>
      <c r="J114" s="194" t="s">
        <v>710</v>
      </c>
      <c r="K114" s="195"/>
      <c r="L114" s="167" t="s">
        <v>711</v>
      </c>
      <c r="O114" s="98"/>
      <c r="P114" s="98"/>
      <c r="Q114" s="98"/>
      <c r="R114" s="99"/>
    </row>
    <row r="115" spans="2:18" ht="14.25" customHeight="1">
      <c r="B115" s="97" t="s">
        <v>425</v>
      </c>
      <c r="C115" s="197">
        <f>C63+C106</f>
        <v>1618</v>
      </c>
      <c r="D115" s="197"/>
      <c r="E115" s="197">
        <f>E63+E106</f>
        <v>618</v>
      </c>
      <c r="F115" s="197"/>
      <c r="G115" s="197">
        <f>G63+G106</f>
        <v>800</v>
      </c>
      <c r="H115" s="197"/>
      <c r="I115" s="163">
        <f t="shared" ref="I115:J117" si="0">I63+I106</f>
        <v>600</v>
      </c>
      <c r="J115" s="197">
        <f t="shared" si="0"/>
        <v>1493.9999999999998</v>
      </c>
      <c r="K115" s="197"/>
      <c r="L115" s="168">
        <f>L63+L106</f>
        <v>1991.9999999999998</v>
      </c>
      <c r="M115" s="88" t="s">
        <v>393</v>
      </c>
      <c r="O115" s="98"/>
      <c r="P115" s="98"/>
      <c r="Q115" s="98"/>
      <c r="R115" s="99"/>
    </row>
    <row r="116" spans="2:18" ht="14.25" customHeight="1">
      <c r="B116" s="97" t="s">
        <v>426</v>
      </c>
      <c r="C116" s="197">
        <f>C64+C107</f>
        <v>1776.4</v>
      </c>
      <c r="D116" s="197"/>
      <c r="E116" s="197">
        <f>E64+E107</f>
        <v>776.40000000000009</v>
      </c>
      <c r="F116" s="197"/>
      <c r="G116" s="197">
        <f>G64+G107</f>
        <v>800</v>
      </c>
      <c r="H116" s="197"/>
      <c r="I116" s="163">
        <f t="shared" si="0"/>
        <v>600</v>
      </c>
      <c r="J116" s="197">
        <f t="shared" si="0"/>
        <v>2604</v>
      </c>
      <c r="K116" s="197"/>
      <c r="L116" s="168">
        <f>L64+L107</f>
        <v>3472</v>
      </c>
      <c r="M116" s="88" t="s">
        <v>394</v>
      </c>
      <c r="O116" s="98"/>
      <c r="P116" s="98"/>
      <c r="Q116" s="98"/>
      <c r="R116" s="98"/>
    </row>
    <row r="117" spans="2:18" ht="14.25" customHeight="1">
      <c r="B117" s="97" t="s">
        <v>427</v>
      </c>
      <c r="C117" s="197">
        <f>C65+C108</f>
        <v>8806.2000000000007</v>
      </c>
      <c r="D117" s="197"/>
      <c r="E117" s="197">
        <f>E65+E108</f>
        <v>7806.2000000000007</v>
      </c>
      <c r="F117" s="197"/>
      <c r="G117" s="197">
        <f>G65+G108</f>
        <v>400</v>
      </c>
      <c r="H117" s="197"/>
      <c r="I117" s="163">
        <f t="shared" si="0"/>
        <v>300</v>
      </c>
      <c r="J117" s="197">
        <f t="shared" si="0"/>
        <v>1992</v>
      </c>
      <c r="K117" s="197"/>
      <c r="L117" s="168">
        <f>L65+L108</f>
        <v>2656</v>
      </c>
      <c r="M117" s="88" t="s">
        <v>395</v>
      </c>
    </row>
    <row r="119" spans="2:18" ht="14.25" customHeight="1">
      <c r="C119" s="142" t="s">
        <v>388</v>
      </c>
      <c r="D119" s="142" t="s">
        <v>453</v>
      </c>
    </row>
    <row r="121" spans="2:18" ht="14.25" customHeight="1">
      <c r="C121" s="194" t="s">
        <v>455</v>
      </c>
      <c r="D121" s="195"/>
      <c r="E121" s="194" t="s">
        <v>456</v>
      </c>
      <c r="F121" s="195"/>
      <c r="G121" s="194" t="s">
        <v>708</v>
      </c>
      <c r="H121" s="195"/>
      <c r="I121" s="166" t="s">
        <v>709</v>
      </c>
      <c r="J121" s="194" t="s">
        <v>710</v>
      </c>
      <c r="K121" s="195"/>
      <c r="L121" s="167" t="s">
        <v>711</v>
      </c>
    </row>
    <row r="122" spans="2:18" ht="14.25" customHeight="1">
      <c r="B122" s="97" t="s">
        <v>425</v>
      </c>
      <c r="C122" s="197">
        <f>C63+C97+C106</f>
        <v>1618</v>
      </c>
      <c r="D122" s="197"/>
      <c r="E122" s="197">
        <f>E63+E97+E106</f>
        <v>618</v>
      </c>
      <c r="F122" s="197"/>
      <c r="G122" s="197">
        <f>G63+G97+G106</f>
        <v>1190</v>
      </c>
      <c r="H122" s="197"/>
      <c r="I122" s="163">
        <f>I63+I106+I97</f>
        <v>710</v>
      </c>
      <c r="J122" s="197">
        <f>J63+J97+J106</f>
        <v>1676.5999999999997</v>
      </c>
      <c r="K122" s="197"/>
      <c r="L122" s="168">
        <f>L63+L97+L106</f>
        <v>2639.3999999999996</v>
      </c>
      <c r="M122" s="88" t="s">
        <v>393</v>
      </c>
    </row>
    <row r="123" spans="2:18" ht="14.25" customHeight="1">
      <c r="B123" s="97" t="s">
        <v>426</v>
      </c>
      <c r="C123" s="197">
        <f>C64+C98+C107</f>
        <v>1776.4</v>
      </c>
      <c r="D123" s="197"/>
      <c r="E123" s="197">
        <f>E64+E98+E107</f>
        <v>776.40000000000009</v>
      </c>
      <c r="F123" s="197"/>
      <c r="G123" s="197">
        <f>G64+G98+G107</f>
        <v>1297.3</v>
      </c>
      <c r="H123" s="197"/>
      <c r="I123" s="163">
        <f>I64+I107+I98</f>
        <v>763.65</v>
      </c>
      <c r="J123" s="197">
        <f>J64+J98+J107</f>
        <v>3039.7262499999997</v>
      </c>
      <c r="K123" s="197"/>
      <c r="L123" s="168">
        <f>L64+L98+L107</f>
        <v>4940.1525000000001</v>
      </c>
      <c r="M123" s="88" t="s">
        <v>394</v>
      </c>
    </row>
    <row r="124" spans="2:18" ht="14.25" customHeight="1">
      <c r="B124" s="97" t="s">
        <v>427</v>
      </c>
      <c r="C124" s="197">
        <f>C65+C99+C108</f>
        <v>8806.2000000000007</v>
      </c>
      <c r="D124" s="197"/>
      <c r="E124" s="197">
        <f>E65+E99+E108</f>
        <v>7806.2000000000007</v>
      </c>
      <c r="F124" s="197"/>
      <c r="G124" s="197">
        <f>G65+G99+G108</f>
        <v>648.65</v>
      </c>
      <c r="H124" s="197"/>
      <c r="I124" s="163">
        <f>I65+I108+I99</f>
        <v>381.82499999999999</v>
      </c>
      <c r="J124" s="197">
        <f>J65+J99+J108</f>
        <v>2459.7581249999998</v>
      </c>
      <c r="K124" s="197"/>
      <c r="L124" s="168">
        <f>L65+L99+L108</f>
        <v>4085.36625</v>
      </c>
      <c r="M124" s="88" t="s">
        <v>395</v>
      </c>
    </row>
    <row r="126" spans="2:18" ht="14.25" customHeight="1">
      <c r="C126" s="142" t="s">
        <v>389</v>
      </c>
      <c r="D126" s="142" t="s">
        <v>454</v>
      </c>
    </row>
    <row r="128" spans="2:18" ht="14.25" customHeight="1">
      <c r="C128" s="194" t="s">
        <v>455</v>
      </c>
      <c r="D128" s="195"/>
      <c r="E128" s="194" t="s">
        <v>456</v>
      </c>
      <c r="F128" s="195"/>
      <c r="G128" s="194" t="s">
        <v>708</v>
      </c>
      <c r="H128" s="195"/>
      <c r="I128" s="166" t="s">
        <v>709</v>
      </c>
      <c r="J128" s="194" t="s">
        <v>710</v>
      </c>
      <c r="K128" s="195"/>
      <c r="L128" s="167" t="s">
        <v>711</v>
      </c>
    </row>
    <row r="129" spans="2:13" ht="14.25" customHeight="1">
      <c r="B129" s="97" t="s">
        <v>425</v>
      </c>
      <c r="C129" s="197">
        <f>C63+C83+C106</f>
        <v>1855.0160000000001</v>
      </c>
      <c r="D129" s="197"/>
      <c r="E129" s="197">
        <f>E63+E83+E106</f>
        <v>380.98400000000004</v>
      </c>
      <c r="F129" s="197"/>
      <c r="G129" s="197">
        <f>G63+G83+G106</f>
        <v>1876.9852446792565</v>
      </c>
      <c r="H129" s="197"/>
      <c r="I129" s="163">
        <f t="shared" ref="I129:J131" si="1">I63+I83+I106</f>
        <v>1676.9852446792565</v>
      </c>
      <c r="J129" s="197">
        <f t="shared" si="1"/>
        <v>2779.4417220382857</v>
      </c>
      <c r="K129" s="197"/>
      <c r="L129" s="168">
        <f>L63+L83+L106</f>
        <v>3277.4417220382857</v>
      </c>
      <c r="M129" s="88" t="s">
        <v>393</v>
      </c>
    </row>
    <row r="130" spans="2:13" ht="14.25" customHeight="1">
      <c r="B130" s="97" t="s">
        <v>426</v>
      </c>
      <c r="C130" s="197">
        <f>C64+C84+C107</f>
        <v>2046.9968000000001</v>
      </c>
      <c r="D130" s="197"/>
      <c r="E130" s="197">
        <f>E64+E84+E107</f>
        <v>505.80320000000006</v>
      </c>
      <c r="F130" s="197"/>
      <c r="G130" s="197">
        <f>G64+G84+G107</f>
        <v>1974.7500014191098</v>
      </c>
      <c r="H130" s="197"/>
      <c r="I130" s="163">
        <f t="shared" si="1"/>
        <v>1774.7500014191098</v>
      </c>
      <c r="J130" s="197">
        <f t="shared" si="1"/>
        <v>5614.1058040331145</v>
      </c>
      <c r="K130" s="197"/>
      <c r="L130" s="168">
        <f>L64+L84+L107</f>
        <v>6482.1058040331145</v>
      </c>
      <c r="M130" s="88" t="s">
        <v>394</v>
      </c>
    </row>
    <row r="131" spans="2:13" ht="14.25" customHeight="1">
      <c r="B131" s="97" t="s">
        <v>427</v>
      </c>
      <c r="C131" s="197">
        <f>C65+C85+C108</f>
        <v>10567.1144</v>
      </c>
      <c r="D131" s="197"/>
      <c r="E131" s="197">
        <f>E65+E85+E108</f>
        <v>6045.2856000000011</v>
      </c>
      <c r="F131" s="197"/>
      <c r="G131" s="197">
        <f>G65+G85+G108</f>
        <v>2972.979665957112</v>
      </c>
      <c r="H131" s="197"/>
      <c r="I131" s="163">
        <f t="shared" si="1"/>
        <v>2872.979665957112</v>
      </c>
      <c r="J131" s="197">
        <f t="shared" si="1"/>
        <v>5918.299640084444</v>
      </c>
      <c r="K131" s="197"/>
      <c r="L131" s="168">
        <f>L65+L85+L108</f>
        <v>6582.299640084444</v>
      </c>
      <c r="M131" s="88" t="s">
        <v>395</v>
      </c>
    </row>
  </sheetData>
  <mergeCells count="112">
    <mergeCell ref="C131:D131"/>
    <mergeCell ref="E131:F131"/>
    <mergeCell ref="G131:H131"/>
    <mergeCell ref="J131:K131"/>
    <mergeCell ref="E128:F128"/>
    <mergeCell ref="G128:H128"/>
    <mergeCell ref="J128:K128"/>
    <mergeCell ref="C129:D129"/>
    <mergeCell ref="E129:F129"/>
    <mergeCell ref="G129:H129"/>
    <mergeCell ref="J129:K129"/>
    <mergeCell ref="C128:D128"/>
    <mergeCell ref="C130:D130"/>
    <mergeCell ref="E130:F130"/>
    <mergeCell ref="G130:H130"/>
    <mergeCell ref="J130:K130"/>
    <mergeCell ref="C122:D122"/>
    <mergeCell ref="E122:F122"/>
    <mergeCell ref="G122:H122"/>
    <mergeCell ref="J122:K122"/>
    <mergeCell ref="C123:D123"/>
    <mergeCell ref="E123:F123"/>
    <mergeCell ref="G123:H123"/>
    <mergeCell ref="J123:K123"/>
    <mergeCell ref="C124:D124"/>
    <mergeCell ref="E124:F124"/>
    <mergeCell ref="G124:H124"/>
    <mergeCell ref="J124:K124"/>
    <mergeCell ref="C116:D116"/>
    <mergeCell ref="E116:F116"/>
    <mergeCell ref="G116:H116"/>
    <mergeCell ref="J116:K116"/>
    <mergeCell ref="C117:D117"/>
    <mergeCell ref="E117:F117"/>
    <mergeCell ref="G117:H117"/>
    <mergeCell ref="J117:K117"/>
    <mergeCell ref="C121:D121"/>
    <mergeCell ref="E121:F121"/>
    <mergeCell ref="G121:H121"/>
    <mergeCell ref="J121:K121"/>
    <mergeCell ref="C108:D108"/>
    <mergeCell ref="E108:F108"/>
    <mergeCell ref="G108:H108"/>
    <mergeCell ref="J108:K108"/>
    <mergeCell ref="C114:D114"/>
    <mergeCell ref="E114:F114"/>
    <mergeCell ref="G114:H114"/>
    <mergeCell ref="J114:K114"/>
    <mergeCell ref="C115:D115"/>
    <mergeCell ref="E115:F115"/>
    <mergeCell ref="G115:H115"/>
    <mergeCell ref="J115:K115"/>
    <mergeCell ref="C105:D105"/>
    <mergeCell ref="E105:F105"/>
    <mergeCell ref="G105:H105"/>
    <mergeCell ref="J105:K105"/>
    <mergeCell ref="C106:D106"/>
    <mergeCell ref="E106:F106"/>
    <mergeCell ref="G106:H106"/>
    <mergeCell ref="J106:K106"/>
    <mergeCell ref="C107:D107"/>
    <mergeCell ref="E107:F107"/>
    <mergeCell ref="G107:H107"/>
    <mergeCell ref="J107:K107"/>
    <mergeCell ref="C97:D97"/>
    <mergeCell ref="E97:F97"/>
    <mergeCell ref="G97:H97"/>
    <mergeCell ref="J97:K97"/>
    <mergeCell ref="C98:D98"/>
    <mergeCell ref="E98:F98"/>
    <mergeCell ref="G98:H98"/>
    <mergeCell ref="J98:K98"/>
    <mergeCell ref="C99:D99"/>
    <mergeCell ref="E99:F99"/>
    <mergeCell ref="G99:H99"/>
    <mergeCell ref="J99:K99"/>
    <mergeCell ref="C84:D84"/>
    <mergeCell ref="E84:F84"/>
    <mergeCell ref="G84:H84"/>
    <mergeCell ref="J84:K84"/>
    <mergeCell ref="C85:D85"/>
    <mergeCell ref="E85:F85"/>
    <mergeCell ref="G85:H85"/>
    <mergeCell ref="J85:K85"/>
    <mergeCell ref="C96:D96"/>
    <mergeCell ref="E96:F96"/>
    <mergeCell ref="G96:H96"/>
    <mergeCell ref="J96:K96"/>
    <mergeCell ref="J62:K62"/>
    <mergeCell ref="J63:K63"/>
    <mergeCell ref="J64:K64"/>
    <mergeCell ref="J65:K65"/>
    <mergeCell ref="C82:D82"/>
    <mergeCell ref="E82:F82"/>
    <mergeCell ref="G82:H82"/>
    <mergeCell ref="J82:K82"/>
    <mergeCell ref="C83:D83"/>
    <mergeCell ref="E83:F83"/>
    <mergeCell ref="G83:H83"/>
    <mergeCell ref="J83:K83"/>
    <mergeCell ref="C62:D62"/>
    <mergeCell ref="C63:D63"/>
    <mergeCell ref="C64:D64"/>
    <mergeCell ref="C65:D65"/>
    <mergeCell ref="E62:F62"/>
    <mergeCell ref="E63:F63"/>
    <mergeCell ref="E64:F64"/>
    <mergeCell ref="E65:F65"/>
    <mergeCell ref="G62:H62"/>
    <mergeCell ref="G63:H63"/>
    <mergeCell ref="G64:H64"/>
    <mergeCell ref="G65:H65"/>
  </mergeCells>
  <pageMargins left="0.7" right="0.7" top="0.75" bottom="0.75" header="0.3" footer="0.3"/>
  <pageSetup paperSize="9" scale="74" orientation="portrait" r:id="rId1"/>
  <rowBreaks count="1" manualBreakCount="1">
    <brk id="85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AA217"/>
  <sheetViews>
    <sheetView topLeftCell="A13" zoomScale="85" zoomScaleNormal="85" zoomScaleSheetLayoutView="115" zoomScalePageLayoutView="70" workbookViewId="0">
      <selection activeCell="D25" sqref="D25"/>
    </sheetView>
  </sheetViews>
  <sheetFormatPr baseColWidth="10" defaultColWidth="8.42578125" defaultRowHeight="16.5" customHeight="1"/>
  <cols>
    <col min="1" max="1" width="3.42578125" style="5" customWidth="1"/>
    <col min="2" max="2" width="2.42578125" style="6" customWidth="1"/>
    <col min="3" max="3" width="8.42578125" style="6"/>
    <col min="4" max="4" width="12.28515625" style="6" bestFit="1" customWidth="1"/>
    <col min="5" max="7" width="8.42578125" style="6"/>
    <col min="8" max="8" width="8.85546875" style="6" bestFit="1" customWidth="1"/>
    <col min="9" max="9" width="8.7109375" style="6" bestFit="1" customWidth="1"/>
    <col min="10" max="10" width="8.42578125" style="6"/>
    <col min="11" max="11" width="7.42578125" style="6" customWidth="1"/>
    <col min="12" max="12" width="5.85546875" style="6" customWidth="1"/>
    <col min="13" max="13" width="10.42578125" style="6" customWidth="1"/>
    <col min="14" max="14" width="9.42578125" style="6" bestFit="1" customWidth="1"/>
    <col min="15" max="17" width="8.42578125" style="6"/>
    <col min="18" max="18" width="2.85546875" style="6" customWidth="1"/>
    <col min="19" max="16384" width="8.42578125" style="6"/>
  </cols>
  <sheetData>
    <row r="1" spans="1:3" ht="16.5" customHeight="1">
      <c r="A1" s="35">
        <v>1</v>
      </c>
    </row>
    <row r="2" spans="1:3" ht="16.5" customHeight="1">
      <c r="A2" s="35">
        <v>1</v>
      </c>
      <c r="C2" s="7" t="s">
        <v>19</v>
      </c>
    </row>
    <row r="3" spans="1:3" ht="16.5" customHeight="1">
      <c r="A3" s="35">
        <v>1</v>
      </c>
    </row>
    <row r="4" spans="1:3" ht="16.5" customHeight="1">
      <c r="A4" s="35">
        <v>1</v>
      </c>
    </row>
    <row r="5" spans="1:3" ht="16.5" customHeight="1">
      <c r="A5" s="35">
        <v>1</v>
      </c>
    </row>
    <row r="6" spans="1:3" ht="16.5" customHeight="1">
      <c r="A6" s="35">
        <v>1</v>
      </c>
    </row>
    <row r="7" spans="1:3" ht="16.5" customHeight="1">
      <c r="A7" s="35">
        <v>1</v>
      </c>
    </row>
    <row r="8" spans="1:3" ht="16.5" customHeight="1">
      <c r="A8" s="35">
        <v>1</v>
      </c>
    </row>
    <row r="9" spans="1:3" ht="16.5" customHeight="1">
      <c r="A9" s="35">
        <v>1</v>
      </c>
    </row>
    <row r="10" spans="1:3" ht="16.5" customHeight="1">
      <c r="A10" s="35">
        <v>1</v>
      </c>
    </row>
    <row r="11" spans="1:3" ht="16.5" customHeight="1">
      <c r="A11" s="35">
        <v>1</v>
      </c>
    </row>
    <row r="12" spans="1:3" ht="16.5" customHeight="1">
      <c r="A12" s="35">
        <v>1</v>
      </c>
    </row>
    <row r="13" spans="1:3" ht="16.5" customHeight="1">
      <c r="A13" s="35">
        <v>1</v>
      </c>
    </row>
    <row r="14" spans="1:3" ht="16.5" customHeight="1">
      <c r="A14" s="35">
        <v>1</v>
      </c>
    </row>
    <row r="15" spans="1:3" ht="16.5" customHeight="1">
      <c r="A15" s="35">
        <v>1</v>
      </c>
    </row>
    <row r="16" spans="1:3" ht="16.5" customHeight="1">
      <c r="A16" s="35">
        <v>1</v>
      </c>
    </row>
    <row r="17" spans="1:24" ht="16.5" customHeight="1">
      <c r="A17" s="35">
        <v>1</v>
      </c>
      <c r="C17" s="8" t="s">
        <v>17</v>
      </c>
    </row>
    <row r="18" spans="1:24" ht="16.5" customHeight="1">
      <c r="A18" s="35">
        <v>1</v>
      </c>
      <c r="D18" s="9"/>
    </row>
    <row r="19" spans="1:24" ht="16.5" customHeight="1">
      <c r="A19" s="35">
        <v>1</v>
      </c>
      <c r="C19" s="6" t="s">
        <v>85</v>
      </c>
      <c r="D19" s="30">
        <f>State!C14</f>
        <v>0.3</v>
      </c>
      <c r="E19" s="6" t="s">
        <v>4</v>
      </c>
      <c r="F19" s="10" t="s">
        <v>9</v>
      </c>
    </row>
    <row r="20" spans="1:24" ht="16.5" customHeight="1">
      <c r="A20" s="35">
        <v>1</v>
      </c>
      <c r="C20" s="6" t="s">
        <v>86</v>
      </c>
      <c r="D20" s="30">
        <f>State!C15</f>
        <v>2</v>
      </c>
      <c r="E20" s="6" t="s">
        <v>4</v>
      </c>
      <c r="F20" s="10" t="s">
        <v>10</v>
      </c>
      <c r="T20" s="6" t="s">
        <v>431</v>
      </c>
      <c r="X20" s="34">
        <f>D29-0.15+D19</f>
        <v>1.8000000000000003</v>
      </c>
    </row>
    <row r="21" spans="1:24" ht="16.5" customHeight="1">
      <c r="A21" s="35">
        <v>1</v>
      </c>
      <c r="C21" s="6" t="s">
        <v>0</v>
      </c>
      <c r="D21" s="30">
        <f>State!C16</f>
        <v>2.5</v>
      </c>
      <c r="E21" s="6" t="s">
        <v>4</v>
      </c>
      <c r="F21" s="10" t="s">
        <v>5</v>
      </c>
    </row>
    <row r="22" spans="1:24" ht="16.5" customHeight="1">
      <c r="A22" s="35">
        <v>1</v>
      </c>
      <c r="C22" s="6" t="s">
        <v>1</v>
      </c>
      <c r="D22" s="30">
        <f>State!C17</f>
        <v>1.8</v>
      </c>
      <c r="E22" s="6" t="s">
        <v>4</v>
      </c>
      <c r="F22" s="10" t="s">
        <v>6</v>
      </c>
    </row>
    <row r="23" spans="1:24" ht="16.5" customHeight="1">
      <c r="A23" s="35">
        <v>1</v>
      </c>
      <c r="C23" s="6" t="s">
        <v>3</v>
      </c>
      <c r="D23" s="30">
        <f>State!C18</f>
        <v>0.9</v>
      </c>
      <c r="E23" s="6" t="s">
        <v>4</v>
      </c>
      <c r="F23" s="10" t="s">
        <v>8</v>
      </c>
      <c r="W23" s="30"/>
    </row>
    <row r="24" spans="1:24" ht="16.5" customHeight="1">
      <c r="A24" s="35">
        <v>1</v>
      </c>
      <c r="C24" s="6" t="s">
        <v>2</v>
      </c>
      <c r="D24" s="30">
        <f>State!C19</f>
        <v>0.9</v>
      </c>
      <c r="E24" s="6" t="s">
        <v>4</v>
      </c>
      <c r="F24" s="10" t="s">
        <v>7</v>
      </c>
      <c r="W24" s="30"/>
    </row>
    <row r="25" spans="1:24" ht="16.5" customHeight="1">
      <c r="A25" s="35">
        <v>1</v>
      </c>
      <c r="C25" s="6" t="s">
        <v>536</v>
      </c>
      <c r="D25" s="30">
        <v>0.15</v>
      </c>
      <c r="E25" s="6" t="s">
        <v>4</v>
      </c>
      <c r="F25" s="10" t="s">
        <v>537</v>
      </c>
      <c r="W25" s="30"/>
    </row>
    <row r="26" spans="1:24" ht="16.5" customHeight="1">
      <c r="A26" s="35">
        <v>1</v>
      </c>
      <c r="C26" s="6" t="s">
        <v>567</v>
      </c>
      <c r="D26" s="30">
        <v>0.2</v>
      </c>
      <c r="E26" s="6" t="s">
        <v>4</v>
      </c>
      <c r="F26" s="10" t="s">
        <v>568</v>
      </c>
      <c r="W26" s="30"/>
    </row>
    <row r="27" spans="1:24" ht="16.5" customHeight="1">
      <c r="A27" s="35">
        <v>1</v>
      </c>
      <c r="C27" s="6" t="s">
        <v>88</v>
      </c>
      <c r="D27" s="30">
        <v>0</v>
      </c>
      <c r="E27" s="6" t="s">
        <v>4</v>
      </c>
      <c r="F27" s="10" t="s">
        <v>12</v>
      </c>
      <c r="W27" s="30"/>
    </row>
    <row r="28" spans="1:24" ht="16.5" customHeight="1">
      <c r="A28" s="35">
        <v>1</v>
      </c>
      <c r="D28" s="30"/>
      <c r="F28" s="10"/>
      <c r="W28" s="30"/>
    </row>
    <row r="29" spans="1:24" ht="16.5" customHeight="1">
      <c r="A29" s="35">
        <v>1</v>
      </c>
      <c r="C29" s="6" t="s">
        <v>87</v>
      </c>
      <c r="D29" s="20">
        <f>D20-D26-D25</f>
        <v>1.6500000000000001</v>
      </c>
      <c r="E29" s="6" t="s">
        <v>4</v>
      </c>
      <c r="F29" s="10" t="s">
        <v>11</v>
      </c>
      <c r="W29" s="30"/>
    </row>
    <row r="30" spans="1:24" ht="16.5" customHeight="1">
      <c r="A30" s="35">
        <v>1</v>
      </c>
      <c r="C30" s="6" t="s">
        <v>89</v>
      </c>
      <c r="D30" s="20">
        <f>D19+D20</f>
        <v>2.2999999999999998</v>
      </c>
      <c r="E30" s="6" t="s">
        <v>4</v>
      </c>
      <c r="F30" s="10" t="s">
        <v>13</v>
      </c>
      <c r="T30" s="6">
        <f>D21*D22*D19*D19/2+D24*D23*D20*(D19+D20/2)/(D21*D22*D19+D24*D23*D20)</f>
        <v>0.91159090909090923</v>
      </c>
      <c r="W30" s="30"/>
    </row>
    <row r="31" spans="1:24" ht="16.5" customHeight="1">
      <c r="A31" s="35">
        <v>1</v>
      </c>
      <c r="C31" s="6" t="s">
        <v>569</v>
      </c>
      <c r="D31" s="20">
        <f>D29+D19</f>
        <v>1.9500000000000002</v>
      </c>
      <c r="E31" s="6" t="s">
        <v>4</v>
      </c>
      <c r="F31" s="10" t="s">
        <v>570</v>
      </c>
      <c r="W31" s="30"/>
    </row>
    <row r="32" spans="1:24" ht="16.5" customHeight="1">
      <c r="A32" s="35">
        <v>1</v>
      </c>
      <c r="C32" s="6" t="s">
        <v>572</v>
      </c>
      <c r="D32" s="20">
        <f>D20*D23*D24+D19*D21*D22</f>
        <v>2.97</v>
      </c>
      <c r="E32" s="6" t="s">
        <v>573</v>
      </c>
      <c r="F32" s="10" t="s">
        <v>574</v>
      </c>
    </row>
    <row r="33" spans="1:7" ht="16.5" customHeight="1">
      <c r="A33" s="35">
        <v>1</v>
      </c>
      <c r="D33" s="9"/>
      <c r="F33" s="10"/>
    </row>
    <row r="34" spans="1:7" ht="16.5" customHeight="1">
      <c r="A34" s="35">
        <v>1</v>
      </c>
      <c r="C34" s="8" t="s">
        <v>59</v>
      </c>
      <c r="F34" s="10"/>
    </row>
    <row r="35" spans="1:7" ht="16.5" customHeight="1">
      <c r="A35" s="35">
        <v>1</v>
      </c>
      <c r="F35" s="10"/>
    </row>
    <row r="36" spans="1:7" ht="16.5" customHeight="1">
      <c r="A36" s="35">
        <v>1</v>
      </c>
      <c r="C36" s="6" t="s">
        <v>18</v>
      </c>
      <c r="F36" s="11" t="s">
        <v>706</v>
      </c>
    </row>
    <row r="37" spans="1:7" ht="16.5" customHeight="1">
      <c r="A37" s="35">
        <v>1</v>
      </c>
      <c r="C37" s="12" t="s">
        <v>22</v>
      </c>
      <c r="D37" s="9">
        <f>VLOOKUP(F36,Tipos_suelos,4,FALSE)</f>
        <v>35</v>
      </c>
      <c r="E37" s="6" t="s">
        <v>16</v>
      </c>
      <c r="F37" s="10" t="s">
        <v>21</v>
      </c>
      <c r="G37" s="10"/>
    </row>
    <row r="38" spans="1:7" ht="16.5" customHeight="1">
      <c r="A38" s="35">
        <v>1</v>
      </c>
      <c r="C38" s="6" t="s">
        <v>44</v>
      </c>
      <c r="D38" s="9">
        <f>VLOOKUP(F36,Tipos_suelos,3,FALSE)</f>
        <v>0.5</v>
      </c>
      <c r="E38" s="6" t="s">
        <v>94</v>
      </c>
      <c r="F38" s="10" t="s">
        <v>25</v>
      </c>
    </row>
    <row r="39" spans="1:7" ht="16.5" customHeight="1">
      <c r="A39" s="35">
        <v>1</v>
      </c>
      <c r="C39" s="12" t="s">
        <v>14</v>
      </c>
      <c r="D39" s="13">
        <f>VLOOKUP(F36,Tipos_suelos,5,FALSE)</f>
        <v>38</v>
      </c>
      <c r="E39" s="6" t="s">
        <v>16</v>
      </c>
      <c r="F39" s="10" t="s">
        <v>15</v>
      </c>
      <c r="G39" s="10"/>
    </row>
    <row r="40" spans="1:7" ht="16.5" customHeight="1">
      <c r="A40" s="35">
        <v>1</v>
      </c>
      <c r="C40" s="12" t="s">
        <v>530</v>
      </c>
      <c r="D40" s="151">
        <f>VLOOKUP(F36,Tipos_suelos,6,FALSE)</f>
        <v>1.6</v>
      </c>
      <c r="E40" s="6" t="s">
        <v>90</v>
      </c>
      <c r="F40" s="10" t="s">
        <v>53</v>
      </c>
      <c r="G40" s="10"/>
    </row>
    <row r="41" spans="1:7" ht="16.5" customHeight="1">
      <c r="A41" s="35">
        <v>1</v>
      </c>
      <c r="C41" s="12" t="s">
        <v>91</v>
      </c>
      <c r="D41" s="151">
        <f>VLOOKUP(F36,Tipos_suelos,7,FALSE)</f>
        <v>2</v>
      </c>
      <c r="E41" s="6" t="s">
        <v>90</v>
      </c>
      <c r="F41" s="10" t="s">
        <v>52</v>
      </c>
      <c r="G41" s="10"/>
    </row>
    <row r="42" spans="1:7" ht="16.5" customHeight="1">
      <c r="A42" s="35">
        <v>1</v>
      </c>
      <c r="C42" s="12" t="s">
        <v>92</v>
      </c>
      <c r="D42" s="9">
        <f>VLOOKUP(F36,Tipos_suelos,8,FALSE)</f>
        <v>2.2999999999999998</v>
      </c>
      <c r="E42" s="6" t="s">
        <v>90</v>
      </c>
      <c r="F42" s="10" t="s">
        <v>55</v>
      </c>
      <c r="G42" s="10"/>
    </row>
    <row r="43" spans="1:7" ht="16.5" customHeight="1">
      <c r="A43" s="35">
        <v>1</v>
      </c>
      <c r="C43" s="12" t="s">
        <v>92</v>
      </c>
      <c r="D43" s="9">
        <f>VLOOKUP(F36,Tipos_suelos,9,FALSE)</f>
        <v>2.4</v>
      </c>
      <c r="E43" s="6" t="s">
        <v>90</v>
      </c>
      <c r="F43" s="10" t="s">
        <v>54</v>
      </c>
      <c r="G43" s="10"/>
    </row>
    <row r="44" spans="1:7" ht="16.5" customHeight="1">
      <c r="A44" s="35">
        <v>1</v>
      </c>
      <c r="C44" s="12" t="s">
        <v>93</v>
      </c>
      <c r="D44" s="9">
        <f>VLOOKUP(F36,Tipos_suelos,10,FALSE)</f>
        <v>30</v>
      </c>
      <c r="E44" s="6" t="s">
        <v>94</v>
      </c>
      <c r="F44" s="10" t="s">
        <v>56</v>
      </c>
      <c r="G44" s="10"/>
    </row>
    <row r="45" spans="1:7" ht="16.5" customHeight="1">
      <c r="A45" s="35">
        <v>1</v>
      </c>
      <c r="C45" s="12" t="s">
        <v>531</v>
      </c>
      <c r="D45" s="9">
        <f>VLOOKUP(F36,Tipos_suelos,11,FALSE)</f>
        <v>0</v>
      </c>
      <c r="E45" s="6" t="s">
        <v>94</v>
      </c>
      <c r="F45" s="10" t="s">
        <v>57</v>
      </c>
      <c r="G45" s="10"/>
    </row>
    <row r="46" spans="1:7" ht="16.5" customHeight="1">
      <c r="A46" s="35">
        <v>1</v>
      </c>
      <c r="D46" s="9"/>
      <c r="F46" s="10"/>
      <c r="G46" s="10"/>
    </row>
    <row r="47" spans="1:7" ht="16.5" customHeight="1">
      <c r="A47" s="35">
        <v>1</v>
      </c>
      <c r="C47" s="12" t="s">
        <v>95</v>
      </c>
      <c r="D47" s="33">
        <v>2</v>
      </c>
      <c r="E47" s="6" t="s">
        <v>90</v>
      </c>
      <c r="F47" s="10" t="s">
        <v>120</v>
      </c>
      <c r="G47" s="10"/>
    </row>
    <row r="48" spans="1:7" ht="16.5" customHeight="1">
      <c r="A48" s="35">
        <v>1</v>
      </c>
      <c r="C48" s="12" t="s">
        <v>116</v>
      </c>
      <c r="D48" s="33">
        <v>1</v>
      </c>
      <c r="E48" s="6" t="s">
        <v>90</v>
      </c>
      <c r="F48" s="10" t="s">
        <v>121</v>
      </c>
      <c r="G48" s="10"/>
    </row>
    <row r="49" spans="1:27" ht="16.5" customHeight="1">
      <c r="A49" s="35">
        <v>1</v>
      </c>
      <c r="C49" s="12" t="s">
        <v>96</v>
      </c>
      <c r="D49" s="14">
        <v>20</v>
      </c>
      <c r="E49" s="6" t="s">
        <v>94</v>
      </c>
      <c r="F49" s="10" t="s">
        <v>82</v>
      </c>
      <c r="G49" s="10"/>
    </row>
    <row r="50" spans="1:27" ht="16.5" customHeight="1">
      <c r="A50" s="35">
        <v>1</v>
      </c>
      <c r="C50" s="12" t="s">
        <v>97</v>
      </c>
      <c r="D50" s="14">
        <v>2.4</v>
      </c>
      <c r="E50" s="6" t="s">
        <v>90</v>
      </c>
      <c r="F50" s="10" t="s">
        <v>58</v>
      </c>
      <c r="G50" s="10"/>
    </row>
    <row r="51" spans="1:27" ht="16.5" customHeight="1">
      <c r="A51" s="35">
        <v>1</v>
      </c>
      <c r="D51" s="9"/>
      <c r="F51" s="10"/>
      <c r="G51" s="10"/>
    </row>
    <row r="52" spans="1:27" ht="16.5" customHeight="1">
      <c r="A52" s="35">
        <v>1</v>
      </c>
      <c r="C52" s="6" t="s">
        <v>129</v>
      </c>
      <c r="D52" s="37">
        <f>(D22*D21*D19+D23*D24*D20)*D50</f>
        <v>7.1279999999999992</v>
      </c>
      <c r="E52" s="6" t="s">
        <v>128</v>
      </c>
      <c r="F52" s="10" t="s">
        <v>126</v>
      </c>
      <c r="G52" s="10"/>
    </row>
    <row r="53" spans="1:27" ht="16.5" customHeight="1">
      <c r="A53" s="35">
        <v>1</v>
      </c>
      <c r="C53" s="6" t="s">
        <v>130</v>
      </c>
      <c r="D53" s="20">
        <f>(D21*D22*D19*D19*0.5+D23*D24*D20*(D19+D20*0.5))/(D21*D22*D19+D23*D24*D20)</f>
        <v>0.77727272727272745</v>
      </c>
      <c r="E53" s="6" t="s">
        <v>4</v>
      </c>
      <c r="F53" s="10" t="s">
        <v>127</v>
      </c>
      <c r="G53" s="10"/>
    </row>
    <row r="54" spans="1:27" ht="16.5" customHeight="1">
      <c r="A54" s="35">
        <v>1</v>
      </c>
      <c r="D54" s="9"/>
      <c r="F54" s="10"/>
      <c r="G54" s="10"/>
    </row>
    <row r="55" spans="1:27" ht="16.5" customHeight="1">
      <c r="A55" s="35">
        <v>1</v>
      </c>
      <c r="C55" s="8" t="s">
        <v>60</v>
      </c>
      <c r="D55" s="9"/>
      <c r="F55" s="10"/>
      <c r="G55" s="10"/>
    </row>
    <row r="56" spans="1:27" ht="16.5" customHeight="1">
      <c r="A56" s="35">
        <v>1</v>
      </c>
      <c r="C56" s="8"/>
      <c r="D56" s="9"/>
      <c r="F56" s="10"/>
      <c r="G56" s="10"/>
    </row>
    <row r="57" spans="1:27" ht="16.5" customHeight="1">
      <c r="A57" s="35">
        <v>1</v>
      </c>
      <c r="C57" s="8"/>
      <c r="D57" s="200" t="s">
        <v>107</v>
      </c>
      <c r="E57" s="201"/>
      <c r="F57" s="201"/>
      <c r="G57" s="201"/>
      <c r="H57" s="201"/>
      <c r="I57" s="201"/>
      <c r="J57" s="201"/>
      <c r="K57" s="201"/>
      <c r="L57" s="201"/>
      <c r="M57" s="202"/>
      <c r="S57" s="198" t="s">
        <v>749</v>
      </c>
      <c r="T57" s="198"/>
      <c r="U57" s="198"/>
      <c r="V57" s="198"/>
      <c r="W57" s="198"/>
      <c r="X57" s="198"/>
      <c r="Y57" s="198"/>
      <c r="Z57" s="198"/>
      <c r="AA57" s="198"/>
    </row>
    <row r="58" spans="1:27" ht="16.5" customHeight="1">
      <c r="A58" s="35">
        <v>1</v>
      </c>
      <c r="D58" s="200" t="s">
        <v>101</v>
      </c>
      <c r="E58" s="202"/>
      <c r="F58" s="200" t="s">
        <v>102</v>
      </c>
      <c r="G58" s="202"/>
      <c r="H58" s="200" t="s">
        <v>718</v>
      </c>
      <c r="I58" s="202"/>
      <c r="J58" s="165" t="s">
        <v>719</v>
      </c>
      <c r="K58" s="200" t="s">
        <v>720</v>
      </c>
      <c r="L58" s="202"/>
      <c r="M58" s="97" t="s">
        <v>721</v>
      </c>
      <c r="S58" s="198"/>
      <c r="T58" s="198"/>
      <c r="U58" s="198"/>
      <c r="V58" s="198"/>
      <c r="W58" s="198"/>
      <c r="X58" s="198"/>
      <c r="Y58" s="198"/>
      <c r="Z58" s="198"/>
      <c r="AA58" s="198"/>
    </row>
    <row r="59" spans="1:27" ht="16.5" customHeight="1">
      <c r="A59" s="35">
        <v>1</v>
      </c>
      <c r="C59" s="15" t="s">
        <v>103</v>
      </c>
      <c r="D59" s="199">
        <f>'Cálculo de cargas'!C117*0.001</f>
        <v>8.8062000000000005</v>
      </c>
      <c r="E59" s="199"/>
      <c r="F59" s="199">
        <f>'Cálculo de cargas'!E117*0.001</f>
        <v>7.8062000000000005</v>
      </c>
      <c r="G59" s="199"/>
      <c r="H59" s="199">
        <f>'Cálculo de cargas'!G117*0.001</f>
        <v>0.4</v>
      </c>
      <c r="I59" s="199"/>
      <c r="J59" s="170">
        <f>'Cálculo de cargas'!I117*0.001</f>
        <v>0.3</v>
      </c>
      <c r="K59" s="199">
        <f>'Cálculo de cargas'!J117*0.001</f>
        <v>1.992</v>
      </c>
      <c r="L59" s="199"/>
      <c r="M59" s="170">
        <f>'Cálculo de cargas'!L117*0.001</f>
        <v>2.6560000000000001</v>
      </c>
      <c r="N59" s="6" t="s">
        <v>463</v>
      </c>
      <c r="S59" s="198"/>
      <c r="T59" s="198"/>
      <c r="U59" s="198"/>
      <c r="V59" s="198"/>
      <c r="W59" s="198"/>
      <c r="X59" s="198"/>
      <c r="Y59" s="198"/>
      <c r="Z59" s="198"/>
      <c r="AA59" s="198"/>
    </row>
    <row r="60" spans="1:27" ht="16.5" customHeight="1">
      <c r="A60" s="35">
        <v>1</v>
      </c>
      <c r="C60" s="15" t="s">
        <v>104</v>
      </c>
      <c r="D60" s="199">
        <f>'Cálculo de cargas'!C124*0.001</f>
        <v>8.8062000000000005</v>
      </c>
      <c r="E60" s="199"/>
      <c r="F60" s="199">
        <f>'Cálculo de cargas'!E124*0.001</f>
        <v>7.8062000000000005</v>
      </c>
      <c r="G60" s="199"/>
      <c r="H60" s="199">
        <f>'Cálculo de cargas'!G124*0.001</f>
        <v>0.64864999999999995</v>
      </c>
      <c r="I60" s="199"/>
      <c r="J60" s="170">
        <f>'Cálculo de cargas'!I124*0.001</f>
        <v>0.38182499999999997</v>
      </c>
      <c r="K60" s="199">
        <f>'Cálculo de cargas'!J124*0.001</f>
        <v>2.459758125</v>
      </c>
      <c r="L60" s="199"/>
      <c r="M60" s="170">
        <f>'Cálculo de cargas'!L124*0.001</f>
        <v>4.0853662499999999</v>
      </c>
      <c r="N60" s="6" t="s">
        <v>464</v>
      </c>
    </row>
    <row r="61" spans="1:27" ht="16.5" customHeight="1">
      <c r="A61" s="35">
        <v>1</v>
      </c>
      <c r="C61" s="15" t="s">
        <v>105</v>
      </c>
      <c r="D61" s="199">
        <f>'Cálculo de cargas'!C131*0.001</f>
        <v>10.567114400000001</v>
      </c>
      <c r="E61" s="199"/>
      <c r="F61" s="199">
        <f>'Cálculo de cargas'!E131*0.001</f>
        <v>6.0452856000000015</v>
      </c>
      <c r="G61" s="199"/>
      <c r="H61" s="199">
        <f>'Cálculo de cargas'!G131*0.001</f>
        <v>2.9729796659571122</v>
      </c>
      <c r="I61" s="199"/>
      <c r="J61" s="170">
        <f>'Cálculo de cargas'!I131*0.001</f>
        <v>2.8729796659571121</v>
      </c>
      <c r="K61" s="199">
        <f>'Cálculo de cargas'!J131*0.001</f>
        <v>5.9182996400844443</v>
      </c>
      <c r="L61" s="199"/>
      <c r="M61" s="170">
        <f>'Cálculo de cargas'!L131*0.001</f>
        <v>6.582299640084444</v>
      </c>
      <c r="N61" s="6" t="s">
        <v>465</v>
      </c>
    </row>
    <row r="62" spans="1:27" ht="16.5" customHeight="1">
      <c r="A62" s="35">
        <v>1</v>
      </c>
      <c r="C62" s="15" t="s">
        <v>106</v>
      </c>
      <c r="D62" s="199">
        <v>0</v>
      </c>
      <c r="E62" s="199"/>
      <c r="F62" s="199">
        <v>0</v>
      </c>
      <c r="G62" s="199"/>
      <c r="H62" s="199">
        <v>0</v>
      </c>
      <c r="I62" s="199"/>
      <c r="J62" s="170">
        <v>0</v>
      </c>
      <c r="K62" s="199">
        <v>0</v>
      </c>
      <c r="L62" s="199"/>
      <c r="M62" s="170">
        <v>0</v>
      </c>
      <c r="N62" s="6" t="s">
        <v>125</v>
      </c>
      <c r="S62" s="11" t="s">
        <v>600</v>
      </c>
    </row>
    <row r="63" spans="1:27" ht="16.5" customHeight="1">
      <c r="A63" s="35">
        <v>1</v>
      </c>
      <c r="F63" s="10"/>
      <c r="G63" s="10"/>
    </row>
    <row r="64" spans="1:27" ht="16.5" customHeight="1">
      <c r="A64" s="35">
        <v>1</v>
      </c>
      <c r="C64" s="7" t="s">
        <v>62</v>
      </c>
      <c r="F64" s="10"/>
      <c r="G64" s="10"/>
    </row>
    <row r="65" spans="1:19" ht="16.5" customHeight="1">
      <c r="A65" s="35">
        <v>1</v>
      </c>
      <c r="F65" s="10"/>
      <c r="G65" s="10"/>
    </row>
    <row r="66" spans="1:19" ht="16.5" customHeight="1">
      <c r="A66" s="5">
        <f>IF(OR(D77&lt;D21/6,D79&lt;D21/6,D78&lt;D22/6,D80&lt;D2335),1,0)</f>
        <v>1</v>
      </c>
      <c r="C66" s="16" t="s">
        <v>63</v>
      </c>
      <c r="D66" s="17"/>
      <c r="E66" s="17"/>
      <c r="F66" s="18"/>
      <c r="G66" s="18"/>
      <c r="H66" s="17"/>
      <c r="I66" s="17"/>
      <c r="J66" s="17"/>
      <c r="K66" s="17"/>
      <c r="L66" s="17"/>
      <c r="M66" s="17"/>
      <c r="N66" s="17"/>
      <c r="O66" s="17"/>
      <c r="P66" s="19"/>
      <c r="Q66" s="17"/>
      <c r="R66" s="17"/>
    </row>
    <row r="67" spans="1:19" ht="16.5" customHeight="1">
      <c r="A67" s="5">
        <f>A66</f>
        <v>1</v>
      </c>
      <c r="F67" s="10"/>
      <c r="G67" s="10"/>
      <c r="P67" s="109" t="str">
        <f>IF(A66=0,"NO CONTROLA","")</f>
        <v/>
      </c>
    </row>
    <row r="68" spans="1:19" ht="16.5" customHeight="1">
      <c r="A68" s="5">
        <f>A67</f>
        <v>1</v>
      </c>
      <c r="C68" s="38" t="s">
        <v>119</v>
      </c>
      <c r="E68" s="31" t="s">
        <v>104</v>
      </c>
      <c r="F68" s="10"/>
      <c r="G68" s="10"/>
      <c r="P68" s="24"/>
      <c r="S68" s="11" t="s">
        <v>722</v>
      </c>
    </row>
    <row r="69" spans="1:19" ht="16.5" customHeight="1">
      <c r="A69" s="5">
        <f>A68</f>
        <v>1</v>
      </c>
      <c r="F69" s="10"/>
      <c r="G69" s="10"/>
      <c r="P69" s="24"/>
    </row>
    <row r="70" spans="1:19" ht="16.5" customHeight="1">
      <c r="A70" s="5">
        <f t="shared" ref="A70:A87" si="0">A69</f>
        <v>1</v>
      </c>
      <c r="C70" s="6" t="s">
        <v>64</v>
      </c>
      <c r="D70" s="20">
        <f>(D21*D22-D23*D24)*((D29-IF(D27&lt;D19,0,D27-D19))*D47+IF(D27&lt;D19,0,D27-D19)*D48)</f>
        <v>12.177000000000001</v>
      </c>
      <c r="E70" s="6" t="s">
        <v>61</v>
      </c>
      <c r="F70" s="10" t="s">
        <v>67</v>
      </c>
      <c r="G70" s="10"/>
    </row>
    <row r="71" spans="1:19" ht="16.5" customHeight="1">
      <c r="A71" s="5">
        <f t="shared" si="0"/>
        <v>1</v>
      </c>
      <c r="C71" s="6" t="s">
        <v>723</v>
      </c>
      <c r="D71" s="20">
        <f>VLOOKUP($E$68,C59:M62,2,FALSE)</f>
        <v>8.8062000000000005</v>
      </c>
      <c r="E71" s="6" t="s">
        <v>61</v>
      </c>
      <c r="F71" s="10" t="s">
        <v>108</v>
      </c>
      <c r="G71" s="10"/>
    </row>
    <row r="72" spans="1:19" ht="16.5" customHeight="1">
      <c r="A72" s="5">
        <f t="shared" si="0"/>
        <v>1</v>
      </c>
      <c r="C72" s="6" t="s">
        <v>724</v>
      </c>
      <c r="D72" s="20">
        <f>VLOOKUP($E$68,C59:L62,4,FALSE)</f>
        <v>7.8062000000000005</v>
      </c>
      <c r="E72" s="6" t="s">
        <v>61</v>
      </c>
      <c r="F72" s="10" t="s">
        <v>109</v>
      </c>
      <c r="G72" s="10"/>
    </row>
    <row r="73" spans="1:19" ht="16.5" customHeight="1">
      <c r="A73" s="5">
        <f t="shared" si="0"/>
        <v>1</v>
      </c>
      <c r="D73" s="20"/>
      <c r="F73" s="10"/>
      <c r="G73" s="10"/>
    </row>
    <row r="74" spans="1:19" ht="16.5" customHeight="1">
      <c r="A74" s="5">
        <f t="shared" si="0"/>
        <v>1</v>
      </c>
      <c r="C74" s="6" t="s">
        <v>110</v>
      </c>
      <c r="D74" s="20">
        <f>0.75*D70+D71-V98</f>
        <v>17.938950000000002</v>
      </c>
      <c r="E74" s="6" t="s">
        <v>61</v>
      </c>
      <c r="F74" s="10" t="s">
        <v>112</v>
      </c>
    </row>
    <row r="75" spans="1:19" ht="16.5" customHeight="1">
      <c r="A75" s="5">
        <f t="shared" si="0"/>
        <v>1</v>
      </c>
      <c r="C75" s="6" t="s">
        <v>111</v>
      </c>
      <c r="D75" s="20">
        <f>0.75*D70+D72-V98</f>
        <v>16.938950000000002</v>
      </c>
      <c r="E75" s="6" t="s">
        <v>61</v>
      </c>
      <c r="F75" s="10" t="s">
        <v>113</v>
      </c>
      <c r="H75" s="14"/>
    </row>
    <row r="76" spans="1:19" ht="16.5" customHeight="1">
      <c r="A76" s="5">
        <f t="shared" si="0"/>
        <v>1</v>
      </c>
      <c r="D76" s="20"/>
      <c r="F76" s="10"/>
      <c r="H76" s="14"/>
    </row>
    <row r="77" spans="1:19" ht="16.5" customHeight="1">
      <c r="A77" s="5">
        <f t="shared" si="0"/>
        <v>1</v>
      </c>
      <c r="C77" s="6" t="s">
        <v>114</v>
      </c>
      <c r="D77" s="20">
        <f>IF((VLOOKUP($E$68,$C$59:$M$62,11,0)-0.125*$D$21*$D$70)/D74&gt;0,(VLOOKUP($E$68,$C$59:$M$62,11,0)-0.125*$D$21*$D$70)/D74,0)</f>
        <v>1.5611490639084201E-2</v>
      </c>
      <c r="E77" s="6" t="s">
        <v>4</v>
      </c>
      <c r="F77" s="10"/>
      <c r="G77" s="32" t="s">
        <v>500</v>
      </c>
      <c r="H77" s="20">
        <f>D77/D21</f>
        <v>6.2445962556336807E-3</v>
      </c>
    </row>
    <row r="78" spans="1:19" ht="16.5" customHeight="1">
      <c r="A78" s="5">
        <f t="shared" si="0"/>
        <v>1</v>
      </c>
      <c r="C78" s="6" t="s">
        <v>725</v>
      </c>
      <c r="D78" s="20">
        <f>IF((VLOOKUP($E$68,$C$59:$M$62,9,0)-0.125*$D$22*$D$70)/D74&gt;0,(VLOOKUP($E$68,$C$59:$M$62,9,0)-0.125*$D$22*$D$70)/D74,0)</f>
        <v>0</v>
      </c>
      <c r="E78" s="6" t="s">
        <v>4</v>
      </c>
      <c r="F78" s="10"/>
      <c r="G78" s="32" t="s">
        <v>728</v>
      </c>
      <c r="H78" s="20">
        <f>D78/D22</f>
        <v>0</v>
      </c>
    </row>
    <row r="79" spans="1:19" ht="16.5" customHeight="1">
      <c r="A79" s="5">
        <f t="shared" si="0"/>
        <v>1</v>
      </c>
      <c r="C79" s="6" t="s">
        <v>115</v>
      </c>
      <c r="D79" s="20">
        <f>IF((VLOOKUP($E$68,$C$59:$M$62,11,0)-0.125*$D$21*$D$70)/D75&gt;0,(VLOOKUP($E$68,$C$59:$M$62,11,0)-0.125*$D$21*$D$70)/D75,0)</f>
        <v>1.6533123363608695E-2</v>
      </c>
      <c r="E79" s="6" t="s">
        <v>4</v>
      </c>
      <c r="F79" s="10"/>
      <c r="G79" s="32" t="s">
        <v>501</v>
      </c>
      <c r="H79" s="20">
        <f>D79/D21</f>
        <v>6.6132493454434784E-3</v>
      </c>
    </row>
    <row r="80" spans="1:19" ht="16.5" customHeight="1">
      <c r="A80" s="5">
        <f t="shared" si="0"/>
        <v>1</v>
      </c>
      <c r="C80" s="6" t="s">
        <v>727</v>
      </c>
      <c r="D80" s="20">
        <f>IF((VLOOKUP($E$68,$C$59:$M$62,9,0)-0.125*$D$22*$D$70)/D75&gt;0,(VLOOKUP($E$68,$C$59:$M$62,9,0)-0.125*$D$22*$D$70)/D75,0)</f>
        <v>0</v>
      </c>
      <c r="E80" s="6" t="s">
        <v>4</v>
      </c>
      <c r="F80" s="10"/>
      <c r="G80" s="32" t="s">
        <v>726</v>
      </c>
      <c r="H80" s="20">
        <f>D80/D22</f>
        <v>0</v>
      </c>
    </row>
    <row r="81" spans="1:24" ht="16.5" customHeight="1">
      <c r="A81" s="5">
        <f t="shared" si="0"/>
        <v>1</v>
      </c>
      <c r="D81" s="20"/>
      <c r="F81" s="10"/>
    </row>
    <row r="82" spans="1:24" ht="16.5" customHeight="1">
      <c r="A82" s="5">
        <f t="shared" si="0"/>
        <v>1</v>
      </c>
      <c r="C82" s="32" t="s">
        <v>731</v>
      </c>
      <c r="D82" s="30">
        <v>3</v>
      </c>
      <c r="F82" s="6" t="s">
        <v>729</v>
      </c>
      <c r="S82" s="11" t="s">
        <v>735</v>
      </c>
    </row>
    <row r="83" spans="1:24" ht="16.5" customHeight="1">
      <c r="A83" s="5">
        <f t="shared" si="0"/>
        <v>1</v>
      </c>
      <c r="C83" s="32" t="s">
        <v>733</v>
      </c>
      <c r="D83" s="30">
        <v>3</v>
      </c>
      <c r="F83" s="6" t="s">
        <v>730</v>
      </c>
      <c r="S83" s="11" t="s">
        <v>735</v>
      </c>
    </row>
    <row r="84" spans="1:24" ht="16.5" customHeight="1">
      <c r="A84" s="5">
        <f>A83</f>
        <v>1</v>
      </c>
      <c r="D84" s="20"/>
      <c r="F84" s="10"/>
      <c r="G84" s="10"/>
    </row>
    <row r="85" spans="1:24" ht="16.5" customHeight="1">
      <c r="A85" s="5">
        <f t="shared" si="0"/>
        <v>1</v>
      </c>
      <c r="C85" s="12" t="s">
        <v>98</v>
      </c>
      <c r="D85" s="20">
        <f>IF(A66=0,"N/A",MAX(D82*D74/(D22*D21),D83*D75/(D21*D22)))</f>
        <v>11.959300000000001</v>
      </c>
      <c r="E85" s="6" t="s">
        <v>94</v>
      </c>
      <c r="F85" s="6" t="s">
        <v>65</v>
      </c>
    </row>
    <row r="86" spans="1:24" ht="16.5" customHeight="1">
      <c r="A86" s="5">
        <f t="shared" si="0"/>
        <v>1</v>
      </c>
      <c r="C86" s="12" t="s">
        <v>99</v>
      </c>
      <c r="D86" s="20">
        <f>D44</f>
        <v>30</v>
      </c>
      <c r="E86" s="6" t="s">
        <v>94</v>
      </c>
      <c r="F86" s="6" t="s">
        <v>81</v>
      </c>
      <c r="K86" s="110" t="str">
        <f>IF(A66=0,"NO CONTROLA",IF(D86&gt;=D85,"CUMPLE","NO CUMPLE"))</f>
        <v>CUMPLE</v>
      </c>
    </row>
    <row r="87" spans="1:24" ht="16.5" customHeight="1">
      <c r="A87" s="5">
        <f t="shared" si="0"/>
        <v>1</v>
      </c>
      <c r="F87" s="10"/>
      <c r="G87" s="10"/>
    </row>
    <row r="88" spans="1:24" ht="16.5" customHeight="1">
      <c r="A88" s="5">
        <f>IF(A66=0,1,0)</f>
        <v>0</v>
      </c>
      <c r="C88" s="16" t="s">
        <v>66</v>
      </c>
      <c r="D88" s="17"/>
      <c r="E88" s="17"/>
      <c r="F88" s="18"/>
      <c r="G88" s="18"/>
      <c r="H88" s="17"/>
      <c r="I88" s="17"/>
      <c r="J88" s="17"/>
      <c r="K88" s="17"/>
      <c r="L88" s="17"/>
      <c r="M88" s="17"/>
      <c r="N88" s="17"/>
      <c r="O88" s="17"/>
      <c r="P88" s="19"/>
      <c r="Q88" s="17"/>
      <c r="R88" s="17"/>
    </row>
    <row r="89" spans="1:24" ht="16.5" customHeight="1">
      <c r="A89" s="5">
        <f>A88</f>
        <v>0</v>
      </c>
      <c r="F89" s="10"/>
      <c r="G89" s="10"/>
      <c r="P89" s="24" t="str">
        <f>IF(A88=0,"NO CONTROLA","")</f>
        <v>NO CONTROLA</v>
      </c>
    </row>
    <row r="90" spans="1:24" ht="16.5" customHeight="1">
      <c r="A90" s="5">
        <f>A89</f>
        <v>0</v>
      </c>
      <c r="C90" s="38" t="s">
        <v>119</v>
      </c>
      <c r="E90" s="31" t="str">
        <f>E68</f>
        <v>CC2</v>
      </c>
      <c r="F90" s="10"/>
      <c r="G90" s="10"/>
      <c r="P90" s="24"/>
      <c r="S90" s="11" t="s">
        <v>722</v>
      </c>
    </row>
    <row r="91" spans="1:24" ht="16.5" customHeight="1">
      <c r="A91" s="5">
        <f>A88</f>
        <v>0</v>
      </c>
      <c r="F91" s="10"/>
      <c r="G91" s="10"/>
    </row>
    <row r="92" spans="1:24" ht="16.5" customHeight="1">
      <c r="A92" s="5">
        <f t="shared" ref="A92:A109" si="1">A91</f>
        <v>0</v>
      </c>
      <c r="C92" s="6" t="s">
        <v>64</v>
      </c>
      <c r="D92" s="20">
        <f>V95*D47+V96*D48</f>
        <v>37.737015182609873</v>
      </c>
      <c r="E92" s="6" t="s">
        <v>61</v>
      </c>
      <c r="F92" s="10" t="s">
        <v>68</v>
      </c>
      <c r="G92" s="10"/>
      <c r="U92" s="6" t="s">
        <v>69</v>
      </c>
      <c r="V92" s="20">
        <f>D22*D21</f>
        <v>4.5</v>
      </c>
      <c r="W92" s="6" t="s">
        <v>70</v>
      </c>
      <c r="X92" s="10" t="s">
        <v>76</v>
      </c>
    </row>
    <row r="93" spans="1:24" ht="16.5" customHeight="1">
      <c r="A93" s="5">
        <f t="shared" si="1"/>
        <v>0</v>
      </c>
      <c r="C93" s="6" t="s">
        <v>723</v>
      </c>
      <c r="D93" s="20">
        <f>VLOOKUP($E$90,C59:M62,2,FALSE)</f>
        <v>8.8062000000000005</v>
      </c>
      <c r="E93" s="6" t="s">
        <v>61</v>
      </c>
      <c r="F93" s="10" t="s">
        <v>108</v>
      </c>
      <c r="G93" s="10"/>
      <c r="U93" s="6" t="s">
        <v>71</v>
      </c>
      <c r="V93" s="20">
        <f>(D22+2*IF(D27&lt;D19,0,D27-D19)*TAN(D39*2*PI()/180))*(D21+2*IF(D27&lt;D19,0,D27-D19)*TAN(D39*2*PI()/180))</f>
        <v>4.5</v>
      </c>
      <c r="W93" s="6" t="s">
        <v>70</v>
      </c>
      <c r="X93" s="10" t="s">
        <v>78</v>
      </c>
    </row>
    <row r="94" spans="1:24" ht="16.5" customHeight="1">
      <c r="A94" s="5">
        <f t="shared" si="1"/>
        <v>0</v>
      </c>
      <c r="C94" s="6" t="s">
        <v>724</v>
      </c>
      <c r="D94" s="20">
        <f>VLOOKUP($E$90,C59:M62,4,FALSE)</f>
        <v>7.8062000000000005</v>
      </c>
      <c r="E94" s="6" t="s">
        <v>61</v>
      </c>
      <c r="F94" s="10" t="s">
        <v>109</v>
      </c>
      <c r="G94" s="10"/>
      <c r="U94" s="6" t="s">
        <v>72</v>
      </c>
      <c r="V94" s="20">
        <f>(D22+2*TAN(D39*PI()/180)*D29)*(D21+2*TAN(D39*PI()/180)*D29)</f>
        <v>22.233777776855792</v>
      </c>
      <c r="W94" s="6" t="s">
        <v>70</v>
      </c>
      <c r="X94" s="10" t="s">
        <v>77</v>
      </c>
    </row>
    <row r="95" spans="1:24" ht="16.5" customHeight="1">
      <c r="A95" s="5">
        <f t="shared" si="1"/>
        <v>0</v>
      </c>
      <c r="D95" s="34"/>
      <c r="U95" s="6" t="s">
        <v>73</v>
      </c>
      <c r="V95" s="9">
        <f>(D29-IF(D27&lt;D19,0,D27-D19))/3*(V94+V93+SQRT(V94*V93))-D29*D23*D24</f>
        <v>18.868507591304937</v>
      </c>
      <c r="W95" s="6" t="s">
        <v>75</v>
      </c>
      <c r="X95" s="10" t="s">
        <v>79</v>
      </c>
    </row>
    <row r="96" spans="1:24" ht="16.5" customHeight="1">
      <c r="A96" s="5">
        <f t="shared" si="1"/>
        <v>0</v>
      </c>
      <c r="C96" s="6" t="s">
        <v>110</v>
      </c>
      <c r="D96" s="20">
        <f>0.75*D92+D93-V98</f>
        <v>37.108961386957404</v>
      </c>
      <c r="E96" s="6" t="s">
        <v>61</v>
      </c>
      <c r="F96" s="10" t="s">
        <v>122</v>
      </c>
      <c r="U96" s="6" t="s">
        <v>74</v>
      </c>
      <c r="V96" s="9">
        <f>(IF(D27&lt;D19,0,D27-D19))/3*(V93+V92+SQRT(V93*V92))</f>
        <v>0</v>
      </c>
      <c r="W96" s="6" t="s">
        <v>75</v>
      </c>
      <c r="X96" s="10" t="s">
        <v>80</v>
      </c>
    </row>
    <row r="97" spans="1:24" ht="16.5" customHeight="1">
      <c r="A97" s="5">
        <f t="shared" si="1"/>
        <v>0</v>
      </c>
      <c r="C97" s="6" t="s">
        <v>111</v>
      </c>
      <c r="D97" s="20">
        <f>0.75*D93+D94-V98</f>
        <v>14.41085</v>
      </c>
      <c r="E97" s="6" t="s">
        <v>61</v>
      </c>
      <c r="F97" s="10" t="s">
        <v>123</v>
      </c>
    </row>
    <row r="98" spans="1:24" ht="16.5" customHeight="1">
      <c r="A98" s="5">
        <f t="shared" si="1"/>
        <v>0</v>
      </c>
      <c r="D98" s="20"/>
      <c r="F98" s="10"/>
      <c r="H98" s="14"/>
      <c r="U98" s="6" t="s">
        <v>117</v>
      </c>
      <c r="V98" s="9">
        <f>IF(D27&gt;D19,D19,D27)*D21*D22+IF(D27&gt;D19,(D27-D19),0)*D23*D24</f>
        <v>0</v>
      </c>
      <c r="W98" s="6" t="s">
        <v>61</v>
      </c>
      <c r="X98" s="6" t="s">
        <v>118</v>
      </c>
    </row>
    <row r="99" spans="1:24" ht="16.5" customHeight="1">
      <c r="A99" s="5">
        <f t="shared" si="1"/>
        <v>0</v>
      </c>
      <c r="C99" s="6" t="s">
        <v>114</v>
      </c>
      <c r="D99" s="20">
        <f>IF((VLOOKUP($E$90,$C$59:$M$62,11,0)-0.25*$D$21*$D$92)/D96&gt;0,(VLOOKUP($E$90,$C$59:$M$62,11,0)-0.25*$D$21*$D$92)/D96,0)</f>
        <v>0</v>
      </c>
      <c r="E99" s="6" t="s">
        <v>4</v>
      </c>
      <c r="F99" s="10"/>
      <c r="G99" s="32" t="s">
        <v>500</v>
      </c>
      <c r="H99" s="20">
        <f>D99/D21</f>
        <v>0</v>
      </c>
    </row>
    <row r="100" spans="1:24" ht="16.5" customHeight="1">
      <c r="A100" s="5">
        <f t="shared" si="1"/>
        <v>0</v>
      </c>
      <c r="C100" s="6" t="s">
        <v>725</v>
      </c>
      <c r="D100" s="20">
        <f>IF((VLOOKUP($E$90,$C$59:$M$62,9,0)-0.25*$D$22*$D$92)/D96&gt;0,(VLOOKUP($E$90,$C$59:$M$62,9,0)-0.25*$D$22*$D$92)/D96,0)</f>
        <v>0</v>
      </c>
      <c r="E100" s="6" t="s">
        <v>4</v>
      </c>
      <c r="F100" s="10"/>
      <c r="G100" s="32" t="s">
        <v>728</v>
      </c>
      <c r="H100" s="20">
        <f>D100/D22</f>
        <v>0</v>
      </c>
    </row>
    <row r="101" spans="1:24" ht="16.5" customHeight="1">
      <c r="A101" s="5">
        <f t="shared" si="1"/>
        <v>0</v>
      </c>
      <c r="C101" s="6" t="s">
        <v>115</v>
      </c>
      <c r="D101" s="20">
        <f>IF((VLOOKUP($E$90,$C$59:$M$62,11,0)-0.25*$D$21*$D$92)/D97&gt;0,(VLOOKUP($E$90,$C$59:$M$62,11,0)-0.25*$D$21*$D$92)/D97,0)</f>
        <v>0</v>
      </c>
      <c r="E101" s="6" t="s">
        <v>4</v>
      </c>
      <c r="F101" s="10"/>
      <c r="G101" s="32" t="s">
        <v>501</v>
      </c>
      <c r="H101" s="20">
        <f>D101/D21</f>
        <v>0</v>
      </c>
      <c r="V101" s="9"/>
    </row>
    <row r="102" spans="1:24" ht="16.5" customHeight="1">
      <c r="A102" s="5">
        <f t="shared" si="1"/>
        <v>0</v>
      </c>
      <c r="C102" s="6" t="s">
        <v>727</v>
      </c>
      <c r="D102" s="20">
        <f>IF((VLOOKUP($E$90,$C$59:$M$62,9,0)-0.25*$D$22*$D$92)/D97&gt;0,(VLOOKUP($E$90,$C$59:$M$62,9,0)-0.25*$D$22*$D$92)/D97,0)</f>
        <v>0</v>
      </c>
      <c r="E102" s="6" t="s">
        <v>4</v>
      </c>
      <c r="F102" s="10"/>
      <c r="G102" s="32" t="s">
        <v>726</v>
      </c>
      <c r="H102" s="20">
        <f>D102/D22</f>
        <v>0</v>
      </c>
      <c r="V102" s="9"/>
    </row>
    <row r="103" spans="1:24" ht="16.5" customHeight="1">
      <c r="A103" s="5">
        <f t="shared" si="1"/>
        <v>0</v>
      </c>
      <c r="D103" s="34"/>
      <c r="F103" s="10"/>
      <c r="G103" s="12"/>
      <c r="V103" s="9"/>
    </row>
    <row r="104" spans="1:24" ht="16.5" customHeight="1">
      <c r="A104" s="5">
        <f t="shared" si="1"/>
        <v>0</v>
      </c>
      <c r="C104" s="32" t="s">
        <v>731</v>
      </c>
      <c r="D104" s="30">
        <v>2.2000000000000002</v>
      </c>
      <c r="F104" s="6" t="s">
        <v>729</v>
      </c>
      <c r="S104" s="11" t="s">
        <v>735</v>
      </c>
    </row>
    <row r="105" spans="1:24" ht="16.5" customHeight="1">
      <c r="A105" s="5">
        <f t="shared" si="1"/>
        <v>0</v>
      </c>
      <c r="C105" s="32" t="s">
        <v>732</v>
      </c>
      <c r="D105" s="30">
        <v>2.5</v>
      </c>
      <c r="F105" s="6" t="s">
        <v>730</v>
      </c>
      <c r="S105" s="11" t="s">
        <v>735</v>
      </c>
    </row>
    <row r="106" spans="1:24" ht="16.5" customHeight="1">
      <c r="A106" s="5">
        <f t="shared" si="1"/>
        <v>0</v>
      </c>
      <c r="D106" s="9"/>
      <c r="F106" s="10"/>
      <c r="H106" s="14"/>
    </row>
    <row r="107" spans="1:24" ht="16.5" customHeight="1">
      <c r="A107" s="5">
        <f t="shared" si="1"/>
        <v>0</v>
      </c>
      <c r="C107" s="12" t="s">
        <v>98</v>
      </c>
      <c r="D107" s="84" t="str">
        <f>IF(A88=0,"N/A",MAX(D104*D96/(D22*D21),D105*D97/(D21*D22)))</f>
        <v>N/A</v>
      </c>
      <c r="E107" s="6" t="s">
        <v>94</v>
      </c>
      <c r="F107" s="6" t="s">
        <v>65</v>
      </c>
    </row>
    <row r="108" spans="1:24" ht="16.5" customHeight="1">
      <c r="A108" s="5">
        <f t="shared" si="1"/>
        <v>0</v>
      </c>
      <c r="C108" s="12" t="s">
        <v>99</v>
      </c>
      <c r="D108" s="20">
        <f>D44</f>
        <v>30</v>
      </c>
      <c r="E108" s="6" t="s">
        <v>94</v>
      </c>
      <c r="F108" s="6" t="s">
        <v>81</v>
      </c>
      <c r="K108" s="110" t="str">
        <f>IF(A88=0,"NO SE VERIFICA",IF(D108&gt;=D107,"CUMPLE","NO CUMPLE"))</f>
        <v>NO SE VERIFICA</v>
      </c>
      <c r="V108" s="20"/>
      <c r="X108" s="10"/>
    </row>
    <row r="109" spans="1:24" ht="16.5" customHeight="1">
      <c r="A109" s="5">
        <f t="shared" si="1"/>
        <v>0</v>
      </c>
    </row>
    <row r="110" spans="1:24" ht="16.5" customHeight="1">
      <c r="A110" s="35">
        <v>1</v>
      </c>
    </row>
    <row r="111" spans="1:24" ht="16.5" customHeight="1">
      <c r="A111" s="35">
        <v>1</v>
      </c>
      <c r="C111" s="21" t="s">
        <v>100</v>
      </c>
      <c r="D111" s="22"/>
      <c r="E111" s="22"/>
      <c r="F111" s="23"/>
      <c r="G111" s="23"/>
      <c r="H111" s="22"/>
      <c r="I111" s="22"/>
      <c r="J111" s="22"/>
      <c r="K111" s="22"/>
      <c r="L111" s="22"/>
      <c r="M111" s="22"/>
      <c r="N111" s="22"/>
      <c r="O111" s="22"/>
      <c r="P111" s="24"/>
      <c r="Q111" s="22"/>
      <c r="R111" s="22"/>
    </row>
    <row r="112" spans="1:24" ht="16.5" customHeight="1">
      <c r="A112" s="35">
        <v>1</v>
      </c>
    </row>
    <row r="113" spans="1:19" ht="16.5" customHeight="1">
      <c r="A113" s="5">
        <f>A66</f>
        <v>1</v>
      </c>
      <c r="C113" s="16" t="s">
        <v>63</v>
      </c>
      <c r="D113" s="17"/>
      <c r="E113" s="17"/>
      <c r="F113" s="18"/>
      <c r="G113" s="18"/>
      <c r="H113" s="17"/>
      <c r="I113" s="17"/>
      <c r="J113" s="17"/>
      <c r="K113" s="17"/>
      <c r="L113" s="17"/>
      <c r="M113" s="17"/>
      <c r="N113" s="17"/>
      <c r="O113" s="17"/>
      <c r="P113" s="19"/>
      <c r="Q113" s="17"/>
      <c r="R113" s="17"/>
    </row>
    <row r="114" spans="1:19" ht="16.5" customHeight="1">
      <c r="A114" s="5">
        <f>A65</f>
        <v>1</v>
      </c>
      <c r="C114" s="36"/>
      <c r="D114" s="22"/>
      <c r="E114" s="22"/>
      <c r="F114" s="23"/>
      <c r="G114" s="23"/>
      <c r="H114" s="22"/>
      <c r="I114" s="22"/>
      <c r="J114" s="22"/>
      <c r="K114" s="22"/>
      <c r="L114" s="22"/>
      <c r="M114" s="22"/>
      <c r="N114" s="22"/>
      <c r="O114" s="22"/>
      <c r="P114" s="24"/>
      <c r="Q114" s="22"/>
      <c r="R114" s="22"/>
    </row>
    <row r="115" spans="1:19" ht="16.5" customHeight="1">
      <c r="A115" s="5">
        <f>A66</f>
        <v>1</v>
      </c>
      <c r="C115" s="6" t="s">
        <v>83</v>
      </c>
      <c r="F115" s="32" t="s">
        <v>119</v>
      </c>
      <c r="G115" s="31" t="s">
        <v>104</v>
      </c>
      <c r="H115" s="22"/>
      <c r="I115" s="22"/>
      <c r="J115" s="22"/>
      <c r="K115" s="22"/>
      <c r="L115" s="22"/>
      <c r="M115" s="22"/>
      <c r="N115" s="22"/>
      <c r="O115" s="22"/>
      <c r="P115" s="24"/>
      <c r="Q115" s="22"/>
      <c r="R115" s="22"/>
      <c r="S115" s="11" t="s">
        <v>748</v>
      </c>
    </row>
    <row r="116" spans="1:19" ht="16.5" customHeight="1">
      <c r="A116" s="5">
        <f>A67</f>
        <v>1</v>
      </c>
      <c r="C116" s="36"/>
      <c r="D116" s="22"/>
      <c r="E116" s="22"/>
      <c r="F116" s="23"/>
      <c r="G116" s="23"/>
      <c r="H116" s="22"/>
      <c r="I116" s="22"/>
      <c r="J116" s="22"/>
      <c r="K116" s="22"/>
      <c r="L116" s="22"/>
      <c r="M116" s="22"/>
      <c r="N116" s="22"/>
      <c r="O116" s="22"/>
      <c r="P116" s="24"/>
      <c r="Q116" s="22"/>
      <c r="R116" s="22"/>
    </row>
    <row r="117" spans="1:19" ht="16.5" customHeight="1">
      <c r="A117" s="5" t="s">
        <v>747</v>
      </c>
      <c r="C117" s="6" t="s">
        <v>723</v>
      </c>
      <c r="D117" s="20">
        <f>VLOOKUP($G$115,C59:M62,2,FALSE)</f>
        <v>8.8062000000000005</v>
      </c>
      <c r="E117" s="6" t="s">
        <v>61</v>
      </c>
      <c r="F117" s="10" t="s">
        <v>108</v>
      </c>
      <c r="G117" s="10"/>
    </row>
    <row r="118" spans="1:19" ht="16.5" customHeight="1">
      <c r="A118" s="5" t="str">
        <f>A117</f>
        <v>|</v>
      </c>
      <c r="C118" s="6" t="s">
        <v>724</v>
      </c>
      <c r="D118" s="20">
        <f>VLOOKUP($G$115,C59:M62,4,FALSE)</f>
        <v>7.8062000000000005</v>
      </c>
      <c r="E118" s="6" t="s">
        <v>61</v>
      </c>
      <c r="F118" s="10" t="s">
        <v>109</v>
      </c>
      <c r="G118" s="10"/>
    </row>
    <row r="119" spans="1:19" ht="16.5" customHeight="1">
      <c r="A119" s="5" t="str">
        <f>A118</f>
        <v>|</v>
      </c>
      <c r="D119" s="20"/>
      <c r="F119" s="10"/>
      <c r="G119" s="10"/>
    </row>
    <row r="120" spans="1:19" ht="16.5" customHeight="1">
      <c r="A120" s="5" t="str">
        <f>A119</f>
        <v>|</v>
      </c>
      <c r="C120" s="6" t="s">
        <v>110</v>
      </c>
      <c r="D120" s="20">
        <f>0.75*D70+D117-V98</f>
        <v>17.938950000000002</v>
      </c>
      <c r="E120" s="6" t="s">
        <v>61</v>
      </c>
      <c r="F120" s="10" t="s">
        <v>112</v>
      </c>
    </row>
    <row r="121" spans="1:19" ht="16.5" customHeight="1">
      <c r="A121" s="5" t="str">
        <f>A120</f>
        <v>|</v>
      </c>
      <c r="C121" s="6" t="s">
        <v>111</v>
      </c>
      <c r="D121" s="20">
        <f>0.75*D70+D118-V98</f>
        <v>16.938950000000002</v>
      </c>
      <c r="E121" s="6" t="s">
        <v>61</v>
      </c>
      <c r="F121" s="10" t="s">
        <v>113</v>
      </c>
      <c r="H121" s="14"/>
    </row>
    <row r="122" spans="1:19" ht="16.5" customHeight="1">
      <c r="A122" s="5">
        <f>A73</f>
        <v>1</v>
      </c>
      <c r="C122" s="36"/>
      <c r="D122" s="22"/>
      <c r="E122" s="22"/>
      <c r="F122" s="23"/>
      <c r="G122" s="23"/>
      <c r="H122" s="22"/>
      <c r="I122" s="22"/>
      <c r="J122" s="22"/>
      <c r="K122" s="22"/>
      <c r="L122" s="22"/>
      <c r="M122" s="22"/>
      <c r="N122" s="22"/>
      <c r="O122" s="22"/>
      <c r="P122" s="24"/>
      <c r="R122" s="22"/>
    </row>
    <row r="123" spans="1:19" ht="16.5" customHeight="1">
      <c r="A123" s="5">
        <f>A74</f>
        <v>1</v>
      </c>
    </row>
    <row r="124" spans="1:19" ht="16.5" customHeight="1">
      <c r="A124" s="5">
        <f t="shared" ref="A124:A143" si="2">A123</f>
        <v>1</v>
      </c>
      <c r="C124" s="6" t="s">
        <v>114</v>
      </c>
      <c r="D124" s="20">
        <f>IF((VLOOKUP($G$115,$C$59:$M$62,11,0)-0.125*$D$21*$D$70)/D120&gt;0,(VLOOKUP($G$115,$C$59:$M$62,11,0)-0.125*$D$21*$D$70)/D120,0)</f>
        <v>1.5611490639084201E-2</v>
      </c>
      <c r="E124" s="6" t="s">
        <v>4</v>
      </c>
      <c r="F124" s="88"/>
      <c r="H124" s="34">
        <f>D124/D21+D126/D22</f>
        <v>6.2445962556336807E-3</v>
      </c>
      <c r="I124" s="9" t="str">
        <f>IF(H124&gt;K124,"&gt;","&lt;")</f>
        <v>&lt;</v>
      </c>
      <c r="J124" s="9"/>
      <c r="K124" s="27">
        <f>1/6</f>
        <v>0.16666666666666666</v>
      </c>
      <c r="L124" s="110" t="str">
        <f>IF(A113=0,"NO CONTROLA",IF(I124="&lt;","CUMPLE","NO CUMPLE"))</f>
        <v>CUMPLE</v>
      </c>
    </row>
    <row r="125" spans="1:19" ht="16.5" customHeight="1">
      <c r="A125" s="5">
        <f t="shared" si="2"/>
        <v>1</v>
      </c>
      <c r="C125" s="6" t="s">
        <v>115</v>
      </c>
      <c r="D125" s="20">
        <f>IF((VLOOKUP($G$115,$C$59:$M$62,11,0)-0.125*$D$21*$D$70)/D121&gt;0,(VLOOKUP($G$115,$C$59:$M$62,11,0)-0.125*$D$21*$D$70)/D121,0)</f>
        <v>1.6533123363608695E-2</v>
      </c>
      <c r="E125" s="6" t="s">
        <v>4</v>
      </c>
      <c r="F125" s="88"/>
    </row>
    <row r="126" spans="1:19" ht="16.5" customHeight="1">
      <c r="A126" s="5">
        <f t="shared" si="2"/>
        <v>1</v>
      </c>
      <c r="C126" s="6" t="s">
        <v>725</v>
      </c>
      <c r="D126" s="20">
        <f>IF((VLOOKUP($G$115,$C$59:$M$62,9,0)-0.125*$D$22*$D$70)/D120&gt;0,(VLOOKUP($G$115,$C$59:$M$62,9,0)-0.125*$D$22*$D$70)/D120,0)</f>
        <v>0</v>
      </c>
      <c r="E126" s="6" t="s">
        <v>4</v>
      </c>
      <c r="M126" s="110"/>
    </row>
    <row r="127" spans="1:19" ht="16.5" customHeight="1">
      <c r="A127" s="5">
        <f t="shared" si="2"/>
        <v>1</v>
      </c>
      <c r="C127" s="6" t="s">
        <v>727</v>
      </c>
      <c r="D127" s="20">
        <f>IF((VLOOKUP($G$115,$C$59:$M$62,9,0)-0.125*$D$22*$D$70)/D121&gt;0,(VLOOKUP($G$115,$C$59:$M$62,9,0)-0.125*$D$22*$D$70)/D121,0)</f>
        <v>0</v>
      </c>
      <c r="E127" s="6" t="s">
        <v>4</v>
      </c>
      <c r="H127" s="34">
        <f>D125/D21+D127/D22</f>
        <v>6.6132493454434784E-3</v>
      </c>
      <c r="I127" s="9" t="str">
        <f>IF(H127&gt;K127,"&gt;","&lt;")</f>
        <v>&lt;</v>
      </c>
      <c r="J127" s="9"/>
      <c r="K127" s="27">
        <f>1/6</f>
        <v>0.16666666666666666</v>
      </c>
      <c r="L127" s="110" t="str">
        <f>IF(A123=0,"NO CONTROLA",IF(I127="&lt;","CUMPLE","NO CUMPLE"))</f>
        <v>CUMPLE</v>
      </c>
    </row>
    <row r="128" spans="1:19" ht="16.5" customHeight="1">
      <c r="A128" s="5">
        <f t="shared" si="2"/>
        <v>1</v>
      </c>
      <c r="D128" s="20"/>
      <c r="H128" s="34"/>
      <c r="I128" s="9"/>
      <c r="J128" s="9"/>
      <c r="K128" s="27"/>
      <c r="L128" s="110"/>
    </row>
    <row r="129" spans="1:19" ht="16.5" customHeight="1">
      <c r="A129" s="5">
        <f t="shared" si="2"/>
        <v>1</v>
      </c>
      <c r="C129" s="6" t="s">
        <v>84</v>
      </c>
      <c r="F129" s="32" t="s">
        <v>119</v>
      </c>
      <c r="G129" s="31" t="s">
        <v>105</v>
      </c>
      <c r="S129" s="11" t="s">
        <v>734</v>
      </c>
    </row>
    <row r="130" spans="1:19" ht="16.5" customHeight="1">
      <c r="A130" s="5">
        <f t="shared" si="2"/>
        <v>1</v>
      </c>
      <c r="F130" s="32"/>
      <c r="G130" s="31"/>
      <c r="S130" s="11"/>
    </row>
    <row r="131" spans="1:19" ht="16.5" customHeight="1">
      <c r="A131" s="5">
        <f t="shared" si="2"/>
        <v>1</v>
      </c>
      <c r="C131" s="6" t="s">
        <v>723</v>
      </c>
      <c r="D131" s="20">
        <f>VLOOKUP($G$129,C59:M62,2,FALSE)</f>
        <v>10.567114400000001</v>
      </c>
      <c r="E131" s="6" t="s">
        <v>61</v>
      </c>
      <c r="F131" s="10" t="s">
        <v>108</v>
      </c>
      <c r="G131" s="31"/>
      <c r="S131" s="11"/>
    </row>
    <row r="132" spans="1:19" ht="16.5" customHeight="1">
      <c r="A132" s="5">
        <f t="shared" si="2"/>
        <v>1</v>
      </c>
      <c r="C132" s="6" t="s">
        <v>724</v>
      </c>
      <c r="D132" s="20">
        <f>VLOOKUP($G$129,C59:M62,4,FALSE)</f>
        <v>6.0452856000000015</v>
      </c>
      <c r="E132" s="6" t="s">
        <v>61</v>
      </c>
      <c r="F132" s="10" t="s">
        <v>109</v>
      </c>
      <c r="G132" s="31"/>
      <c r="P132" s="22"/>
      <c r="S132" s="11"/>
    </row>
    <row r="133" spans="1:19" ht="16.5" customHeight="1">
      <c r="A133" s="5">
        <f t="shared" si="2"/>
        <v>1</v>
      </c>
      <c r="D133" s="20"/>
      <c r="F133" s="10"/>
      <c r="G133" s="31"/>
      <c r="S133" s="11"/>
    </row>
    <row r="134" spans="1:19" ht="16.5" customHeight="1">
      <c r="A134" s="5">
        <f t="shared" si="2"/>
        <v>1</v>
      </c>
      <c r="C134" s="6" t="s">
        <v>110</v>
      </c>
      <c r="D134" s="20">
        <f>0.75*D70+D131-V98</f>
        <v>19.699864400000003</v>
      </c>
      <c r="E134" s="6" t="s">
        <v>61</v>
      </c>
      <c r="F134" s="10" t="s">
        <v>112</v>
      </c>
      <c r="G134" s="31"/>
      <c r="S134" s="11"/>
    </row>
    <row r="135" spans="1:19" ht="16.5" customHeight="1">
      <c r="A135" s="5">
        <f t="shared" si="2"/>
        <v>1</v>
      </c>
      <c r="C135" s="6" t="s">
        <v>111</v>
      </c>
      <c r="D135" s="20">
        <f>0.75*D70+D132-V98</f>
        <v>15.178035600000003</v>
      </c>
      <c r="E135" s="6" t="s">
        <v>61</v>
      </c>
      <c r="F135" s="10" t="s">
        <v>113</v>
      </c>
      <c r="G135" s="31"/>
      <c r="S135" s="11"/>
    </row>
    <row r="136" spans="1:19" ht="16.5" customHeight="1">
      <c r="A136" s="5">
        <f t="shared" si="2"/>
        <v>1</v>
      </c>
    </row>
    <row r="137" spans="1:19" ht="16.5" customHeight="1">
      <c r="A137" s="5">
        <f t="shared" si="2"/>
        <v>1</v>
      </c>
      <c r="C137" s="6" t="s">
        <v>114</v>
      </c>
      <c r="D137" s="20">
        <f>IF((VLOOKUP($G$129,$C$59:$M$62,11,0)-0.125*$D$21*$D$70)/D134&gt;0,(VLOOKUP($G$129,$C$59:$M$62,11,0)-0.125*$D$21*$D$70)/D134,0)</f>
        <v>0.14096478451315855</v>
      </c>
      <c r="E137" s="6" t="s">
        <v>4</v>
      </c>
      <c r="F137" s="26"/>
      <c r="H137" s="34">
        <f>MAX(D137:D138)/D21</f>
        <v>7.3184362278988016E-2</v>
      </c>
      <c r="I137" s="9" t="str">
        <f>IF(H137&gt;K137,"&gt;","&lt;")</f>
        <v>&lt;</v>
      </c>
      <c r="J137" s="9"/>
      <c r="K137" s="27">
        <f>1/6</f>
        <v>0.16666666666666666</v>
      </c>
      <c r="L137" s="110" t="str">
        <f>IF(A126=0,"NO CONTROLA",IF(I137="&lt;","CUMPLE","NO CUMPLE"))</f>
        <v>CUMPLE</v>
      </c>
      <c r="M137" s="110"/>
      <c r="N137" s="28"/>
    </row>
    <row r="138" spans="1:19" ht="16.5" customHeight="1">
      <c r="A138" s="5">
        <f t="shared" si="2"/>
        <v>1</v>
      </c>
      <c r="C138" s="6" t="s">
        <v>115</v>
      </c>
      <c r="D138" s="20">
        <f>IF((VLOOKUP($G$129,$C$59:$M$62,11,0)-0.125*$D$21*$D$70)/D135&gt;0,(VLOOKUP($G$129,$C$59:$M$62,11,0)-0.125*$D$21*$D$70)/D135,0)</f>
        <v>0.18296090569747003</v>
      </c>
      <c r="E138" s="6" t="s">
        <v>4</v>
      </c>
      <c r="H138" s="34"/>
    </row>
    <row r="139" spans="1:19" ht="16.5" customHeight="1">
      <c r="A139" s="5">
        <f t="shared" si="2"/>
        <v>1</v>
      </c>
      <c r="C139" s="6" t="s">
        <v>725</v>
      </c>
      <c r="D139" s="20">
        <f>IF((VLOOKUP($G$129,$C$59:$M$62,9,0)-0.125*$D$22*$D$70)/D134&gt;0,(VLOOKUP($G$129,$C$59:$M$62,9,0)-0.125*$D$22*$D$70)/D134,0)</f>
        <v>0.16134500093738938</v>
      </c>
      <c r="E139" s="6" t="s">
        <v>4</v>
      </c>
      <c r="H139" s="34">
        <f>MAX(D139:D140)/D22</f>
        <v>0.11634043370483051</v>
      </c>
      <c r="I139" s="9" t="str">
        <f>IF(H139&gt;K139,"&gt;","&lt;")</f>
        <v>&lt;</v>
      </c>
      <c r="J139" s="9"/>
      <c r="K139" s="27">
        <f>1/6</f>
        <v>0.16666666666666666</v>
      </c>
      <c r="L139" s="110" t="str">
        <f>IF(A128=0,"NO CONTROLA",IF(I139="&lt;","CUMPLE","NO CUMPLE"))</f>
        <v>CUMPLE</v>
      </c>
      <c r="M139" s="110"/>
    </row>
    <row r="140" spans="1:19" ht="16.5" customHeight="1">
      <c r="A140" s="5">
        <f t="shared" si="2"/>
        <v>1</v>
      </c>
      <c r="C140" s="6" t="s">
        <v>727</v>
      </c>
      <c r="D140" s="20">
        <f>IF((VLOOKUP($G$129,$C$59:$M$62,9,0)-0.125*$D$22*$D$70)/D135&gt;0,(VLOOKUP($G$129,$C$59:$M$62,9,0)-0.125*$D$22*$D$70)/D135,0)</f>
        <v>0.20941278066869493</v>
      </c>
      <c r="E140" s="6" t="s">
        <v>4</v>
      </c>
      <c r="I140" s="9"/>
      <c r="J140" s="9"/>
      <c r="K140" s="27"/>
      <c r="L140" s="110"/>
      <c r="M140" s="110"/>
    </row>
    <row r="141" spans="1:19" ht="16.5" customHeight="1">
      <c r="A141" s="5">
        <f t="shared" si="2"/>
        <v>1</v>
      </c>
      <c r="F141" s="26"/>
      <c r="G141" s="29"/>
      <c r="H141" s="9"/>
      <c r="I141" s="27"/>
      <c r="J141" s="27"/>
      <c r="K141" s="7"/>
    </row>
    <row r="142" spans="1:19" ht="16.5" customHeight="1">
      <c r="A142" s="5">
        <f t="shared" si="2"/>
        <v>1</v>
      </c>
    </row>
    <row r="143" spans="1:19" ht="16.5" customHeight="1">
      <c r="A143" s="5">
        <f t="shared" si="2"/>
        <v>1</v>
      </c>
    </row>
    <row r="144" spans="1:19" ht="16.5" customHeight="1">
      <c r="A144" s="5">
        <f>A88</f>
        <v>0</v>
      </c>
      <c r="C144" s="16" t="s">
        <v>66</v>
      </c>
      <c r="D144" s="17"/>
      <c r="E144" s="17"/>
      <c r="F144" s="18"/>
      <c r="G144" s="18"/>
      <c r="H144" s="17"/>
      <c r="I144" s="17"/>
      <c r="J144" s="17"/>
      <c r="K144" s="17"/>
      <c r="L144" s="17"/>
      <c r="M144" s="17"/>
      <c r="N144" s="17"/>
      <c r="O144" s="17"/>
      <c r="P144" s="19"/>
      <c r="Q144" s="17"/>
      <c r="R144" s="17"/>
    </row>
    <row r="145" spans="1:21" ht="16.5" customHeight="1">
      <c r="A145" s="5">
        <f>A144</f>
        <v>0</v>
      </c>
      <c r="P145" s="24" t="str">
        <f>IF(A144=0,"NO CONTROLA","")</f>
        <v>NO CONTROLA</v>
      </c>
    </row>
    <row r="146" spans="1:21" ht="16.5" customHeight="1">
      <c r="A146" s="5">
        <f t="shared" ref="A146:A176" si="3">A145</f>
        <v>0</v>
      </c>
      <c r="C146" s="6" t="s">
        <v>83</v>
      </c>
      <c r="F146" s="32" t="s">
        <v>119</v>
      </c>
      <c r="G146" s="31" t="s">
        <v>104</v>
      </c>
      <c r="S146" s="11" t="s">
        <v>748</v>
      </c>
    </row>
    <row r="147" spans="1:21" ht="16.5" customHeight="1">
      <c r="A147" s="5">
        <f t="shared" si="3"/>
        <v>0</v>
      </c>
    </row>
    <row r="148" spans="1:21" ht="16.5" customHeight="1">
      <c r="A148" s="5">
        <f t="shared" si="3"/>
        <v>0</v>
      </c>
      <c r="F148"/>
      <c r="H148" s="20">
        <f>D92/2</f>
        <v>18.868507591304937</v>
      </c>
      <c r="I148" s="6" t="str">
        <f>IF(H148&gt;N148,"   &gt;","   &lt;")</f>
        <v xml:space="preserve">   &lt;</v>
      </c>
      <c r="K148" s="1"/>
      <c r="N148" s="151" t="str">
        <f>IF(A144=0,"N/A",(VLOOKUP(G146,C59:M62,11)-0.167*D21*VLOOKUP(G146,C59:M62,2))/(0.5*D21))</f>
        <v>N/A</v>
      </c>
      <c r="P148" s="110" t="str">
        <f>IF(N148="N/A","NO CONTROLA",IF(H148&gt;N148,"CUMPLE","NO CUMPLE"))</f>
        <v>NO CONTROLA</v>
      </c>
      <c r="Q148"/>
    </row>
    <row r="149" spans="1:21" ht="16.5" customHeight="1">
      <c r="A149" s="5">
        <f t="shared" si="3"/>
        <v>0</v>
      </c>
      <c r="H149" s="34"/>
      <c r="I149" s="9"/>
      <c r="J149" s="9"/>
      <c r="K149" s="27"/>
      <c r="L149" s="7"/>
      <c r="M149" s="7"/>
      <c r="P149" s="111"/>
    </row>
    <row r="150" spans="1:21" ht="16.5" customHeight="1">
      <c r="A150" s="5">
        <f t="shared" si="3"/>
        <v>0</v>
      </c>
      <c r="H150" s="20">
        <f>H148</f>
        <v>18.868507591304937</v>
      </c>
      <c r="I150" s="6" t="str">
        <f>IF(H150&gt;N150,"   &gt;","   &lt;")</f>
        <v xml:space="preserve">   &lt;</v>
      </c>
      <c r="K150" s="1"/>
      <c r="N150" s="151" t="str">
        <f>IF(A144=0,"N/A",(VLOOKUP(G146,C59:M62,9)-0.167*D22*VLOOKUP(G146,C59:M62,2))/(0.5*D22))</f>
        <v>N/A</v>
      </c>
      <c r="P150" s="110" t="str">
        <f>IF(N150="N/A","NO CONTROLA",IF(H150&gt;N150,"CUMPLE","NO CUMPLE"))</f>
        <v>NO CONTROLA</v>
      </c>
    </row>
    <row r="151" spans="1:21" ht="16.5" customHeight="1">
      <c r="A151" s="5">
        <f t="shared" si="3"/>
        <v>0</v>
      </c>
      <c r="H151" s="34"/>
      <c r="K151" s="1"/>
      <c r="N151" s="9"/>
      <c r="P151" s="110"/>
      <c r="U151"/>
    </row>
    <row r="152" spans="1:21" ht="16.5" customHeight="1">
      <c r="A152" s="5">
        <f t="shared" si="3"/>
        <v>0</v>
      </c>
      <c r="H152" s="34"/>
      <c r="K152" s="1"/>
      <c r="N152" s="9"/>
      <c r="P152" s="110"/>
    </row>
    <row r="153" spans="1:21" ht="16.5" customHeight="1">
      <c r="A153" s="5">
        <f t="shared" si="3"/>
        <v>0</v>
      </c>
      <c r="H153" s="20">
        <f>D92/2</f>
        <v>18.868507591304937</v>
      </c>
      <c r="I153" s="6" t="str">
        <f>IF(H153&gt;N153,"   &gt;","   &lt;")</f>
        <v xml:space="preserve">   &lt;</v>
      </c>
      <c r="K153" s="1"/>
      <c r="N153" s="151" t="str">
        <f>IF(A144=0,"N/A",(VLOOKUP(G146,C59:M62,11)-0.167*D21*VLOOKUP(G146,C59:M62,4))/(0.5*D21))</f>
        <v>N/A</v>
      </c>
      <c r="P153" s="110" t="str">
        <f>IF(N153="N/A","NO CONTROLA",IF(H153&gt;N153,"CUMPLE","NO CUMPLE"))</f>
        <v>NO CONTROLA</v>
      </c>
    </row>
    <row r="154" spans="1:21" ht="16.5" customHeight="1">
      <c r="A154" s="5">
        <f t="shared" si="3"/>
        <v>0</v>
      </c>
      <c r="H154" s="34"/>
      <c r="K154" s="1"/>
      <c r="N154" s="9"/>
      <c r="P154" s="110"/>
    </row>
    <row r="155" spans="1:21" ht="16.5" customHeight="1">
      <c r="A155" s="5">
        <f t="shared" si="3"/>
        <v>0</v>
      </c>
      <c r="H155" s="34"/>
      <c r="K155" s="1"/>
      <c r="N155" s="9"/>
      <c r="P155" s="110"/>
    </row>
    <row r="156" spans="1:21" ht="16.5" customHeight="1">
      <c r="A156" s="5">
        <f t="shared" si="3"/>
        <v>0</v>
      </c>
      <c r="H156" s="20">
        <f>D92/2</f>
        <v>18.868507591304937</v>
      </c>
      <c r="I156" s="6" t="str">
        <f>IF(H156&gt;N156,"   &gt;","   &lt;")</f>
        <v xml:space="preserve">   &lt;</v>
      </c>
      <c r="K156" s="1"/>
      <c r="N156" s="151" t="str">
        <f>IF(A144=0,"N/A",(VLOOKUP(G146,C59:M62,9)-0.167*D22*VLOOKUP(G146,C59:M62,4))/(0.5*D22))</f>
        <v>N/A</v>
      </c>
      <c r="P156" s="110" t="str">
        <f>IF(N156="N/A","NO CONTROLA",IF(H156&gt;N156,"CUMPLE","NO CUMPLE"))</f>
        <v>NO CONTROLA</v>
      </c>
    </row>
    <row r="157" spans="1:21" ht="16.5" customHeight="1">
      <c r="A157" s="5">
        <f t="shared" si="3"/>
        <v>0</v>
      </c>
      <c r="H157" s="34"/>
      <c r="K157" s="1"/>
      <c r="N157" s="9"/>
      <c r="P157" s="110"/>
    </row>
    <row r="158" spans="1:21" ht="16.5" customHeight="1">
      <c r="A158" s="5">
        <f t="shared" si="3"/>
        <v>0</v>
      </c>
      <c r="H158" s="34"/>
      <c r="K158" s="1"/>
      <c r="N158" s="9"/>
      <c r="P158" s="110"/>
    </row>
    <row r="159" spans="1:21" ht="16.5" customHeight="1">
      <c r="A159" s="5">
        <f t="shared" si="3"/>
        <v>0</v>
      </c>
      <c r="C159" s="6" t="s">
        <v>736</v>
      </c>
      <c r="H159" s="34"/>
      <c r="K159" s="1"/>
      <c r="N159" s="9"/>
      <c r="P159" s="110"/>
    </row>
    <row r="160" spans="1:21" ht="16.5" customHeight="1">
      <c r="A160" s="5">
        <f t="shared" si="3"/>
        <v>0</v>
      </c>
      <c r="H160" s="34"/>
      <c r="K160" s="1"/>
      <c r="N160" s="9"/>
      <c r="P160" s="110"/>
    </row>
    <row r="161" spans="1:19" ht="16.5" customHeight="1">
      <c r="A161" s="5">
        <f t="shared" si="3"/>
        <v>0</v>
      </c>
      <c r="C161" s="6" t="s">
        <v>64</v>
      </c>
      <c r="D161" s="20">
        <f>V95*D47+V96*D48</f>
        <v>37.737015182609873</v>
      </c>
      <c r="E161" s="6" t="s">
        <v>61</v>
      </c>
      <c r="F161" s="10" t="s">
        <v>68</v>
      </c>
      <c r="H161" s="34"/>
      <c r="K161" s="1"/>
      <c r="N161" s="9"/>
      <c r="P161" s="110"/>
    </row>
    <row r="162" spans="1:19" ht="16.5" customHeight="1">
      <c r="A162" s="5">
        <f t="shared" si="3"/>
        <v>0</v>
      </c>
      <c r="C162" s="6" t="s">
        <v>723</v>
      </c>
      <c r="D162" s="20">
        <f>VLOOKUP(G146,C59:M62,2,0)</f>
        <v>8.8062000000000005</v>
      </c>
      <c r="E162" s="6" t="s">
        <v>61</v>
      </c>
      <c r="F162" s="10" t="s">
        <v>108</v>
      </c>
      <c r="H162" s="34"/>
      <c r="K162" s="1"/>
      <c r="N162" s="9"/>
      <c r="P162" s="110"/>
    </row>
    <row r="163" spans="1:19" ht="16.5" customHeight="1">
      <c r="A163" s="5">
        <f t="shared" si="3"/>
        <v>0</v>
      </c>
      <c r="C163" s="6" t="s">
        <v>724</v>
      </c>
      <c r="D163" s="20">
        <f>VLOOKUP(G146,C59:M62,4,0)</f>
        <v>7.8062000000000005</v>
      </c>
      <c r="E163" s="6" t="s">
        <v>61</v>
      </c>
      <c r="F163" s="10" t="s">
        <v>109</v>
      </c>
      <c r="H163" s="34"/>
      <c r="K163" s="1"/>
      <c r="N163" s="9"/>
      <c r="P163" s="110"/>
    </row>
    <row r="164" spans="1:19" ht="16.5" customHeight="1">
      <c r="A164" s="5">
        <f t="shared" si="3"/>
        <v>0</v>
      </c>
      <c r="H164" s="34"/>
      <c r="K164" s="1"/>
      <c r="N164" s="9"/>
      <c r="P164" s="110"/>
    </row>
    <row r="165" spans="1:19" ht="16.5" customHeight="1">
      <c r="A165" s="5">
        <f t="shared" si="3"/>
        <v>0</v>
      </c>
      <c r="C165" s="6" t="s">
        <v>110</v>
      </c>
      <c r="D165" s="20">
        <f>0.5*D161+D162-V98</f>
        <v>27.674707591304937</v>
      </c>
      <c r="E165" s="6" t="s">
        <v>61</v>
      </c>
      <c r="F165" s="10" t="s">
        <v>737</v>
      </c>
      <c r="H165" s="34"/>
      <c r="K165" s="1"/>
      <c r="N165" s="9"/>
      <c r="P165" s="110"/>
    </row>
    <row r="166" spans="1:19" ht="16.5" customHeight="1">
      <c r="A166" s="5">
        <f t="shared" si="3"/>
        <v>0</v>
      </c>
      <c r="C166" s="6" t="s">
        <v>111</v>
      </c>
      <c r="D166" s="20">
        <f>0.5*D161+D163-V98</f>
        <v>26.674707591304937</v>
      </c>
      <c r="E166" s="6" t="s">
        <v>61</v>
      </c>
      <c r="F166" s="10" t="s">
        <v>738</v>
      </c>
      <c r="H166" s="34"/>
      <c r="K166" s="1"/>
      <c r="N166" s="9"/>
      <c r="P166" s="110"/>
    </row>
    <row r="167" spans="1:19" ht="16.5" customHeight="1">
      <c r="A167" s="5">
        <f t="shared" si="3"/>
        <v>0</v>
      </c>
      <c r="H167" s="34"/>
      <c r="N167" s="34"/>
      <c r="P167" s="110"/>
    </row>
    <row r="168" spans="1:19" ht="16.5" customHeight="1">
      <c r="A168" s="5">
        <f t="shared" si="3"/>
        <v>0</v>
      </c>
      <c r="C168" s="6" t="s">
        <v>114</v>
      </c>
      <c r="D168" s="37">
        <f>IF((VLOOKUP($G$146,$C$59:$M$62,11,0)-0.167*$D$21*$D$92)/D165&gt;0,(VLOOKUP($G$146,$C$59:$M$62,11,0)-0.167*$D$21*$D$92)/D165,0)</f>
        <v>0</v>
      </c>
      <c r="E168" s="6" t="s">
        <v>4</v>
      </c>
      <c r="F168" s="10"/>
      <c r="G168" s="32" t="s">
        <v>500</v>
      </c>
      <c r="H168" s="20">
        <f>D168/D21</f>
        <v>0</v>
      </c>
      <c r="K168" s="34">
        <f>D168/D21+D169/D22</f>
        <v>0</v>
      </c>
      <c r="L168" s="9" t="str">
        <f>IF(K168&gt;M168,"&gt;","&lt;")</f>
        <v>&lt;</v>
      </c>
      <c r="M168" s="27">
        <f>1/6</f>
        <v>0.16666666666666666</v>
      </c>
      <c r="N168" s="110" t="str">
        <f>IF(A144=0,"NO CONTROLA",IF(L168="&lt;","CUMPLE","NO CUMPLE"))</f>
        <v>NO CONTROLA</v>
      </c>
      <c r="P168" s="110"/>
    </row>
    <row r="169" spans="1:19" ht="16.5" customHeight="1">
      <c r="A169" s="5">
        <f t="shared" si="3"/>
        <v>0</v>
      </c>
      <c r="C169" s="6" t="s">
        <v>725</v>
      </c>
      <c r="D169" s="37">
        <f>IF((VLOOKUP($G$146,$C$59:$M$62,9,0)-0.167*$D$22*$D$92)/D165&gt;0,(VLOOKUP($G$146,$C$59:$M$62,9,0)-0.167*$D$22*$D$92)/D165,0)</f>
        <v>0</v>
      </c>
      <c r="E169" s="6" t="s">
        <v>4</v>
      </c>
      <c r="F169" s="10"/>
      <c r="G169" s="32" t="s">
        <v>728</v>
      </c>
      <c r="H169" s="20">
        <f>D169/D22</f>
        <v>0</v>
      </c>
      <c r="N169" s="34"/>
      <c r="P169" s="110"/>
    </row>
    <row r="170" spans="1:19" ht="16.5" customHeight="1">
      <c r="A170" s="5">
        <f t="shared" si="3"/>
        <v>0</v>
      </c>
      <c r="C170" s="6" t="s">
        <v>115</v>
      </c>
      <c r="D170" s="37">
        <f>IF((VLOOKUP($G$146,$C$59:$M$62,11,0)-0.167*$D$21*$D$92)/D166&gt;0,(VLOOKUP($G$146,$C$59:$M$62,11,0)-0.167*$D$21*$D$92)/D166,0)</f>
        <v>0</v>
      </c>
      <c r="E170" s="6" t="s">
        <v>4</v>
      </c>
      <c r="F170" s="10"/>
      <c r="G170" s="32" t="s">
        <v>501</v>
      </c>
      <c r="H170" s="20">
        <f>D170/D21</f>
        <v>0</v>
      </c>
      <c r="K170" s="34">
        <f>D170/D21+D171/D22</f>
        <v>0</v>
      </c>
      <c r="L170" s="9" t="str">
        <f>IF(K170&gt;M170,"&gt;","&lt;")</f>
        <v>&lt;</v>
      </c>
      <c r="M170" s="27">
        <f>1/6</f>
        <v>0.16666666666666666</v>
      </c>
      <c r="N170" s="110" t="str">
        <f>IF(A144=0,"NO CONTROLA",IF(L170="&lt;","CUMPLE","NO CUMPLE"))</f>
        <v>NO CONTROLA</v>
      </c>
      <c r="P170" s="110"/>
    </row>
    <row r="171" spans="1:19" ht="16.5" customHeight="1">
      <c r="A171" s="5">
        <f t="shared" si="3"/>
        <v>0</v>
      </c>
      <c r="C171" s="6" t="s">
        <v>727</v>
      </c>
      <c r="D171" s="37">
        <f>IF((VLOOKUP($G$146,$C$59:$M$62,9,0)-0.167*$D$22*$D$92)/D166&gt;0,(VLOOKUP($G$146,$C$59:$M$62,9,0)-0.167*$D$22*$D$92)/D166,0)</f>
        <v>0</v>
      </c>
      <c r="E171" s="6" t="s">
        <v>4</v>
      </c>
      <c r="F171" s="10"/>
      <c r="G171" s="32" t="s">
        <v>726</v>
      </c>
      <c r="H171" s="20">
        <f>D171/D22</f>
        <v>0</v>
      </c>
      <c r="N171" s="34"/>
      <c r="P171" s="110"/>
    </row>
    <row r="172" spans="1:19" ht="16.5" customHeight="1">
      <c r="A172" s="5">
        <f t="shared" si="3"/>
        <v>0</v>
      </c>
      <c r="H172" s="34"/>
      <c r="P172" s="111"/>
    </row>
    <row r="173" spans="1:19" ht="16.5" customHeight="1">
      <c r="A173" s="5">
        <f t="shared" si="3"/>
        <v>0</v>
      </c>
      <c r="C173" s="6" t="s">
        <v>84</v>
      </c>
      <c r="F173" s="32" t="s">
        <v>119</v>
      </c>
      <c r="G173" s="31" t="s">
        <v>105</v>
      </c>
      <c r="H173" s="34"/>
      <c r="P173" s="111"/>
      <c r="S173" s="11" t="s">
        <v>734</v>
      </c>
    </row>
    <row r="174" spans="1:19" ht="16.5" customHeight="1">
      <c r="A174" s="5">
        <f t="shared" si="3"/>
        <v>0</v>
      </c>
      <c r="H174" s="34"/>
      <c r="P174" s="111"/>
    </row>
    <row r="175" spans="1:19" ht="16.5" customHeight="1">
      <c r="A175" s="5">
        <f t="shared" si="3"/>
        <v>0</v>
      </c>
      <c r="C175"/>
      <c r="D175" s="25"/>
      <c r="H175" s="172">
        <f>D92/2</f>
        <v>18.868507591304937</v>
      </c>
      <c r="I175" s="111" t="str">
        <f>IF(H175&gt;M175,"   &gt;","   &lt;")</f>
        <v xml:space="preserve">   &lt;</v>
      </c>
      <c r="J175" s="111"/>
      <c r="K175" s="173"/>
      <c r="L175" s="111"/>
      <c r="M175" s="174" t="str">
        <f>IF(A144=0,"N/A",(VLOOKUP(G173,C59:M62,11)-0.23*D21*VLOOKUP(G173,C59:M62,2))/(0.56*D21))</f>
        <v>N/A</v>
      </c>
      <c r="N175" s="110" t="str">
        <f>IF(M175="N/A","NO CONTROLA",IF(H175&gt;M175,"CUMPLE","NO CUMPLE"))</f>
        <v>NO CONTROLA</v>
      </c>
    </row>
    <row r="176" spans="1:19" ht="16.5" customHeight="1">
      <c r="A176" s="5">
        <f t="shared" si="3"/>
        <v>0</v>
      </c>
      <c r="D176" s="25"/>
      <c r="H176" s="172"/>
      <c r="I176" s="155"/>
      <c r="J176" s="155"/>
      <c r="K176" s="155"/>
      <c r="L176" s="155"/>
      <c r="M176" s="155"/>
      <c r="N176" s="155"/>
      <c r="O176" s="7"/>
      <c r="P176" s="111"/>
    </row>
    <row r="177" spans="1:16" ht="16.5" customHeight="1">
      <c r="A177" s="5">
        <f t="shared" ref="A177:A199" si="4">A176</f>
        <v>0</v>
      </c>
      <c r="D177" s="25"/>
      <c r="H177" s="172">
        <f>D92/2</f>
        <v>18.868507591304937</v>
      </c>
      <c r="I177" s="111" t="str">
        <f>IF(H177&gt;M177,"   &gt;","   &lt;")</f>
        <v xml:space="preserve">   &lt;</v>
      </c>
      <c r="J177" s="155"/>
      <c r="K177" s="155"/>
      <c r="L177" s="155"/>
      <c r="M177" s="174" t="str">
        <f>IF(A144=0,"N/A",(VLOOKUP(G173,C59:M62,9)-0.23*D22*VLOOKUP(G173,C59:M62,2))/(0.56*D22))</f>
        <v>N/A</v>
      </c>
      <c r="N177" s="110" t="str">
        <f>IF(M177="N/A","NO CONTROLA",IF(H177&gt;M177,"CUMPLE","NO CUMPLE"))</f>
        <v>NO CONTROLA</v>
      </c>
      <c r="O177" s="7"/>
      <c r="P177" s="111"/>
    </row>
    <row r="178" spans="1:16" ht="16.5" customHeight="1">
      <c r="A178" s="5">
        <f t="shared" si="4"/>
        <v>0</v>
      </c>
      <c r="D178" s="25"/>
      <c r="H178" s="34"/>
      <c r="I178" s="9"/>
      <c r="J178" s="9"/>
      <c r="K178" s="9"/>
      <c r="L178" s="9"/>
      <c r="M178" s="171"/>
      <c r="N178" s="9"/>
      <c r="O178" s="7"/>
      <c r="P178" s="111"/>
    </row>
    <row r="179" spans="1:16" ht="16.5" customHeight="1">
      <c r="A179" s="5">
        <f t="shared" si="4"/>
        <v>0</v>
      </c>
      <c r="D179" s="25"/>
      <c r="H179" s="34"/>
      <c r="I179" s="9"/>
      <c r="J179" s="9"/>
      <c r="K179" s="9"/>
      <c r="L179" s="9"/>
      <c r="M179" s="171"/>
      <c r="N179" s="9"/>
      <c r="O179" s="7"/>
      <c r="P179" s="111"/>
    </row>
    <row r="180" spans="1:16" ht="16.5" customHeight="1">
      <c r="A180" s="5">
        <f t="shared" si="4"/>
        <v>0</v>
      </c>
      <c r="D180" s="25"/>
      <c r="H180" s="172">
        <f>D92/2</f>
        <v>18.868507591304937</v>
      </c>
      <c r="I180" s="111" t="str">
        <f>IF(H180&gt;M180,"   &gt;","   &lt;")</f>
        <v xml:space="preserve">   &lt;</v>
      </c>
      <c r="J180" s="155"/>
      <c r="K180" s="155"/>
      <c r="L180" s="155"/>
      <c r="M180" s="174" t="str">
        <f>IF(A144=0,"N/A",(VLOOKUP(G173,C59:M62,11)-0.23*D21*VLOOKUP(G173,C59:M62,4))/(0.56*D21))</f>
        <v>N/A</v>
      </c>
      <c r="N180" s="110" t="str">
        <f>IF(M180="N/A","NO CONTROLA",IF(H180&gt;M180,"CUMPLE","NO CUMPLE"))</f>
        <v>NO CONTROLA</v>
      </c>
      <c r="O180" s="7"/>
      <c r="P180" s="111"/>
    </row>
    <row r="181" spans="1:16" ht="16.5" customHeight="1">
      <c r="A181" s="5">
        <f t="shared" si="4"/>
        <v>0</v>
      </c>
      <c r="D181" s="25"/>
      <c r="H181" s="34"/>
      <c r="I181" s="9"/>
      <c r="J181" s="9"/>
      <c r="K181" s="9"/>
      <c r="L181" s="9"/>
      <c r="M181" s="174"/>
      <c r="N181" s="9"/>
      <c r="O181" s="7"/>
      <c r="P181" s="111"/>
    </row>
    <row r="182" spans="1:16" ht="16.5" customHeight="1">
      <c r="A182" s="5">
        <f t="shared" si="4"/>
        <v>0</v>
      </c>
      <c r="D182" s="25"/>
      <c r="H182" s="172">
        <f>D92/2</f>
        <v>18.868507591304937</v>
      </c>
      <c r="I182" s="111" t="str">
        <f>IF(H182&gt;M182,"   &gt;","   &lt;")</f>
        <v xml:space="preserve">   &lt;</v>
      </c>
      <c r="J182" s="155"/>
      <c r="K182" s="155"/>
      <c r="L182" s="155"/>
      <c r="M182" s="174" t="str">
        <f>IF(A144=0,"N/A",(VLOOKUP(G173,C59:M62,9)-0.23*D22*VLOOKUP(G173,C59:M62,4))/(0.56*D22))</f>
        <v>N/A</v>
      </c>
      <c r="N182" s="110" t="str">
        <f>IF(M182="N/A","NO CONTROLA",IF(H182&gt;M182,"CUMPLE","NO CUMPLE"))</f>
        <v>NO CONTROLA</v>
      </c>
      <c r="O182" s="7"/>
      <c r="P182" s="111"/>
    </row>
    <row r="183" spans="1:16" ht="16.5" customHeight="1">
      <c r="A183" s="5">
        <f t="shared" si="4"/>
        <v>0</v>
      </c>
      <c r="D183" s="25"/>
      <c r="H183" s="34"/>
      <c r="I183" s="9"/>
      <c r="J183" s="9"/>
      <c r="K183" s="9"/>
      <c r="L183" s="9"/>
      <c r="M183" s="9"/>
      <c r="N183" s="9"/>
      <c r="O183" s="7"/>
      <c r="P183" s="111"/>
    </row>
    <row r="184" spans="1:16" ht="16.5" customHeight="1">
      <c r="A184" s="5">
        <f t="shared" si="4"/>
        <v>0</v>
      </c>
      <c r="D184" s="25"/>
      <c r="H184" s="34"/>
      <c r="I184" s="9"/>
      <c r="J184" s="9"/>
      <c r="K184" s="9"/>
      <c r="L184" s="9"/>
      <c r="M184" s="9"/>
      <c r="N184" s="9"/>
      <c r="O184" s="7"/>
      <c r="P184" s="111"/>
    </row>
    <row r="185" spans="1:16" ht="16.5" customHeight="1">
      <c r="A185" s="179">
        <f t="shared" si="4"/>
        <v>0</v>
      </c>
      <c r="C185" s="6" t="s">
        <v>736</v>
      </c>
      <c r="H185" s="34"/>
      <c r="I185" s="9"/>
      <c r="J185" s="9"/>
      <c r="K185" s="9"/>
      <c r="L185" s="9"/>
      <c r="M185" s="9"/>
      <c r="N185" s="9"/>
      <c r="O185" s="8"/>
      <c r="P185" s="111"/>
    </row>
    <row r="186" spans="1:16" ht="16.5" customHeight="1">
      <c r="A186" s="179">
        <f t="shared" si="4"/>
        <v>0</v>
      </c>
      <c r="H186" s="34"/>
      <c r="I186" s="9"/>
      <c r="J186" s="9"/>
      <c r="K186" s="9"/>
      <c r="L186" s="9"/>
      <c r="M186" s="9"/>
      <c r="N186" s="9"/>
      <c r="O186" s="8"/>
      <c r="P186" s="111"/>
    </row>
    <row r="187" spans="1:16" ht="16.5" customHeight="1">
      <c r="A187" s="179">
        <f t="shared" si="4"/>
        <v>0</v>
      </c>
      <c r="C187" s="6" t="s">
        <v>64</v>
      </c>
      <c r="D187" s="20">
        <f>V95*D47+V96*D48</f>
        <v>37.737015182609873</v>
      </c>
      <c r="E187" s="6" t="s">
        <v>61</v>
      </c>
      <c r="F187" s="6" t="s">
        <v>68</v>
      </c>
      <c r="H187" s="34"/>
      <c r="I187" s="9"/>
      <c r="J187" s="9"/>
      <c r="K187" s="9"/>
      <c r="L187" s="9"/>
      <c r="M187" s="9"/>
      <c r="N187" s="9"/>
      <c r="O187" s="8"/>
      <c r="P187" s="111"/>
    </row>
    <row r="188" spans="1:16" ht="16.5" customHeight="1">
      <c r="A188" s="179">
        <f t="shared" si="4"/>
        <v>0</v>
      </c>
      <c r="C188" s="6" t="s">
        <v>723</v>
      </c>
      <c r="D188" s="20">
        <f>VLOOKUP(G173,C59:M62,2,0)</f>
        <v>10.567114400000001</v>
      </c>
      <c r="E188" s="6" t="s">
        <v>61</v>
      </c>
      <c r="F188" s="6" t="s">
        <v>108</v>
      </c>
      <c r="H188" s="34"/>
      <c r="I188" s="9"/>
      <c r="J188" s="9"/>
      <c r="K188" s="9"/>
      <c r="L188" s="9"/>
      <c r="M188" s="9"/>
      <c r="N188" s="9"/>
      <c r="O188" s="8"/>
      <c r="P188" s="111"/>
    </row>
    <row r="189" spans="1:16" ht="16.5" customHeight="1">
      <c r="A189" s="179">
        <f t="shared" si="4"/>
        <v>0</v>
      </c>
      <c r="C189" s="6" t="s">
        <v>724</v>
      </c>
      <c r="D189" s="20">
        <f>VLOOKUP(G173,C59:M62,4,0)</f>
        <v>6.0452856000000015</v>
      </c>
      <c r="E189" s="6" t="s">
        <v>61</v>
      </c>
      <c r="F189" s="6" t="s">
        <v>109</v>
      </c>
      <c r="H189" s="34"/>
      <c r="I189" s="9"/>
      <c r="J189" s="9"/>
      <c r="K189" s="9"/>
      <c r="L189" s="9"/>
      <c r="M189" s="9"/>
      <c r="N189" s="9"/>
      <c r="O189" s="8"/>
      <c r="P189" s="111"/>
    </row>
    <row r="190" spans="1:16" ht="16.5" customHeight="1">
      <c r="A190" s="179">
        <f t="shared" si="4"/>
        <v>0</v>
      </c>
      <c r="H190" s="34"/>
      <c r="I190" s="9"/>
      <c r="J190" s="9"/>
      <c r="K190" s="9"/>
      <c r="L190" s="9"/>
      <c r="M190" s="9"/>
      <c r="N190" s="9"/>
      <c r="O190" s="8"/>
      <c r="P190" s="111"/>
    </row>
    <row r="191" spans="1:16" ht="16.5" customHeight="1">
      <c r="A191" s="179">
        <f t="shared" si="4"/>
        <v>0</v>
      </c>
      <c r="C191" s="6" t="s">
        <v>110</v>
      </c>
      <c r="D191" s="20">
        <f>0.5*D187+D188-V98</f>
        <v>29.435621991304938</v>
      </c>
      <c r="E191" s="6" t="s">
        <v>61</v>
      </c>
      <c r="F191" s="6" t="s">
        <v>737</v>
      </c>
      <c r="H191" s="34"/>
      <c r="I191" s="9"/>
      <c r="J191" s="9"/>
      <c r="K191" s="9"/>
      <c r="L191" s="9"/>
      <c r="M191" s="9"/>
      <c r="N191" s="9"/>
      <c r="O191" s="8"/>
      <c r="P191" s="111"/>
    </row>
    <row r="192" spans="1:16" ht="16.5" customHeight="1">
      <c r="A192" s="179">
        <f t="shared" si="4"/>
        <v>0</v>
      </c>
      <c r="C192" s="6" t="s">
        <v>111</v>
      </c>
      <c r="D192" s="20">
        <f>0.5*D187+D189-V98</f>
        <v>24.91379319130494</v>
      </c>
      <c r="E192" s="6" t="s">
        <v>61</v>
      </c>
      <c r="F192" s="6" t="s">
        <v>738</v>
      </c>
      <c r="H192" s="34"/>
      <c r="I192" s="9"/>
      <c r="J192" s="9"/>
      <c r="K192" s="9"/>
      <c r="L192" s="9"/>
      <c r="M192" s="9"/>
      <c r="N192" s="9"/>
      <c r="O192" s="8"/>
      <c r="P192" s="111"/>
    </row>
    <row r="193" spans="1:19" ht="16.5" customHeight="1">
      <c r="A193" s="179">
        <f t="shared" si="4"/>
        <v>0</v>
      </c>
      <c r="H193" s="34"/>
      <c r="I193" s="9"/>
      <c r="J193" s="9"/>
      <c r="K193" s="9"/>
      <c r="L193" s="9"/>
      <c r="M193" s="9"/>
      <c r="N193" s="9"/>
      <c r="O193" s="8"/>
      <c r="P193" s="111"/>
    </row>
    <row r="194" spans="1:19" ht="16.5" customHeight="1">
      <c r="A194" s="179">
        <f t="shared" si="4"/>
        <v>0</v>
      </c>
      <c r="C194" s="6" t="s">
        <v>114</v>
      </c>
      <c r="D194" s="37">
        <f>IF((VLOOKUP(G173,$C$59:$M$62,11,0)-0.167*$D$21*$D$92)/D191&gt;0,(VLOOKUP(G173,$C$59:$M$62,11,0)-0.167*$D$21*$D$92)/D191,0)</f>
        <v>0</v>
      </c>
      <c r="E194" s="6" t="s">
        <v>4</v>
      </c>
      <c r="G194" s="32" t="s">
        <v>500</v>
      </c>
      <c r="H194" s="20">
        <f>D194/D21</f>
        <v>0</v>
      </c>
      <c r="I194" s="9"/>
      <c r="J194" s="9"/>
      <c r="K194" s="9"/>
      <c r="L194" s="9" t="str">
        <f>IF(A194=0,"N/A",SQRT(H194^2+H195^2))</f>
        <v>N/A</v>
      </c>
      <c r="M194" s="9" t="str">
        <f>IF(N194&lt;L194,"&lt;","&gt;")</f>
        <v>&lt;</v>
      </c>
      <c r="N194" s="9">
        <v>0.23</v>
      </c>
      <c r="O194" s="178" t="str">
        <f>IF(L194="N/A","NO CONTROLA",IF(N194&gt;L194,"CUMPLE","NO CUMPLE"))</f>
        <v>NO CONTROLA</v>
      </c>
      <c r="P194" s="111"/>
    </row>
    <row r="195" spans="1:19" ht="16.5" customHeight="1">
      <c r="A195" s="179">
        <f t="shared" si="4"/>
        <v>0</v>
      </c>
      <c r="C195" s="6" t="s">
        <v>725</v>
      </c>
      <c r="D195" s="37">
        <f>IF((VLOOKUP(G173,$C$59:$M$62,9,0)-0.167*$D$22*$D$92)/D191&gt;0,(VLOOKUP(G173,$C$59:$M$62,9,0)-0.167*$D$22*$D$92)/D191,0)</f>
        <v>0</v>
      </c>
      <c r="E195" s="6" t="s">
        <v>4</v>
      </c>
      <c r="G195" s="32" t="s">
        <v>728</v>
      </c>
      <c r="H195" s="20">
        <f>D195/D22</f>
        <v>0</v>
      </c>
      <c r="I195" s="9"/>
      <c r="J195" s="9"/>
      <c r="K195" s="9"/>
      <c r="L195" s="9"/>
      <c r="N195" s="9"/>
      <c r="O195" s="9"/>
      <c r="P195" s="111"/>
    </row>
    <row r="196" spans="1:19" ht="16.5" customHeight="1">
      <c r="A196" s="179">
        <f t="shared" si="4"/>
        <v>0</v>
      </c>
      <c r="C196" s="6" t="s">
        <v>115</v>
      </c>
      <c r="D196" s="37">
        <f>IF((VLOOKUP(G173,$C$59:$M$62,11,0)-0.167*$D$21*$D$92)/D192&gt;0,(VLOOKUP(G173,$C$59:$M$62,11,0)-0.167*$D$21*$D$92)/D192,0)</f>
        <v>0</v>
      </c>
      <c r="E196" s="6" t="s">
        <v>4</v>
      </c>
      <c r="G196" s="32" t="s">
        <v>501</v>
      </c>
      <c r="H196" s="20">
        <f>D196/D21</f>
        <v>0</v>
      </c>
      <c r="I196" s="9"/>
      <c r="J196" s="9"/>
      <c r="K196" s="9"/>
      <c r="L196" s="20" t="str">
        <f>IF(A194=0,"N/A",SQRT(H196^2+H197^2))</f>
        <v>N/A</v>
      </c>
      <c r="M196" s="9" t="str">
        <f>IF(N196&lt;L196,"&lt;","&gt;")</f>
        <v>&lt;</v>
      </c>
      <c r="N196" s="9">
        <v>0.23</v>
      </c>
      <c r="O196" s="178" t="str">
        <f>IF(L196="N/A","NO CONTROLA",IF(N196&gt;L196,"CUMPLE","NO CUMPLE"))</f>
        <v>NO CONTROLA</v>
      </c>
      <c r="P196" s="111"/>
    </row>
    <row r="197" spans="1:19" ht="16.5" customHeight="1">
      <c r="A197" s="179">
        <f t="shared" si="4"/>
        <v>0</v>
      </c>
      <c r="C197" s="6" t="s">
        <v>727</v>
      </c>
      <c r="D197" s="37">
        <f>IF((VLOOKUP(G173,$C$59:$M$62,9,0)-0.167*$D$22*$D$92)/D192&gt;0,(VLOOKUP(G173,$C$59:$M$62,9,0)-0.167*$D$22*$D$92)/D192,0)</f>
        <v>0</v>
      </c>
      <c r="E197" s="6" t="s">
        <v>4</v>
      </c>
      <c r="G197" s="32" t="s">
        <v>726</v>
      </c>
      <c r="H197" s="20">
        <f>D197/D22</f>
        <v>0</v>
      </c>
      <c r="I197" s="9"/>
      <c r="J197" s="9"/>
      <c r="K197" s="9"/>
      <c r="L197" s="9"/>
      <c r="M197" s="9"/>
      <c r="N197" s="9"/>
      <c r="O197" s="8"/>
      <c r="P197" s="111"/>
    </row>
    <row r="198" spans="1:19" ht="16.5" customHeight="1">
      <c r="A198" s="5">
        <f t="shared" si="4"/>
        <v>0</v>
      </c>
      <c r="D198" s="25"/>
      <c r="H198" s="34"/>
      <c r="I198" s="9"/>
      <c r="J198" s="9"/>
      <c r="K198" s="9"/>
      <c r="L198" s="9"/>
      <c r="M198" s="9"/>
      <c r="N198" s="9"/>
      <c r="O198" s="7"/>
      <c r="P198" s="111"/>
    </row>
    <row r="199" spans="1:19" ht="16.5" customHeight="1">
      <c r="A199" s="5">
        <f t="shared" si="4"/>
        <v>0</v>
      </c>
      <c r="D199" s="25"/>
      <c r="H199" s="34"/>
      <c r="I199" s="9"/>
      <c r="J199" s="9"/>
      <c r="K199" s="9"/>
      <c r="L199" s="9"/>
      <c r="M199" s="9"/>
      <c r="N199" s="9"/>
      <c r="O199" s="7"/>
      <c r="P199" s="111"/>
    </row>
    <row r="200" spans="1:19" ht="16.5" customHeight="1">
      <c r="A200" s="35">
        <v>1</v>
      </c>
      <c r="P200" s="111"/>
    </row>
    <row r="201" spans="1:19" ht="16.5" customHeight="1">
      <c r="A201" s="35">
        <v>1</v>
      </c>
      <c r="C201" s="21" t="s">
        <v>124</v>
      </c>
      <c r="D201" s="22"/>
      <c r="E201" s="22"/>
      <c r="F201" s="23"/>
      <c r="G201" s="23"/>
      <c r="H201" s="22"/>
      <c r="I201" s="22"/>
      <c r="J201" s="22"/>
      <c r="K201" s="22"/>
      <c r="L201" s="22"/>
      <c r="M201" s="22"/>
      <c r="N201" s="22"/>
      <c r="O201" s="22"/>
      <c r="P201" s="109"/>
      <c r="Q201" s="22"/>
      <c r="R201" s="22"/>
    </row>
    <row r="202" spans="1:19" ht="16.5" customHeight="1">
      <c r="A202" s="35">
        <v>1</v>
      </c>
      <c r="P202" s="111"/>
    </row>
    <row r="203" spans="1:19" ht="16.5" customHeight="1">
      <c r="A203" s="35">
        <v>1</v>
      </c>
      <c r="C203" s="38" t="s">
        <v>119</v>
      </c>
      <c r="E203" s="31" t="s">
        <v>105</v>
      </c>
      <c r="P203" s="111"/>
      <c r="S203" s="11" t="s">
        <v>722</v>
      </c>
    </row>
    <row r="204" spans="1:19" ht="16.5" customHeight="1">
      <c r="A204" s="35">
        <v>1</v>
      </c>
    </row>
    <row r="205" spans="1:19" ht="16.5" customHeight="1">
      <c r="A205" s="35">
        <v>1</v>
      </c>
      <c r="C205" s="32" t="s">
        <v>131</v>
      </c>
      <c r="D205" s="20">
        <f>MAX(VLOOKUP(E203,C59:M62,6),VLOOKUP(E203,C59:M62,8))</f>
        <v>2.9729796659571122</v>
      </c>
      <c r="E205" s="6" t="s">
        <v>128</v>
      </c>
      <c r="F205" s="6" t="s">
        <v>132</v>
      </c>
    </row>
    <row r="206" spans="1:19" ht="16.5" customHeight="1">
      <c r="A206" s="35">
        <v>1</v>
      </c>
    </row>
    <row r="207" spans="1:19" ht="16.5" customHeight="1">
      <c r="A207" s="35">
        <v>1</v>
      </c>
      <c r="C207" s="39" t="s">
        <v>134</v>
      </c>
      <c r="D207" s="20">
        <f>TAN(2/3*D37*PI()/180)</f>
        <v>0.43135789393291657</v>
      </c>
      <c r="F207" s="6" t="s">
        <v>135</v>
      </c>
      <c r="H207" s="1"/>
      <c r="I207" s="1"/>
      <c r="J207" s="1"/>
    </row>
    <row r="208" spans="1:19" ht="16.5" customHeight="1">
      <c r="A208" s="35">
        <v>1</v>
      </c>
      <c r="C208" s="39"/>
    </row>
    <row r="209" spans="1:13" ht="16.5" customHeight="1">
      <c r="A209" s="35">
        <v>1</v>
      </c>
      <c r="C209" s="32" t="s">
        <v>133</v>
      </c>
      <c r="D209" s="20">
        <f>(D70+VLOOKUP(E203,$C$59:$M$62,4,0))*D207</f>
        <v>7.8603267390601141</v>
      </c>
      <c r="E209" s="6" t="s">
        <v>128</v>
      </c>
      <c r="F209" s="6" t="s">
        <v>136</v>
      </c>
    </row>
    <row r="210" spans="1:13" ht="16.5" customHeight="1">
      <c r="A210" s="35">
        <v>1</v>
      </c>
    </row>
    <row r="211" spans="1:13" ht="16.5" customHeight="1">
      <c r="A211" s="35">
        <v>1</v>
      </c>
      <c r="C211" s="32" t="s">
        <v>137</v>
      </c>
      <c r="D211" s="20">
        <f>(D21*D22)*D38</f>
        <v>2.25</v>
      </c>
      <c r="E211" s="6" t="s">
        <v>128</v>
      </c>
      <c r="F211" s="6" t="s">
        <v>138</v>
      </c>
      <c r="M211"/>
    </row>
    <row r="212" spans="1:13" ht="16.5" customHeight="1">
      <c r="A212" s="35">
        <v>1</v>
      </c>
    </row>
    <row r="213" spans="1:13" ht="16.5" customHeight="1">
      <c r="A213" s="35">
        <v>1</v>
      </c>
      <c r="C213" s="32" t="s">
        <v>139</v>
      </c>
      <c r="D213" s="20">
        <f>0.77*D209+0.33*D211</f>
        <v>6.7949515890762875</v>
      </c>
      <c r="E213" s="6" t="s">
        <v>128</v>
      </c>
      <c r="F213" s="6" t="s">
        <v>140</v>
      </c>
      <c r="L213" s="1"/>
      <c r="M213" s="1"/>
    </row>
    <row r="214" spans="1:13" ht="16.5" customHeight="1">
      <c r="A214" s="35">
        <v>1</v>
      </c>
    </row>
    <row r="215" spans="1:13" ht="16.5" customHeight="1">
      <c r="A215" s="35">
        <v>1</v>
      </c>
      <c r="D215" s="32" t="s">
        <v>141</v>
      </c>
      <c r="E215" s="9" t="str">
        <f>IF(D205&lt;D213,"&lt;","&gt;")</f>
        <v>&lt;</v>
      </c>
      <c r="F215" s="6" t="s">
        <v>142</v>
      </c>
      <c r="H215" s="110" t="str">
        <f>IF(D213/D205&lt;1.2,"NO CUMPLE","CUMPLE")&amp;", F.S. = "&amp;ROUND(D213/D205,2)</f>
        <v>CUMPLE, F.S. = 2,29</v>
      </c>
    </row>
    <row r="216" spans="1:13" ht="16.5" customHeight="1">
      <c r="A216" s="35">
        <v>1</v>
      </c>
    </row>
    <row r="217" spans="1:13" ht="16.5" customHeight="1">
      <c r="H217" s="8" t="s">
        <v>783</v>
      </c>
      <c r="I217" s="180">
        <f>D213/D205</f>
        <v>2.2855694799677484</v>
      </c>
    </row>
  </sheetData>
  <autoFilter ref="A1:A216" xr:uid="{00000000-0009-0000-0000-000002000000}"/>
  <mergeCells count="22">
    <mergeCell ref="H58:I58"/>
    <mergeCell ref="K58:L58"/>
    <mergeCell ref="H59:I59"/>
    <mergeCell ref="K59:L59"/>
    <mergeCell ref="H60:I60"/>
    <mergeCell ref="K60:L60"/>
    <mergeCell ref="S57:AA59"/>
    <mergeCell ref="H62:I62"/>
    <mergeCell ref="K62:L62"/>
    <mergeCell ref="F62:G62"/>
    <mergeCell ref="D59:E59"/>
    <mergeCell ref="D60:E60"/>
    <mergeCell ref="D61:E61"/>
    <mergeCell ref="D62:E62"/>
    <mergeCell ref="D57:M57"/>
    <mergeCell ref="D58:E58"/>
    <mergeCell ref="H61:I61"/>
    <mergeCell ref="K61:L61"/>
    <mergeCell ref="F58:G58"/>
    <mergeCell ref="F59:G59"/>
    <mergeCell ref="F60:G60"/>
    <mergeCell ref="F61:G61"/>
  </mergeCells>
  <conditionalFormatting sqref="H208:H65598 A1:S56 N57:R57 A57:D57 I60:S61 I69:S76 I68:R68 I77:R78 A78:F78 A79:H79 A80:B80 H80:H98 I63:S67 I62:R62 A99:B102 J99:S102 I91:S98 I90:R90 I146:R146 I204:S210 I203:R203 A138:G138 B124:B128 F125:G128 D127:D128 F124 C125:D126 M126:S126 H124:S125 N127:S128 B139:B140 F139:G140 B141:G141 A139:A141 I140:S145 H140:H152 B136:S137 N138:S139 B129:R130 A81:G98 A58:H77 I147:S152 I79:S89 Q153:S153 H154:S155 H157:S166 R156:S156 I172:S172 A142:G157 B168:B171 I176:S176 Q175:S175 I175:O175 H178:L179 J177:L177 A172:H176 H181:L181 O180:S180 O182:S182 H183:H184 N181:S181 N177:S179 B158:G167 A177:G184 A185:B197 I183:S193 I194:L196 N194:S196 P167:S171 H167:O167 I169:O169 O168 I168:M168 I171:O171 I170:K170 O170 A158:A175 H198:H206 I197:S202 I212:S1048576 I211:L211 N211:S211 A198:G1048576 A103:S114 A116:S116 A115:R115 A124:A137 B131:B135 A123:S123 A122:P122 R122:S122 G131:R135 I58:R59 I174:S174 I173:R173">
    <cfRule type="containsText" dxfId="60" priority="46" operator="containsText" text="NO CUMPLE">
      <formula>NOT(ISERROR(SEARCH("NO CUMPLE",A1)))</formula>
    </cfRule>
  </conditionalFormatting>
  <conditionalFormatting sqref="D19:D27">
    <cfRule type="containsText" dxfId="59" priority="45" operator="containsText" text="NO CUMPLE">
      <formula>NOT(ISERROR(SEARCH("NO CUMPLE",D19)))</formula>
    </cfRule>
  </conditionalFormatting>
  <conditionalFormatting sqref="D82:D83">
    <cfRule type="containsText" dxfId="58" priority="44" operator="containsText" text="NO CUMPLE">
      <formula>NOT(ISERROR(SEARCH("NO CUMPLE",D82)))</formula>
    </cfRule>
  </conditionalFormatting>
  <conditionalFormatting sqref="D82:D83">
    <cfRule type="containsText" dxfId="57" priority="43" operator="containsText" text="NO CUMPLE">
      <formula>NOT(ISERROR(SEARCH("NO CUMPLE",D82)))</formula>
    </cfRule>
  </conditionalFormatting>
  <conditionalFormatting sqref="S68">
    <cfRule type="containsText" dxfId="56" priority="42" operator="containsText" text="NO CUMPLE">
      <formula>NOT(ISERROR(SEARCH("NO CUMPLE",S68)))</formula>
    </cfRule>
  </conditionalFormatting>
  <conditionalFormatting sqref="G78:H78">
    <cfRule type="containsText" dxfId="55" priority="41" operator="containsText" text="NO CUMPLE">
      <formula>NOT(ISERROR(SEARCH("NO CUMPLE",G78)))</formula>
    </cfRule>
  </conditionalFormatting>
  <conditionalFormatting sqref="C80:G80">
    <cfRule type="containsText" dxfId="54" priority="40" operator="containsText" text="NO CUMPLE">
      <formula>NOT(ISERROR(SEARCH("NO CUMPLE",C80)))</formula>
    </cfRule>
  </conditionalFormatting>
  <conditionalFormatting sqref="I99:I102 C99:H99 C100:F100 C101:H101 H102 H100">
    <cfRule type="containsText" dxfId="53" priority="39" operator="containsText" text="NO CUMPLE">
      <formula>NOT(ISERROR(SEARCH("NO CUMPLE",C99)))</formula>
    </cfRule>
  </conditionalFormatting>
  <conditionalFormatting sqref="G100">
    <cfRule type="containsText" dxfId="52" priority="38" operator="containsText" text="NO CUMPLE">
      <formula>NOT(ISERROR(SEARCH("NO CUMPLE",G100)))</formula>
    </cfRule>
  </conditionalFormatting>
  <conditionalFormatting sqref="C102:G102">
    <cfRule type="containsText" dxfId="51" priority="37" operator="containsText" text="NO CUMPLE">
      <formula>NOT(ISERROR(SEARCH("NO CUMPLE",C102)))</formula>
    </cfRule>
  </conditionalFormatting>
  <conditionalFormatting sqref="S90">
    <cfRule type="containsText" dxfId="50" priority="36" operator="containsText" text="NO CUMPLE">
      <formula>NOT(ISERROR(SEARCH("NO CUMPLE",S90)))</formula>
    </cfRule>
  </conditionalFormatting>
  <conditionalFormatting sqref="S203">
    <cfRule type="containsText" dxfId="49" priority="33" operator="containsText" text="NO CUMPLE">
      <formula>NOT(ISERROR(SEARCH("NO CUMPLE",S203)))</formula>
    </cfRule>
  </conditionalFormatting>
  <conditionalFormatting sqref="C124:E124 E125:E126">
    <cfRule type="containsText" dxfId="48" priority="32" operator="containsText" text="NO CUMPLE">
      <formula>NOT(ISERROR(SEARCH("NO CUMPLE",C124)))</formula>
    </cfRule>
  </conditionalFormatting>
  <conditionalFormatting sqref="C127:C128 E127:E128">
    <cfRule type="containsText" dxfId="47" priority="31" operator="containsText" text="NO CUMPLE">
      <formula>NOT(ISERROR(SEARCH("NO CUMPLE",C127)))</formula>
    </cfRule>
  </conditionalFormatting>
  <conditionalFormatting sqref="H127:M128">
    <cfRule type="containsText" dxfId="46" priority="30" operator="containsText" text="NO CUMPLE">
      <formula>NOT(ISERROR(SEARCH("NO CUMPLE",H127)))</formula>
    </cfRule>
  </conditionalFormatting>
  <conditionalFormatting sqref="D140 C139:D139">
    <cfRule type="containsText" dxfId="45" priority="29" operator="containsText" text="NO CUMPLE">
      <formula>NOT(ISERROR(SEARCH("NO CUMPLE",C139)))</formula>
    </cfRule>
  </conditionalFormatting>
  <conditionalFormatting sqref="E139">
    <cfRule type="containsText" dxfId="44" priority="28" operator="containsText" text="NO CUMPLE">
      <formula>NOT(ISERROR(SEARCH("NO CUMPLE",E139)))</formula>
    </cfRule>
  </conditionalFormatting>
  <conditionalFormatting sqref="C140 E140">
    <cfRule type="containsText" dxfId="43" priority="27" operator="containsText" text="NO CUMPLE">
      <formula>NOT(ISERROR(SEARCH("NO CUMPLE",C140)))</formula>
    </cfRule>
  </conditionalFormatting>
  <conditionalFormatting sqref="H139:M139">
    <cfRule type="containsText" dxfId="42" priority="26" operator="containsText" text="NO CUMPLE">
      <formula>NOT(ISERROR(SEARCH("NO CUMPLE",H139)))</formula>
    </cfRule>
  </conditionalFormatting>
  <conditionalFormatting sqref="S129:S135">
    <cfRule type="containsText" dxfId="41" priority="25" operator="containsText" text="NO CUMPLE">
      <formula>NOT(ISERROR(SEARCH("NO CUMPLE",S129)))</formula>
    </cfRule>
  </conditionalFormatting>
  <conditionalFormatting sqref="H153:P153">
    <cfRule type="containsText" dxfId="40" priority="24" operator="containsText" text="NO CUMPLE">
      <formula>NOT(ISERROR(SEARCH("NO CUMPLE",H153)))</formula>
    </cfRule>
  </conditionalFormatting>
  <conditionalFormatting sqref="H156:Q156">
    <cfRule type="containsText" dxfId="39" priority="23" operator="containsText" text="NO CUMPLE">
      <formula>NOT(ISERROR(SEARCH("NO CUMPLE",H156)))</formula>
    </cfRule>
  </conditionalFormatting>
  <conditionalFormatting sqref="C168:H168 C169:F169 C170:H170 H171 H169">
    <cfRule type="containsText" dxfId="38" priority="22" operator="containsText" text="NO CUMPLE">
      <formula>NOT(ISERROR(SEARCH("NO CUMPLE",C168)))</formula>
    </cfRule>
  </conditionalFormatting>
  <conditionalFormatting sqref="G169">
    <cfRule type="containsText" dxfId="37" priority="21" operator="containsText" text="NO CUMPLE">
      <formula>NOT(ISERROR(SEARCH("NO CUMPLE",G169)))</formula>
    </cfRule>
  </conditionalFormatting>
  <conditionalFormatting sqref="C171:G171">
    <cfRule type="containsText" dxfId="36" priority="20" operator="containsText" text="NO CUMPLE">
      <formula>NOT(ISERROR(SEARCH("NO CUMPLE",C171)))</formula>
    </cfRule>
  </conditionalFormatting>
  <conditionalFormatting sqref="N168">
    <cfRule type="containsText" dxfId="35" priority="19" operator="containsText" text="NO CUMPLE">
      <formula>NOT(ISERROR(SEARCH("NO CUMPLE",N168)))</formula>
    </cfRule>
  </conditionalFormatting>
  <conditionalFormatting sqref="L170:M170">
    <cfRule type="containsText" dxfId="34" priority="18" operator="containsText" text="NO CUMPLE">
      <formula>NOT(ISERROR(SEARCH("NO CUMPLE",L170)))</formula>
    </cfRule>
  </conditionalFormatting>
  <conditionalFormatting sqref="N170">
    <cfRule type="containsText" dxfId="33" priority="17" operator="containsText" text="NO CUMPLE">
      <formula>NOT(ISERROR(SEARCH("NO CUMPLE",N170)))</formula>
    </cfRule>
  </conditionalFormatting>
  <conditionalFormatting sqref="H177:I177">
    <cfRule type="containsText" dxfId="32" priority="16" operator="containsText" text="NO CUMPLE">
      <formula>NOT(ISERROR(SEARCH("NO CUMPLE",H177)))</formula>
    </cfRule>
  </conditionalFormatting>
  <conditionalFormatting sqref="J180:L180 N180">
    <cfRule type="containsText" dxfId="31" priority="15" operator="containsText" text="NO CUMPLE">
      <formula>NOT(ISERROR(SEARCH("NO CUMPLE",J180)))</formula>
    </cfRule>
  </conditionalFormatting>
  <conditionalFormatting sqref="H180:I180">
    <cfRule type="containsText" dxfId="30" priority="14" operator="containsText" text="NO CUMPLE">
      <formula>NOT(ISERROR(SEARCH("NO CUMPLE",H180)))</formula>
    </cfRule>
  </conditionalFormatting>
  <conditionalFormatting sqref="J182:L182 N182">
    <cfRule type="containsText" dxfId="29" priority="13" operator="containsText" text="NO CUMPLE">
      <formula>NOT(ISERROR(SEARCH("NO CUMPLE",J182)))</formula>
    </cfRule>
  </conditionalFormatting>
  <conditionalFormatting sqref="H182:I182">
    <cfRule type="containsText" dxfId="28" priority="12" operator="containsText" text="NO CUMPLE">
      <formula>NOT(ISERROR(SEARCH("NO CUMPLE",H182)))</formula>
    </cfRule>
  </conditionalFormatting>
  <conditionalFormatting sqref="M177:M182">
    <cfRule type="containsText" dxfId="27" priority="11" operator="containsText" text="NO CUMPLE">
      <formula>NOT(ISERROR(SEARCH("NO CUMPLE",M177)))</formula>
    </cfRule>
  </conditionalFormatting>
  <conditionalFormatting sqref="C185:H190 C193:H193 C191:C192 E191:H192">
    <cfRule type="containsText" dxfId="26" priority="10" operator="containsText" text="NO CUMPLE">
      <formula>NOT(ISERROR(SEARCH("NO CUMPLE",C185)))</formula>
    </cfRule>
  </conditionalFormatting>
  <conditionalFormatting sqref="C194:H194 C195:F195 C196:H196 H197 H195">
    <cfRule type="containsText" dxfId="25" priority="9" operator="containsText" text="NO CUMPLE">
      <formula>NOT(ISERROR(SEARCH("NO CUMPLE",C194)))</formula>
    </cfRule>
  </conditionalFormatting>
  <conditionalFormatting sqref="G195">
    <cfRule type="containsText" dxfId="24" priority="8" operator="containsText" text="NO CUMPLE">
      <formula>NOT(ISERROR(SEARCH("NO CUMPLE",G195)))</formula>
    </cfRule>
  </conditionalFormatting>
  <conditionalFormatting sqref="C197:G197">
    <cfRule type="containsText" dxfId="23" priority="7" operator="containsText" text="NO CUMPLE">
      <formula>NOT(ISERROR(SEARCH("NO CUMPLE",C197)))</formula>
    </cfRule>
  </conditionalFormatting>
  <conditionalFormatting sqref="D191:D192">
    <cfRule type="containsText" dxfId="22" priority="6" operator="containsText" text="NO CUMPLE">
      <formula>NOT(ISERROR(SEARCH("NO CUMPLE",D191)))</formula>
    </cfRule>
  </conditionalFormatting>
  <conditionalFormatting sqref="A117:S121">
    <cfRule type="containsText" dxfId="21" priority="5" operator="containsText" text="NO CUMPLE">
      <formula>NOT(ISERROR(SEARCH("NO CUMPLE",A117)))</formula>
    </cfRule>
  </conditionalFormatting>
  <conditionalFormatting sqref="S115">
    <cfRule type="containsText" dxfId="20" priority="4" operator="containsText" text="NO CUMPLE">
      <formula>NOT(ISERROR(SEARCH("NO CUMPLE",S115)))</formula>
    </cfRule>
  </conditionalFormatting>
  <conditionalFormatting sqref="C131:F135">
    <cfRule type="containsText" dxfId="19" priority="3" operator="containsText" text="NO CUMPLE">
      <formula>NOT(ISERROR(SEARCH("NO CUMPLE",C131)))</formula>
    </cfRule>
  </conditionalFormatting>
  <conditionalFormatting sqref="S146">
    <cfRule type="containsText" dxfId="18" priority="2" operator="containsText" text="NO CUMPLE">
      <formula>NOT(ISERROR(SEARCH("NO CUMPLE",S146)))</formula>
    </cfRule>
  </conditionalFormatting>
  <conditionalFormatting sqref="S173">
    <cfRule type="containsText" dxfId="17" priority="1" operator="containsText" text="NO CUMPLE">
      <formula>NOT(ISERROR(SEARCH("NO CUMPLE",S173)))</formula>
    </cfRule>
  </conditionalFormatting>
  <dataValidations count="2">
    <dataValidation type="list" allowBlank="1" showInputMessage="1" showErrorMessage="1" sqref="G173 E203 E90 E68 G115 G129:G135 G146" xr:uid="{00000000-0002-0000-0200-000000000000}">
      <formula1>$C$59:$C$62</formula1>
    </dataValidation>
    <dataValidation type="list" allowBlank="1" showInputMessage="1" showErrorMessage="1" sqref="F36" xr:uid="{00000000-0002-0000-0200-000001000000}">
      <formula1>Nombres_suelos</formula1>
    </dataValidation>
  </dataValidations>
  <pageMargins left="0.70866141732283472" right="0.70866141732283472" top="0.74803149606299213" bottom="0.74803149606299213" header="0.31496062992125984" footer="0.31496062992125984"/>
  <pageSetup scale="66" fitToHeight="0" orientation="portrait" r:id="rId1"/>
  <rowBreaks count="2" manualBreakCount="2">
    <brk id="53" min="1" max="15" man="1"/>
    <brk id="109" min="1" max="15" man="1"/>
  </rowBreaks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autoPict="0" r:id="rId5">
            <anchor moveWithCells="1">
              <from>
                <xdr:col>4</xdr:col>
                <xdr:colOff>495300</xdr:colOff>
                <xdr:row>125</xdr:row>
                <xdr:rowOff>152400</xdr:rowOff>
              </from>
              <to>
                <xdr:col>6</xdr:col>
                <xdr:colOff>542925</xdr:colOff>
                <xdr:row>127</xdr:row>
                <xdr:rowOff>85725</xdr:rowOff>
              </to>
            </anchor>
          </objectPr>
        </oleObject>
      </mc:Choice>
      <mc:Fallback>
        <oleObject progId="Equation.3" shapeId="3075" r:id="rId4"/>
      </mc:Fallback>
    </mc:AlternateContent>
    <mc:AlternateContent xmlns:mc="http://schemas.openxmlformats.org/markup-compatibility/2006">
      <mc:Choice Requires="x14">
        <oleObject progId="Equation.3" shapeId="3078" r:id="rId6">
          <objectPr defaultSize="0" autoPict="0" r:id="rId7">
            <anchor moveWithCells="1">
              <from>
                <xdr:col>5</xdr:col>
                <xdr:colOff>266700</xdr:colOff>
                <xdr:row>135</xdr:row>
                <xdr:rowOff>85725</xdr:rowOff>
              </from>
              <to>
                <xdr:col>6</xdr:col>
                <xdr:colOff>104775</xdr:colOff>
                <xdr:row>137</xdr:row>
                <xdr:rowOff>28575</xdr:rowOff>
              </to>
            </anchor>
          </objectPr>
        </oleObject>
      </mc:Choice>
      <mc:Fallback>
        <oleObject progId="Equation.3" shapeId="3078" r:id="rId6"/>
      </mc:Fallback>
    </mc:AlternateContent>
    <mc:AlternateContent xmlns:mc="http://schemas.openxmlformats.org/markup-compatibility/2006">
      <mc:Choice Requires="x14">
        <oleObject progId="Equation.3" shapeId="3079" r:id="rId8">
          <objectPr defaultSize="0" autoPict="0" r:id="rId9">
            <anchor moveWithCells="1">
              <from>
                <xdr:col>5</xdr:col>
                <xdr:colOff>257175</xdr:colOff>
                <xdr:row>137</xdr:row>
                <xdr:rowOff>114300</xdr:rowOff>
              </from>
              <to>
                <xdr:col>6</xdr:col>
                <xdr:colOff>104775</xdr:colOff>
                <xdr:row>139</xdr:row>
                <xdr:rowOff>85725</xdr:rowOff>
              </to>
            </anchor>
          </objectPr>
        </oleObject>
      </mc:Choice>
      <mc:Fallback>
        <oleObject progId="Equation.3" shapeId="3079" r:id="rId8"/>
      </mc:Fallback>
    </mc:AlternateContent>
    <mc:AlternateContent xmlns:mc="http://schemas.openxmlformats.org/markup-compatibility/2006">
      <mc:Choice Requires="x14">
        <oleObject progId="Equation.3" shapeId="3080" r:id="rId10">
          <objectPr defaultSize="0" autoPict="0" r:id="rId11">
            <anchor moveWithCells="1">
              <from>
                <xdr:col>4</xdr:col>
                <xdr:colOff>561975</xdr:colOff>
                <xdr:row>122</xdr:row>
                <xdr:rowOff>142875</xdr:rowOff>
              </from>
              <to>
                <xdr:col>6</xdr:col>
                <xdr:colOff>523875</xdr:colOff>
                <xdr:row>124</xdr:row>
                <xdr:rowOff>76200</xdr:rowOff>
              </to>
            </anchor>
          </objectPr>
        </oleObject>
      </mc:Choice>
      <mc:Fallback>
        <oleObject progId="Equation.3" shapeId="3080" r:id="rId10"/>
      </mc:Fallback>
    </mc:AlternateContent>
    <mc:AlternateContent xmlns:mc="http://schemas.openxmlformats.org/markup-compatibility/2006">
      <mc:Choice Requires="x14">
        <oleObject progId="Equation.3" shapeId="3083" r:id="rId12">
          <objectPr defaultSize="0" autoPict="0" r:id="rId13">
            <anchor moveWithCells="1">
              <from>
                <xdr:col>9</xdr:col>
                <xdr:colOff>38100</xdr:colOff>
                <xdr:row>146</xdr:row>
                <xdr:rowOff>142875</xdr:rowOff>
              </from>
              <to>
                <xdr:col>12</xdr:col>
                <xdr:colOff>47625</xdr:colOff>
                <xdr:row>148</xdr:row>
                <xdr:rowOff>38100</xdr:rowOff>
              </to>
            </anchor>
          </objectPr>
        </oleObject>
      </mc:Choice>
      <mc:Fallback>
        <oleObject progId="Equation.3" shapeId="3083" r:id="rId12"/>
      </mc:Fallback>
    </mc:AlternateContent>
    <mc:AlternateContent xmlns:mc="http://schemas.openxmlformats.org/markup-compatibility/2006">
      <mc:Choice Requires="x14">
        <oleObject progId="Equation.3" shapeId="3085" r:id="rId14">
          <objectPr defaultSize="0" autoPict="0" r:id="rId15">
            <anchor moveWithCells="1">
              <from>
                <xdr:col>9</xdr:col>
                <xdr:colOff>66675</xdr:colOff>
                <xdr:row>148</xdr:row>
                <xdr:rowOff>142875</xdr:rowOff>
              </from>
              <to>
                <xdr:col>12</xdr:col>
                <xdr:colOff>28575</xdr:colOff>
                <xdr:row>150</xdr:row>
                <xdr:rowOff>85725</xdr:rowOff>
              </to>
            </anchor>
          </objectPr>
        </oleObject>
      </mc:Choice>
      <mc:Fallback>
        <oleObject progId="Equation.3" shapeId="3085" r:id="rId14"/>
      </mc:Fallback>
    </mc:AlternateContent>
    <mc:AlternateContent xmlns:mc="http://schemas.openxmlformats.org/markup-compatibility/2006">
      <mc:Choice Requires="x14">
        <oleObject progId="Equation.3" shapeId="3086" r:id="rId16">
          <objectPr defaultSize="0" autoPict="0" r:id="rId17">
            <anchor moveWithCells="1">
              <from>
                <xdr:col>2</xdr:col>
                <xdr:colOff>76200</xdr:colOff>
                <xdr:row>146</xdr:row>
                <xdr:rowOff>142875</xdr:rowOff>
              </from>
              <to>
                <xdr:col>4</xdr:col>
                <xdr:colOff>152400</xdr:colOff>
                <xdr:row>148</xdr:row>
                <xdr:rowOff>85725</xdr:rowOff>
              </to>
            </anchor>
          </objectPr>
        </oleObject>
      </mc:Choice>
      <mc:Fallback>
        <oleObject progId="Equation.3" shapeId="3086" r:id="rId16"/>
      </mc:Fallback>
    </mc:AlternateContent>
    <mc:AlternateContent xmlns:mc="http://schemas.openxmlformats.org/markup-compatibility/2006">
      <mc:Choice Requires="x14">
        <oleObject progId="Equation.3" shapeId="3087" r:id="rId18">
          <objectPr defaultSize="0" autoPict="0" r:id="rId19">
            <anchor moveWithCells="1">
              <from>
                <xdr:col>2</xdr:col>
                <xdr:colOff>76200</xdr:colOff>
                <xdr:row>149</xdr:row>
                <xdr:rowOff>114300</xdr:rowOff>
              </from>
              <to>
                <xdr:col>4</xdr:col>
                <xdr:colOff>114300</xdr:colOff>
                <xdr:row>151</xdr:row>
                <xdr:rowOff>66675</xdr:rowOff>
              </to>
            </anchor>
          </objectPr>
        </oleObject>
      </mc:Choice>
      <mc:Fallback>
        <oleObject progId="Equation.3" shapeId="3087" r:id="rId18"/>
      </mc:Fallback>
    </mc:AlternateContent>
    <mc:AlternateContent xmlns:mc="http://schemas.openxmlformats.org/markup-compatibility/2006">
      <mc:Choice Requires="x14">
        <oleObject progId="Equation.3" shapeId="3094" r:id="rId20">
          <objectPr defaultSize="0" autoPict="0" r:id="rId21">
            <anchor moveWithCells="1" sizeWithCells="1">
              <from>
                <xdr:col>6</xdr:col>
                <xdr:colOff>180975</xdr:colOff>
                <xdr:row>146</xdr:row>
                <xdr:rowOff>123825</xdr:rowOff>
              </from>
              <to>
                <xdr:col>6</xdr:col>
                <xdr:colOff>447675</xdr:colOff>
                <xdr:row>148</xdr:row>
                <xdr:rowOff>28575</xdr:rowOff>
              </to>
            </anchor>
          </objectPr>
        </oleObject>
      </mc:Choice>
      <mc:Fallback>
        <oleObject progId="Equation.3" shapeId="3094" r:id="rId20"/>
      </mc:Fallback>
    </mc:AlternateContent>
    <mc:AlternateContent xmlns:mc="http://schemas.openxmlformats.org/markup-compatibility/2006">
      <mc:Choice Requires="x14">
        <oleObject progId="Equation.3" shapeId="3095" r:id="rId22">
          <objectPr defaultSize="0" autoPict="0" r:id="rId21">
            <anchor moveWithCells="1" sizeWithCells="1">
              <from>
                <xdr:col>6</xdr:col>
                <xdr:colOff>152400</xdr:colOff>
                <xdr:row>148</xdr:row>
                <xdr:rowOff>142875</xdr:rowOff>
              </from>
              <to>
                <xdr:col>6</xdr:col>
                <xdr:colOff>428625</xdr:colOff>
                <xdr:row>150</xdr:row>
                <xdr:rowOff>47625</xdr:rowOff>
              </to>
            </anchor>
          </objectPr>
        </oleObject>
      </mc:Choice>
      <mc:Fallback>
        <oleObject progId="Equation.3" shapeId="3095" r:id="rId22"/>
      </mc:Fallback>
    </mc:AlternateContent>
    <mc:AlternateContent xmlns:mc="http://schemas.openxmlformats.org/markup-compatibility/2006">
      <mc:Choice Requires="x14">
        <oleObject progId="Equation.3" shapeId="3096" r:id="rId23">
          <objectPr defaultSize="0" autoPict="0" r:id="rId24">
            <anchor moveWithCells="1">
              <from>
                <xdr:col>2</xdr:col>
                <xdr:colOff>66675</xdr:colOff>
                <xdr:row>152</xdr:row>
                <xdr:rowOff>123825</xdr:rowOff>
              </from>
              <to>
                <xdr:col>4</xdr:col>
                <xdr:colOff>152400</xdr:colOff>
                <xdr:row>154</xdr:row>
                <xdr:rowOff>142875</xdr:rowOff>
              </to>
            </anchor>
          </objectPr>
        </oleObject>
      </mc:Choice>
      <mc:Fallback>
        <oleObject progId="Equation.3" shapeId="3096" r:id="rId23"/>
      </mc:Fallback>
    </mc:AlternateContent>
    <mc:AlternateContent xmlns:mc="http://schemas.openxmlformats.org/markup-compatibility/2006">
      <mc:Choice Requires="x14">
        <oleObject progId="Equation.3" shapeId="3097" r:id="rId25">
          <objectPr defaultSize="0" autoPict="0" r:id="rId26">
            <anchor moveWithCells="1">
              <from>
                <xdr:col>9</xdr:col>
                <xdr:colOff>47625</xdr:colOff>
                <xdr:row>151</xdr:row>
                <xdr:rowOff>142875</xdr:rowOff>
              </from>
              <to>
                <xdr:col>12</xdr:col>
                <xdr:colOff>66675</xdr:colOff>
                <xdr:row>153</xdr:row>
                <xdr:rowOff>85725</xdr:rowOff>
              </to>
            </anchor>
          </objectPr>
        </oleObject>
      </mc:Choice>
      <mc:Fallback>
        <oleObject progId="Equation.3" shapeId="3097" r:id="rId25"/>
      </mc:Fallback>
    </mc:AlternateContent>
    <mc:AlternateContent xmlns:mc="http://schemas.openxmlformats.org/markup-compatibility/2006">
      <mc:Choice Requires="x14">
        <oleObject progId="Equation.3" shapeId="3098" r:id="rId27">
          <objectPr defaultSize="0" autoPict="0" r:id="rId21">
            <anchor moveWithCells="1" sizeWithCells="1">
              <from>
                <xdr:col>6</xdr:col>
                <xdr:colOff>142875</xdr:colOff>
                <xdr:row>151</xdr:row>
                <xdr:rowOff>161925</xdr:rowOff>
              </from>
              <to>
                <xdr:col>6</xdr:col>
                <xdr:colOff>428625</xdr:colOff>
                <xdr:row>153</xdr:row>
                <xdr:rowOff>66675</xdr:rowOff>
              </to>
            </anchor>
          </objectPr>
        </oleObject>
      </mc:Choice>
      <mc:Fallback>
        <oleObject progId="Equation.3" shapeId="3098" r:id="rId27"/>
      </mc:Fallback>
    </mc:AlternateContent>
    <mc:AlternateContent xmlns:mc="http://schemas.openxmlformats.org/markup-compatibility/2006">
      <mc:Choice Requires="x14">
        <oleObject progId="Equation.3" shapeId="3099" r:id="rId28">
          <objectPr defaultSize="0" autoPict="0" r:id="rId29">
            <anchor moveWithCells="1">
              <from>
                <xdr:col>2</xdr:col>
                <xdr:colOff>66675</xdr:colOff>
                <xdr:row>155</xdr:row>
                <xdr:rowOff>85725</xdr:rowOff>
              </from>
              <to>
                <xdr:col>4</xdr:col>
                <xdr:colOff>104775</xdr:colOff>
                <xdr:row>157</xdr:row>
                <xdr:rowOff>28575</xdr:rowOff>
              </to>
            </anchor>
          </objectPr>
        </oleObject>
      </mc:Choice>
      <mc:Fallback>
        <oleObject progId="Equation.3" shapeId="3099" r:id="rId28"/>
      </mc:Fallback>
    </mc:AlternateContent>
    <mc:AlternateContent xmlns:mc="http://schemas.openxmlformats.org/markup-compatibility/2006">
      <mc:Choice Requires="x14">
        <oleObject progId="Equation.3" shapeId="3100" r:id="rId30">
          <objectPr defaultSize="0" autoPict="0" r:id="rId31">
            <anchor moveWithCells="1">
              <from>
                <xdr:col>9</xdr:col>
                <xdr:colOff>66675</xdr:colOff>
                <xdr:row>154</xdr:row>
                <xdr:rowOff>142875</xdr:rowOff>
              </from>
              <to>
                <xdr:col>12</xdr:col>
                <xdr:colOff>28575</xdr:colOff>
                <xdr:row>156</xdr:row>
                <xdr:rowOff>85725</xdr:rowOff>
              </to>
            </anchor>
          </objectPr>
        </oleObject>
      </mc:Choice>
      <mc:Fallback>
        <oleObject progId="Equation.3" shapeId="3100" r:id="rId30"/>
      </mc:Fallback>
    </mc:AlternateContent>
    <mc:AlternateContent xmlns:mc="http://schemas.openxmlformats.org/markup-compatibility/2006">
      <mc:Choice Requires="x14">
        <oleObject progId="Equation.3" shapeId="3101" r:id="rId32">
          <objectPr defaultSize="0" autoPict="0" r:id="rId21">
            <anchor moveWithCells="1" sizeWithCells="1">
              <from>
                <xdr:col>6</xdr:col>
                <xdr:colOff>142875</xdr:colOff>
                <xdr:row>154</xdr:row>
                <xdr:rowOff>161925</xdr:rowOff>
              </from>
              <to>
                <xdr:col>6</xdr:col>
                <xdr:colOff>428625</xdr:colOff>
                <xdr:row>156</xdr:row>
                <xdr:rowOff>66675</xdr:rowOff>
              </to>
            </anchor>
          </objectPr>
        </oleObject>
      </mc:Choice>
      <mc:Fallback>
        <oleObject progId="Equation.3" shapeId="3101" r:id="rId32"/>
      </mc:Fallback>
    </mc:AlternateContent>
    <mc:AlternateContent xmlns:mc="http://schemas.openxmlformats.org/markup-compatibility/2006">
      <mc:Choice Requires="x14">
        <oleObject progId="Equation.3" shapeId="3102" r:id="rId33">
          <objectPr defaultSize="0" autoPict="0" r:id="rId11">
            <anchor moveWithCells="1">
              <from>
                <xdr:col>8</xdr:col>
                <xdr:colOff>190500</xdr:colOff>
                <xdr:row>166</xdr:row>
                <xdr:rowOff>142875</xdr:rowOff>
              </from>
              <to>
                <xdr:col>10</xdr:col>
                <xdr:colOff>142875</xdr:colOff>
                <xdr:row>168</xdr:row>
                <xdr:rowOff>76200</xdr:rowOff>
              </to>
            </anchor>
          </objectPr>
        </oleObject>
      </mc:Choice>
      <mc:Fallback>
        <oleObject progId="Equation.3" shapeId="3102" r:id="rId33"/>
      </mc:Fallback>
    </mc:AlternateContent>
    <mc:AlternateContent xmlns:mc="http://schemas.openxmlformats.org/markup-compatibility/2006">
      <mc:Choice Requires="x14">
        <oleObject progId="Equation.3" shapeId="3103" r:id="rId34">
          <objectPr defaultSize="0" autoPict="0" r:id="rId5">
            <anchor moveWithCells="1">
              <from>
                <xdr:col>8</xdr:col>
                <xdr:colOff>123825</xdr:colOff>
                <xdr:row>168</xdr:row>
                <xdr:rowOff>152400</xdr:rowOff>
              </from>
              <to>
                <xdr:col>10</xdr:col>
                <xdr:colOff>152400</xdr:colOff>
                <xdr:row>170</xdr:row>
                <xdr:rowOff>85725</xdr:rowOff>
              </to>
            </anchor>
          </objectPr>
        </oleObject>
      </mc:Choice>
      <mc:Fallback>
        <oleObject progId="Equation.3" shapeId="3103" r:id="rId34"/>
      </mc:Fallback>
    </mc:AlternateContent>
    <mc:AlternateContent xmlns:mc="http://schemas.openxmlformats.org/markup-compatibility/2006">
      <mc:Choice Requires="x14">
        <oleObject progId="Equation.3" shapeId="3105" r:id="rId35">
          <objectPr defaultSize="0" autoPict="0" r:id="rId36">
            <anchor moveWithCells="1">
              <from>
                <xdr:col>2</xdr:col>
                <xdr:colOff>47625</xdr:colOff>
                <xdr:row>173</xdr:row>
                <xdr:rowOff>104775</xdr:rowOff>
              </from>
              <to>
                <xdr:col>4</xdr:col>
                <xdr:colOff>190500</xdr:colOff>
                <xdr:row>175</xdr:row>
                <xdr:rowOff>123825</xdr:rowOff>
              </to>
            </anchor>
          </objectPr>
        </oleObject>
      </mc:Choice>
      <mc:Fallback>
        <oleObject progId="Equation.3" shapeId="3105" r:id="rId35"/>
      </mc:Fallback>
    </mc:AlternateContent>
    <mc:AlternateContent xmlns:mc="http://schemas.openxmlformats.org/markup-compatibility/2006">
      <mc:Choice Requires="x14">
        <oleObject progId="Equation.3" shapeId="3106" r:id="rId37">
          <objectPr defaultSize="0" autoPict="0" r:id="rId21">
            <anchor moveWithCells="1" sizeWithCells="1">
              <from>
                <xdr:col>6</xdr:col>
                <xdr:colOff>257175</xdr:colOff>
                <xdr:row>173</xdr:row>
                <xdr:rowOff>161925</xdr:rowOff>
              </from>
              <to>
                <xdr:col>6</xdr:col>
                <xdr:colOff>523875</xdr:colOff>
                <xdr:row>175</xdr:row>
                <xdr:rowOff>66675</xdr:rowOff>
              </to>
            </anchor>
          </objectPr>
        </oleObject>
      </mc:Choice>
      <mc:Fallback>
        <oleObject progId="Equation.3" shapeId="3106" r:id="rId37"/>
      </mc:Fallback>
    </mc:AlternateContent>
    <mc:AlternateContent xmlns:mc="http://schemas.openxmlformats.org/markup-compatibility/2006">
      <mc:Choice Requires="x14">
        <oleObject progId="Equation.3" shapeId="3108" r:id="rId38">
          <objectPr defaultSize="0" autoPict="0" r:id="rId39">
            <anchor moveWithCells="1">
              <from>
                <xdr:col>2</xdr:col>
                <xdr:colOff>76200</xdr:colOff>
                <xdr:row>175</xdr:row>
                <xdr:rowOff>190500</xdr:rowOff>
              </from>
              <to>
                <xdr:col>4</xdr:col>
                <xdr:colOff>114300</xdr:colOff>
                <xdr:row>177</xdr:row>
                <xdr:rowOff>142875</xdr:rowOff>
              </to>
            </anchor>
          </objectPr>
        </oleObject>
      </mc:Choice>
      <mc:Fallback>
        <oleObject progId="Equation.3" shapeId="3108" r:id="rId38"/>
      </mc:Fallback>
    </mc:AlternateContent>
    <mc:AlternateContent xmlns:mc="http://schemas.openxmlformats.org/markup-compatibility/2006">
      <mc:Choice Requires="x14">
        <oleObject progId="Equation.3" shapeId="3109" r:id="rId40">
          <objectPr defaultSize="0" autoPict="0" r:id="rId21">
            <anchor moveWithCells="1" sizeWithCells="1">
              <from>
                <xdr:col>6</xdr:col>
                <xdr:colOff>257175</xdr:colOff>
                <xdr:row>175</xdr:row>
                <xdr:rowOff>152400</xdr:rowOff>
              </from>
              <to>
                <xdr:col>6</xdr:col>
                <xdr:colOff>523875</xdr:colOff>
                <xdr:row>177</xdr:row>
                <xdr:rowOff>66675</xdr:rowOff>
              </to>
            </anchor>
          </objectPr>
        </oleObject>
      </mc:Choice>
      <mc:Fallback>
        <oleObject progId="Equation.3" shapeId="3109" r:id="rId40"/>
      </mc:Fallback>
    </mc:AlternateContent>
    <mc:AlternateContent xmlns:mc="http://schemas.openxmlformats.org/markup-compatibility/2006">
      <mc:Choice Requires="x14">
        <oleObject progId="Equation.3" shapeId="3110" r:id="rId41">
          <objectPr defaultSize="0" autoPict="0" r:id="rId42">
            <anchor moveWithCells="1">
              <from>
                <xdr:col>8</xdr:col>
                <xdr:colOff>409575</xdr:colOff>
                <xdr:row>173</xdr:row>
                <xdr:rowOff>104775</xdr:rowOff>
              </from>
              <to>
                <xdr:col>11</xdr:col>
                <xdr:colOff>200025</xdr:colOff>
                <xdr:row>175</xdr:row>
                <xdr:rowOff>104775</xdr:rowOff>
              </to>
            </anchor>
          </objectPr>
        </oleObject>
      </mc:Choice>
      <mc:Fallback>
        <oleObject progId="Equation.3" shapeId="3110" r:id="rId41"/>
      </mc:Fallback>
    </mc:AlternateContent>
    <mc:AlternateContent xmlns:mc="http://schemas.openxmlformats.org/markup-compatibility/2006">
      <mc:Choice Requires="x14">
        <oleObject progId="Equation.3" shapeId="3111" r:id="rId43">
          <objectPr defaultSize="0" autoPict="0" r:id="rId44">
            <anchor moveWithCells="1">
              <from>
                <xdr:col>8</xdr:col>
                <xdr:colOff>409575</xdr:colOff>
                <xdr:row>175</xdr:row>
                <xdr:rowOff>142875</xdr:rowOff>
              </from>
              <to>
                <xdr:col>11</xdr:col>
                <xdr:colOff>200025</xdr:colOff>
                <xdr:row>177</xdr:row>
                <xdr:rowOff>76200</xdr:rowOff>
              </to>
            </anchor>
          </objectPr>
        </oleObject>
      </mc:Choice>
      <mc:Fallback>
        <oleObject progId="Equation.3" shapeId="3111" r:id="rId43"/>
      </mc:Fallback>
    </mc:AlternateContent>
    <mc:AlternateContent xmlns:mc="http://schemas.openxmlformats.org/markup-compatibility/2006">
      <mc:Choice Requires="x14">
        <oleObject progId="Equation.3" shapeId="3112" r:id="rId45">
          <objectPr defaultSize="0" autoPict="0" r:id="rId46">
            <anchor moveWithCells="1">
              <from>
                <xdr:col>2</xdr:col>
                <xdr:colOff>66675</xdr:colOff>
                <xdr:row>178</xdr:row>
                <xdr:rowOff>123825</xdr:rowOff>
              </from>
              <to>
                <xdr:col>4</xdr:col>
                <xdr:colOff>152400</xdr:colOff>
                <xdr:row>180</xdr:row>
                <xdr:rowOff>142875</xdr:rowOff>
              </to>
            </anchor>
          </objectPr>
        </oleObject>
      </mc:Choice>
      <mc:Fallback>
        <oleObject progId="Equation.3" shapeId="3112" r:id="rId45"/>
      </mc:Fallback>
    </mc:AlternateContent>
    <mc:AlternateContent xmlns:mc="http://schemas.openxmlformats.org/markup-compatibility/2006">
      <mc:Choice Requires="x14">
        <oleObject progId="Equation.3" shapeId="3114" r:id="rId47">
          <objectPr defaultSize="0" autoPict="0" r:id="rId21">
            <anchor moveWithCells="1" sizeWithCells="1">
              <from>
                <xdr:col>6</xdr:col>
                <xdr:colOff>228600</xdr:colOff>
                <xdr:row>178</xdr:row>
                <xdr:rowOff>142875</xdr:rowOff>
              </from>
              <to>
                <xdr:col>6</xdr:col>
                <xdr:colOff>504825</xdr:colOff>
                <xdr:row>180</xdr:row>
                <xdr:rowOff>38100</xdr:rowOff>
              </to>
            </anchor>
          </objectPr>
        </oleObject>
      </mc:Choice>
      <mc:Fallback>
        <oleObject progId="Equation.3" shapeId="3114" r:id="rId47"/>
      </mc:Fallback>
    </mc:AlternateContent>
    <mc:AlternateContent xmlns:mc="http://schemas.openxmlformats.org/markup-compatibility/2006">
      <mc:Choice Requires="x14">
        <oleObject progId="Equation.3" shapeId="3116" r:id="rId48">
          <objectPr defaultSize="0" autoPict="0" r:id="rId49">
            <anchor moveWithCells="1">
              <from>
                <xdr:col>8</xdr:col>
                <xdr:colOff>428625</xdr:colOff>
                <xdr:row>178</xdr:row>
                <xdr:rowOff>114300</xdr:rowOff>
              </from>
              <to>
                <xdr:col>11</xdr:col>
                <xdr:colOff>180975</xdr:colOff>
                <xdr:row>180</xdr:row>
                <xdr:rowOff>104775</xdr:rowOff>
              </to>
            </anchor>
          </objectPr>
        </oleObject>
      </mc:Choice>
      <mc:Fallback>
        <oleObject progId="Equation.3" shapeId="3116" r:id="rId48"/>
      </mc:Fallback>
    </mc:AlternateContent>
    <mc:AlternateContent xmlns:mc="http://schemas.openxmlformats.org/markup-compatibility/2006">
      <mc:Choice Requires="x14">
        <oleObject progId="Equation.3" shapeId="3117" r:id="rId50">
          <objectPr defaultSize="0" autoPict="0" r:id="rId51">
            <anchor moveWithCells="1">
              <from>
                <xdr:col>2</xdr:col>
                <xdr:colOff>85725</xdr:colOff>
                <xdr:row>181</xdr:row>
                <xdr:rowOff>85725</xdr:rowOff>
              </from>
              <to>
                <xdr:col>4</xdr:col>
                <xdr:colOff>123825</xdr:colOff>
                <xdr:row>183</xdr:row>
                <xdr:rowOff>66675</xdr:rowOff>
              </to>
            </anchor>
          </objectPr>
        </oleObject>
      </mc:Choice>
      <mc:Fallback>
        <oleObject progId="Equation.3" shapeId="3117" r:id="rId50"/>
      </mc:Fallback>
    </mc:AlternateContent>
    <mc:AlternateContent xmlns:mc="http://schemas.openxmlformats.org/markup-compatibility/2006">
      <mc:Choice Requires="x14">
        <oleObject progId="Equation.3" shapeId="3119" r:id="rId52">
          <objectPr defaultSize="0" autoPict="0" r:id="rId21">
            <anchor moveWithCells="1" sizeWithCells="1">
              <from>
                <xdr:col>6</xdr:col>
                <xdr:colOff>219075</xdr:colOff>
                <xdr:row>180</xdr:row>
                <xdr:rowOff>142875</xdr:rowOff>
              </from>
              <to>
                <xdr:col>6</xdr:col>
                <xdr:colOff>495300</xdr:colOff>
                <xdr:row>182</xdr:row>
                <xdr:rowOff>47625</xdr:rowOff>
              </to>
            </anchor>
          </objectPr>
        </oleObject>
      </mc:Choice>
      <mc:Fallback>
        <oleObject progId="Equation.3" shapeId="3119" r:id="rId52"/>
      </mc:Fallback>
    </mc:AlternateContent>
    <mc:AlternateContent xmlns:mc="http://schemas.openxmlformats.org/markup-compatibility/2006">
      <mc:Choice Requires="x14">
        <oleObject progId="Equation.3" shapeId="3120" r:id="rId53">
          <objectPr defaultSize="0" autoPict="0" r:id="rId54">
            <anchor moveWithCells="1">
              <from>
                <xdr:col>8</xdr:col>
                <xdr:colOff>457200</xdr:colOff>
                <xdr:row>180</xdr:row>
                <xdr:rowOff>114300</xdr:rowOff>
              </from>
              <to>
                <xdr:col>11</xdr:col>
                <xdr:colOff>180975</xdr:colOff>
                <xdr:row>182</xdr:row>
                <xdr:rowOff>85725</xdr:rowOff>
              </to>
            </anchor>
          </objectPr>
        </oleObject>
      </mc:Choice>
      <mc:Fallback>
        <oleObject progId="Equation.3" shapeId="3120" r:id="rId53"/>
      </mc:Fallback>
    </mc:AlternateContent>
    <mc:AlternateContent xmlns:mc="http://schemas.openxmlformats.org/markup-compatibility/2006">
      <mc:Choice Requires="x14">
        <oleObject progId="Equation.3" shapeId="3123" r:id="rId55">
          <objectPr defaultSize="0" autoPict="0" r:id="rId56">
            <anchor moveWithCells="1">
              <from>
                <xdr:col>8</xdr:col>
                <xdr:colOff>66675</xdr:colOff>
                <xdr:row>192</xdr:row>
                <xdr:rowOff>180975</xdr:rowOff>
              </from>
              <to>
                <xdr:col>10</xdr:col>
                <xdr:colOff>352425</xdr:colOff>
                <xdr:row>194</xdr:row>
                <xdr:rowOff>180975</xdr:rowOff>
              </to>
            </anchor>
          </objectPr>
        </oleObject>
      </mc:Choice>
      <mc:Fallback>
        <oleObject progId="Equation.3" shapeId="3123" r:id="rId55"/>
      </mc:Fallback>
    </mc:AlternateContent>
    <mc:AlternateContent xmlns:mc="http://schemas.openxmlformats.org/markup-compatibility/2006">
      <mc:Choice Requires="x14">
        <oleObject progId="Equation.3" shapeId="3124" r:id="rId57">
          <objectPr defaultSize="0" autoPict="0" r:id="rId58">
            <anchor moveWithCells="1">
              <from>
                <xdr:col>8</xdr:col>
                <xdr:colOff>38100</xdr:colOff>
                <xdr:row>195</xdr:row>
                <xdr:rowOff>28575</xdr:rowOff>
              </from>
              <to>
                <xdr:col>10</xdr:col>
                <xdr:colOff>333375</xdr:colOff>
                <xdr:row>197</xdr:row>
                <xdr:rowOff>28575</xdr:rowOff>
              </to>
            </anchor>
          </objectPr>
        </oleObject>
      </mc:Choice>
      <mc:Fallback>
        <oleObject progId="Equation.3" shapeId="3124" r:id="rId57"/>
      </mc:Fallback>
    </mc:AlternateContent>
    <mc:AlternateContent xmlns:mc="http://schemas.openxmlformats.org/markup-compatibility/2006">
      <mc:Choice Requires="x14">
        <oleObject progId="Equation.3" shapeId="3125" r:id="rId59">
          <objectPr defaultSize="0" autoPict="0" r:id="rId60">
            <anchor moveWithCells="1">
              <from>
                <xdr:col>7</xdr:col>
                <xdr:colOff>304800</xdr:colOff>
                <xdr:row>205</xdr:row>
                <xdr:rowOff>104775</xdr:rowOff>
              </from>
              <to>
                <xdr:col>9</xdr:col>
                <xdr:colOff>542925</xdr:colOff>
                <xdr:row>207</xdr:row>
                <xdr:rowOff>142875</xdr:rowOff>
              </to>
            </anchor>
          </objectPr>
        </oleObject>
      </mc:Choice>
      <mc:Fallback>
        <oleObject progId="Equation.3" shapeId="3125" r:id="rId59"/>
      </mc:Fallback>
    </mc:AlternateContent>
    <mc:AlternateContent xmlns:mc="http://schemas.openxmlformats.org/markup-compatibility/2006">
      <mc:Choice Requires="x14">
        <oleObject progId="Equation.3" shapeId="3128" r:id="rId61">
          <objectPr defaultSize="0" autoPict="0" r:id="rId62">
            <anchor moveWithCells="1" sizeWithCells="1">
              <from>
                <xdr:col>9</xdr:col>
                <xdr:colOff>314325</xdr:colOff>
                <xdr:row>212</xdr:row>
                <xdr:rowOff>9525</xdr:rowOff>
              </from>
              <to>
                <xdr:col>12</xdr:col>
                <xdr:colOff>647700</xdr:colOff>
                <xdr:row>212</xdr:row>
                <xdr:rowOff>219075</xdr:rowOff>
              </to>
            </anchor>
          </objectPr>
        </oleObject>
      </mc:Choice>
      <mc:Fallback>
        <oleObject progId="Equation.3" shapeId="3128" r:id="rId6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A9B2-BE75-4858-B748-5EB4AD32FE40}">
  <dimension ref="A1:H22"/>
  <sheetViews>
    <sheetView workbookViewId="0">
      <selection activeCell="B23" sqref="B23"/>
    </sheetView>
  </sheetViews>
  <sheetFormatPr baseColWidth="10" defaultColWidth="11.42578125" defaultRowHeight="15"/>
  <cols>
    <col min="1" max="2" width="11.42578125" style="1"/>
    <col min="3" max="3" width="7.42578125" style="1" customWidth="1"/>
    <col min="4" max="4" width="8.85546875" style="1" customWidth="1"/>
    <col min="5" max="5" width="7.85546875" style="1" customWidth="1"/>
    <col min="6" max="16384" width="11.42578125" style="1"/>
  </cols>
  <sheetData>
    <row r="1" spans="1:8">
      <c r="B1" s="38" t="s">
        <v>784</v>
      </c>
      <c r="C1" s="38"/>
      <c r="D1" s="203" t="s">
        <v>752</v>
      </c>
      <c r="E1" s="203"/>
    </row>
    <row r="2" spans="1:8" ht="18.75">
      <c r="A2" s="1">
        <v>0</v>
      </c>
      <c r="B2" s="181" t="s">
        <v>799</v>
      </c>
      <c r="C2" s="15" t="s">
        <v>4</v>
      </c>
      <c r="D2" s="204" t="s">
        <v>795</v>
      </c>
      <c r="E2" s="204"/>
      <c r="F2" s="205" t="s">
        <v>9</v>
      </c>
      <c r="G2" s="205"/>
      <c r="H2" s="205"/>
    </row>
    <row r="3" spans="1:8" ht="18.75">
      <c r="A3" s="1">
        <v>1</v>
      </c>
      <c r="B3" s="181" t="s">
        <v>800</v>
      </c>
      <c r="C3" s="15" t="s">
        <v>4</v>
      </c>
      <c r="D3" s="204" t="s">
        <v>796</v>
      </c>
      <c r="E3" s="204"/>
      <c r="F3" s="205" t="s">
        <v>9</v>
      </c>
      <c r="G3" s="205"/>
      <c r="H3" s="205"/>
    </row>
    <row r="4" spans="1:8" ht="18.75">
      <c r="A4" s="1">
        <v>2</v>
      </c>
      <c r="B4" s="181" t="s">
        <v>785</v>
      </c>
      <c r="C4" s="15" t="s">
        <v>4</v>
      </c>
      <c r="D4" s="204" t="s">
        <v>797</v>
      </c>
      <c r="E4" s="204"/>
      <c r="F4" s="205" t="s">
        <v>10</v>
      </c>
      <c r="G4" s="205"/>
      <c r="H4" s="205"/>
    </row>
    <row r="5" spans="1:8" ht="18.75">
      <c r="A5" s="1">
        <v>3</v>
      </c>
      <c r="B5" s="181" t="s">
        <v>786</v>
      </c>
      <c r="C5" s="15" t="s">
        <v>4</v>
      </c>
      <c r="D5" s="204" t="s">
        <v>798</v>
      </c>
      <c r="E5" s="204"/>
      <c r="F5" s="205" t="s">
        <v>10</v>
      </c>
      <c r="G5" s="205"/>
      <c r="H5" s="205"/>
    </row>
    <row r="6" spans="1:8">
      <c r="A6" s="1">
        <v>4</v>
      </c>
      <c r="B6" s="181" t="s">
        <v>787</v>
      </c>
      <c r="C6" s="15" t="s">
        <v>4</v>
      </c>
      <c r="D6" s="204" t="s">
        <v>797</v>
      </c>
      <c r="E6" s="204"/>
      <c r="F6" s="205" t="s">
        <v>5</v>
      </c>
      <c r="G6" s="205"/>
      <c r="H6" s="205"/>
    </row>
    <row r="7" spans="1:8">
      <c r="A7" s="1">
        <v>5</v>
      </c>
      <c r="B7" s="181" t="s">
        <v>788</v>
      </c>
      <c r="C7" s="15" t="s">
        <v>4</v>
      </c>
      <c r="D7" s="204" t="s">
        <v>798</v>
      </c>
      <c r="E7" s="204"/>
      <c r="F7" s="205" t="s">
        <v>5</v>
      </c>
      <c r="G7" s="205"/>
      <c r="H7" s="205"/>
    </row>
    <row r="8" spans="1:8">
      <c r="A8" s="1">
        <v>6</v>
      </c>
      <c r="B8" s="181" t="s">
        <v>789</v>
      </c>
      <c r="C8" s="15" t="s">
        <v>4</v>
      </c>
      <c r="D8" s="204" t="s">
        <v>797</v>
      </c>
      <c r="E8" s="204"/>
      <c r="F8" s="205" t="s">
        <v>6</v>
      </c>
      <c r="G8" s="205"/>
      <c r="H8" s="205"/>
    </row>
    <row r="9" spans="1:8">
      <c r="A9" s="1">
        <v>7</v>
      </c>
      <c r="B9" s="181" t="s">
        <v>790</v>
      </c>
      <c r="C9" s="15" t="s">
        <v>4</v>
      </c>
      <c r="D9" s="204" t="s">
        <v>798</v>
      </c>
      <c r="E9" s="204"/>
      <c r="F9" s="205" t="s">
        <v>6</v>
      </c>
      <c r="G9" s="205"/>
      <c r="H9" s="205"/>
    </row>
    <row r="10" spans="1:8">
      <c r="A10" s="1">
        <v>8</v>
      </c>
      <c r="B10" s="181" t="s">
        <v>791</v>
      </c>
      <c r="C10" s="15" t="s">
        <v>4</v>
      </c>
      <c r="D10" s="204" t="s">
        <v>795</v>
      </c>
      <c r="E10" s="204"/>
      <c r="F10" s="205" t="s">
        <v>8</v>
      </c>
      <c r="G10" s="205"/>
      <c r="H10" s="205"/>
    </row>
    <row r="11" spans="1:8">
      <c r="A11" s="1">
        <v>9</v>
      </c>
      <c r="B11" s="181" t="s">
        <v>792</v>
      </c>
      <c r="C11" s="15" t="s">
        <v>4</v>
      </c>
      <c r="D11" s="204" t="s">
        <v>796</v>
      </c>
      <c r="E11" s="204"/>
      <c r="F11" s="205" t="s">
        <v>8</v>
      </c>
      <c r="G11" s="205"/>
      <c r="H11" s="205"/>
    </row>
    <row r="12" spans="1:8">
      <c r="A12" s="1">
        <v>10</v>
      </c>
      <c r="B12" s="181" t="s">
        <v>793</v>
      </c>
      <c r="C12" s="15" t="s">
        <v>4</v>
      </c>
      <c r="D12" s="204" t="s">
        <v>795</v>
      </c>
      <c r="E12" s="204"/>
      <c r="F12" s="205" t="s">
        <v>7</v>
      </c>
      <c r="G12" s="205"/>
      <c r="H12" s="205"/>
    </row>
    <row r="13" spans="1:8">
      <c r="A13" s="1">
        <v>11</v>
      </c>
      <c r="B13" s="181" t="s">
        <v>794</v>
      </c>
      <c r="C13" s="15" t="s">
        <v>4</v>
      </c>
      <c r="D13" s="204" t="s">
        <v>796</v>
      </c>
      <c r="E13" s="204"/>
      <c r="F13" s="205" t="s">
        <v>7</v>
      </c>
      <c r="G13" s="205"/>
      <c r="H13" s="205"/>
    </row>
    <row r="14" spans="1:8" s="182" customFormat="1">
      <c r="B14" s="38"/>
      <c r="C14" s="38"/>
      <c r="D14" s="38"/>
    </row>
    <row r="15" spans="1:8" s="182" customFormat="1">
      <c r="B15" s="38"/>
      <c r="C15" s="38"/>
      <c r="D15" s="38"/>
    </row>
    <row r="16" spans="1:8" s="182" customFormat="1">
      <c r="B16" s="178" t="s">
        <v>801</v>
      </c>
      <c r="C16" s="38"/>
      <c r="D16" s="38"/>
    </row>
    <row r="17" spans="2:4" s="182" customFormat="1">
      <c r="B17" s="38" t="s">
        <v>803</v>
      </c>
      <c r="C17" s="38"/>
      <c r="D17" s="38"/>
    </row>
    <row r="18" spans="2:4" s="182" customFormat="1">
      <c r="B18" s="38" t="s">
        <v>804</v>
      </c>
      <c r="C18" s="38"/>
      <c r="D18" s="38"/>
    </row>
    <row r="19" spans="2:4" s="182" customFormat="1">
      <c r="B19" s="38" t="s">
        <v>802</v>
      </c>
      <c r="C19" s="38"/>
      <c r="D19" s="38"/>
    </row>
    <row r="20" spans="2:4" s="182" customFormat="1">
      <c r="B20" s="38"/>
      <c r="C20" s="38"/>
      <c r="D20" s="38"/>
    </row>
    <row r="21" spans="2:4" s="182" customFormat="1">
      <c r="B21" s="183" t="s">
        <v>806</v>
      </c>
    </row>
    <row r="22" spans="2:4" s="182" customFormat="1">
      <c r="B22" s="182" t="s">
        <v>828</v>
      </c>
    </row>
  </sheetData>
  <mergeCells count="25">
    <mergeCell ref="F12:H12"/>
    <mergeCell ref="F13:H13"/>
    <mergeCell ref="F6:H6"/>
    <mergeCell ref="F7:H7"/>
    <mergeCell ref="F8:H8"/>
    <mergeCell ref="F9:H9"/>
    <mergeCell ref="F10:H10"/>
    <mergeCell ref="F11:H11"/>
    <mergeCell ref="D12:E12"/>
    <mergeCell ref="D13:E13"/>
    <mergeCell ref="D3:E3"/>
    <mergeCell ref="D5:E5"/>
    <mergeCell ref="D7:E7"/>
    <mergeCell ref="D8:E8"/>
    <mergeCell ref="D10:E10"/>
    <mergeCell ref="F2:H2"/>
    <mergeCell ref="F3:H3"/>
    <mergeCell ref="F4:H4"/>
    <mergeCell ref="F5:H5"/>
    <mergeCell ref="D11:E11"/>
    <mergeCell ref="D1:E1"/>
    <mergeCell ref="D9:E9"/>
    <mergeCell ref="D2:E2"/>
    <mergeCell ref="D4:E4"/>
    <mergeCell ref="D6:E6"/>
  </mergeCells>
  <conditionalFormatting sqref="B2:C2 F2 B4:C4 B6:C6 B8:C8 B10:C10 B12:C12 B3">
    <cfRule type="containsText" dxfId="16" priority="8" operator="containsText" text="NO CUMPLE">
      <formula>NOT(ISERROR(SEARCH("NO CUMPLE",B2)))</formula>
    </cfRule>
  </conditionalFormatting>
  <conditionalFormatting sqref="C3">
    <cfRule type="containsText" dxfId="15" priority="7" operator="containsText" text="NO CUMPLE">
      <formula>NOT(ISERROR(SEARCH("NO CUMPLE",C3)))</formula>
    </cfRule>
  </conditionalFormatting>
  <conditionalFormatting sqref="B5:C5">
    <cfRule type="containsText" dxfId="14" priority="6" operator="containsText" text="NO CUMPLE">
      <formula>NOT(ISERROR(SEARCH("NO CUMPLE",B5)))</formula>
    </cfRule>
  </conditionalFormatting>
  <conditionalFormatting sqref="B7:C7">
    <cfRule type="containsText" dxfId="13" priority="5" operator="containsText" text="NO CUMPLE">
      <formula>NOT(ISERROR(SEARCH("NO CUMPLE",B7)))</formula>
    </cfRule>
  </conditionalFormatting>
  <conditionalFormatting sqref="B9:C9">
    <cfRule type="containsText" dxfId="12" priority="4" operator="containsText" text="NO CUMPLE">
      <formula>NOT(ISERROR(SEARCH("NO CUMPLE",B9)))</formula>
    </cfRule>
  </conditionalFormatting>
  <conditionalFormatting sqref="B11:C11">
    <cfRule type="containsText" dxfId="11" priority="3" operator="containsText" text="NO CUMPLE">
      <formula>NOT(ISERROR(SEARCH("NO CUMPLE",B11)))</formula>
    </cfRule>
  </conditionalFormatting>
  <conditionalFormatting sqref="B13:C13">
    <cfRule type="containsText" dxfId="10" priority="2" operator="containsText" text="NO CUMPLE">
      <formula>NOT(ISERROR(SEARCH("NO CUMPLE",B13)))</formula>
    </cfRule>
  </conditionalFormatting>
  <conditionalFormatting sqref="F3:F13">
    <cfRule type="containsText" dxfId="9" priority="1" operator="containsText" text="NO CUMPLE">
      <formula>NOT(ISERROR(SEARCH("NO CUMPLE",F3)))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FCD8-E425-40B1-9CDB-7A3EA4128F21}">
  <dimension ref="A1:F54"/>
  <sheetViews>
    <sheetView topLeftCell="A31" zoomScale="115" zoomScaleNormal="115" workbookViewId="0">
      <selection activeCell="C15" sqref="C15"/>
    </sheetView>
  </sheetViews>
  <sheetFormatPr baseColWidth="10" defaultColWidth="11.42578125" defaultRowHeight="15"/>
  <cols>
    <col min="1" max="16384" width="11.42578125" style="1"/>
  </cols>
  <sheetData>
    <row r="1" spans="1:6">
      <c r="B1" s="184" t="s">
        <v>753</v>
      </c>
      <c r="C1" s="185" t="s">
        <v>807</v>
      </c>
    </row>
    <row r="2" spans="1:6">
      <c r="A2" s="1">
        <v>0</v>
      </c>
      <c r="B2" s="186" t="s">
        <v>396</v>
      </c>
      <c r="C2" s="187">
        <f>'Cálculo de cargas'!C45</f>
        <v>3.32</v>
      </c>
      <c r="D2" s="88" t="s">
        <v>4</v>
      </c>
      <c r="E2" s="88" t="s">
        <v>399</v>
      </c>
    </row>
    <row r="3" spans="1:6">
      <c r="A3" s="1">
        <v>1</v>
      </c>
      <c r="B3" s="186" t="s">
        <v>397</v>
      </c>
      <c r="C3" s="187">
        <f>'Cálculo de cargas'!C46</f>
        <v>1.85</v>
      </c>
      <c r="D3" s="88" t="s">
        <v>4</v>
      </c>
      <c r="E3" s="88" t="s">
        <v>400</v>
      </c>
    </row>
    <row r="4" spans="1:6">
      <c r="A4" s="1">
        <v>2</v>
      </c>
      <c r="B4" s="186" t="s">
        <v>398</v>
      </c>
      <c r="C4" s="187">
        <f>'Cálculo de cargas'!C47</f>
        <v>2.2999999999999998</v>
      </c>
      <c r="D4" s="88" t="s">
        <v>4</v>
      </c>
      <c r="E4" s="88" t="s">
        <v>401</v>
      </c>
    </row>
    <row r="5" spans="1:6">
      <c r="A5" s="1">
        <v>3</v>
      </c>
      <c r="B5" s="186" t="s">
        <v>409</v>
      </c>
      <c r="C5" s="187">
        <f>'Cálculo de cargas'!C48</f>
        <v>7.47</v>
      </c>
      <c r="D5" s="88" t="s">
        <v>4</v>
      </c>
      <c r="E5" s="88" t="s">
        <v>410</v>
      </c>
    </row>
    <row r="6" spans="1:6">
      <c r="A6" s="1">
        <v>4</v>
      </c>
      <c r="B6" s="181" t="s">
        <v>402</v>
      </c>
      <c r="C6" s="187">
        <f>'Cálculo de cargas'!C50</f>
        <v>1.31</v>
      </c>
      <c r="D6" s="88" t="s">
        <v>4</v>
      </c>
      <c r="E6" s="88" t="s">
        <v>705</v>
      </c>
      <c r="F6" s="88"/>
    </row>
    <row r="7" spans="1:6">
      <c r="A7" s="1">
        <v>5</v>
      </c>
      <c r="B7" s="181" t="s">
        <v>403</v>
      </c>
      <c r="C7" s="187">
        <f>'Cálculo de cargas'!C51</f>
        <v>0.92500000000000004</v>
      </c>
      <c r="D7" s="88" t="s">
        <v>4</v>
      </c>
      <c r="E7" s="88" t="s">
        <v>405</v>
      </c>
      <c r="F7" s="88"/>
    </row>
    <row r="8" spans="1:6">
      <c r="A8" s="1">
        <v>6</v>
      </c>
      <c r="B8" s="181" t="s">
        <v>404</v>
      </c>
      <c r="C8" s="187">
        <f>'Cálculo de cargas'!C52</f>
        <v>0.91159090909090923</v>
      </c>
      <c r="D8" s="88" t="s">
        <v>4</v>
      </c>
      <c r="E8" s="88" t="s">
        <v>406</v>
      </c>
      <c r="F8" s="88"/>
    </row>
    <row r="9" spans="1:6">
      <c r="A9" s="1">
        <v>7</v>
      </c>
      <c r="B9" s="181" t="s">
        <v>390</v>
      </c>
      <c r="C9" s="187">
        <f>'Cálculo de cargas'!C54</f>
        <v>1118</v>
      </c>
      <c r="D9" s="88" t="s">
        <v>386</v>
      </c>
      <c r="E9" s="88" t="s">
        <v>750</v>
      </c>
    </row>
    <row r="10" spans="1:6">
      <c r="A10" s="1">
        <v>8</v>
      </c>
      <c r="B10" s="181" t="s">
        <v>391</v>
      </c>
      <c r="C10" s="187">
        <f>'Cálculo de cargas'!C55</f>
        <v>158.4</v>
      </c>
      <c r="D10" s="88" t="s">
        <v>386</v>
      </c>
      <c r="E10" s="88" t="s">
        <v>407</v>
      </c>
    </row>
    <row r="11" spans="1:6">
      <c r="A11" s="1">
        <v>9</v>
      </c>
      <c r="B11" s="181" t="s">
        <v>392</v>
      </c>
      <c r="C11" s="189">
        <f>'Cálculo de cargas'!C56</f>
        <v>7668.0000000000009</v>
      </c>
      <c r="D11" s="88" t="s">
        <v>386</v>
      </c>
      <c r="E11" s="88" t="s">
        <v>408</v>
      </c>
    </row>
    <row r="12" spans="1:6">
      <c r="A12" s="1">
        <v>10</v>
      </c>
      <c r="B12" s="181" t="s">
        <v>421</v>
      </c>
      <c r="C12" s="187">
        <f>'Cálculo de cargas'!F72</f>
        <v>0.35333333333333333</v>
      </c>
      <c r="D12" s="88"/>
      <c r="E12" s="88" t="s">
        <v>423</v>
      </c>
    </row>
    <row r="13" spans="1:6">
      <c r="A13" s="1">
        <v>11</v>
      </c>
      <c r="B13" s="181" t="s">
        <v>422</v>
      </c>
      <c r="C13" s="187">
        <f>'Cálculo de cargas'!F73</f>
        <v>0.21199999999999999</v>
      </c>
      <c r="D13" s="88"/>
      <c r="E13" s="88" t="s">
        <v>424</v>
      </c>
    </row>
    <row r="14" spans="1:6" ht="30.75" customHeight="1">
      <c r="A14" s="191">
        <v>12</v>
      </c>
      <c r="B14" s="181" t="s">
        <v>754</v>
      </c>
      <c r="C14" s="188">
        <v>0.3</v>
      </c>
      <c r="D14" s="6" t="s">
        <v>4</v>
      </c>
      <c r="E14" s="10" t="s">
        <v>9</v>
      </c>
    </row>
    <row r="15" spans="1:6" ht="18.75">
      <c r="A15" s="1">
        <v>13</v>
      </c>
      <c r="B15" s="181" t="s">
        <v>755</v>
      </c>
      <c r="C15" s="188">
        <f>'aux1'!B2</f>
        <v>2</v>
      </c>
      <c r="D15" s="6" t="s">
        <v>4</v>
      </c>
      <c r="E15" s="10" t="s">
        <v>10</v>
      </c>
    </row>
    <row r="16" spans="1:6">
      <c r="A16" s="1">
        <v>14</v>
      </c>
      <c r="B16" s="181" t="s">
        <v>349</v>
      </c>
      <c r="C16" s="188">
        <f>'aux1'!B3</f>
        <v>2.5</v>
      </c>
      <c r="D16" s="6" t="s">
        <v>4</v>
      </c>
      <c r="E16" s="10" t="s">
        <v>5</v>
      </c>
    </row>
    <row r="17" spans="1:5">
      <c r="A17" s="1">
        <v>15</v>
      </c>
      <c r="B17" s="181" t="s">
        <v>347</v>
      </c>
      <c r="C17" s="188">
        <f>'aux1'!B4</f>
        <v>1.8</v>
      </c>
      <c r="D17" s="6" t="s">
        <v>4</v>
      </c>
      <c r="E17" s="10" t="s">
        <v>6</v>
      </c>
    </row>
    <row r="18" spans="1:5">
      <c r="A18" s="1">
        <v>16</v>
      </c>
      <c r="B18" s="181" t="s">
        <v>505</v>
      </c>
      <c r="C18" s="188">
        <f>'aux1'!B5</f>
        <v>0.9</v>
      </c>
      <c r="D18" s="6" t="s">
        <v>4</v>
      </c>
      <c r="E18" s="10" t="s">
        <v>8</v>
      </c>
    </row>
    <row r="19" spans="1:5">
      <c r="A19" s="1">
        <v>17</v>
      </c>
      <c r="B19" s="181" t="s">
        <v>554</v>
      </c>
      <c r="C19" s="188">
        <f>'aux1'!B6</f>
        <v>0.9</v>
      </c>
      <c r="D19" s="6" t="s">
        <v>4</v>
      </c>
      <c r="E19" s="10" t="s">
        <v>7</v>
      </c>
    </row>
    <row r="20" spans="1:5" ht="18.75">
      <c r="A20" s="1">
        <v>18</v>
      </c>
      <c r="B20" s="181" t="s">
        <v>756</v>
      </c>
      <c r="C20" s="187">
        <f>'Zapata Método X - Y'!D25</f>
        <v>0.15</v>
      </c>
      <c r="D20" s="6" t="s">
        <v>4</v>
      </c>
      <c r="E20" s="10" t="s">
        <v>537</v>
      </c>
    </row>
    <row r="21" spans="1:5" ht="18.75">
      <c r="A21" s="1">
        <v>19</v>
      </c>
      <c r="B21" s="181" t="s">
        <v>757</v>
      </c>
      <c r="C21" s="187">
        <f>'Zapata Método X - Y'!D26</f>
        <v>0.2</v>
      </c>
      <c r="D21" s="6" t="s">
        <v>4</v>
      </c>
      <c r="E21" s="10" t="s">
        <v>568</v>
      </c>
    </row>
    <row r="22" spans="1:5" ht="18.75">
      <c r="A22" s="1">
        <v>20</v>
      </c>
      <c r="B22" s="181" t="s">
        <v>758</v>
      </c>
      <c r="C22" s="187">
        <f>'Zapata Método X - Y'!D27</f>
        <v>0</v>
      </c>
      <c r="D22" s="6" t="s">
        <v>4</v>
      </c>
      <c r="E22" s="10" t="s">
        <v>12</v>
      </c>
    </row>
    <row r="23" spans="1:5" ht="18.75">
      <c r="A23" s="1">
        <v>21</v>
      </c>
      <c r="B23" s="181" t="s">
        <v>759</v>
      </c>
      <c r="C23" s="187">
        <f>'Zapata Método X - Y'!D29</f>
        <v>1.6500000000000001</v>
      </c>
      <c r="D23" s="6" t="s">
        <v>4</v>
      </c>
      <c r="E23" s="10" t="s">
        <v>11</v>
      </c>
    </row>
    <row r="24" spans="1:5" ht="18.75">
      <c r="A24" s="1">
        <v>22</v>
      </c>
      <c r="B24" s="181" t="s">
        <v>760</v>
      </c>
      <c r="C24" s="187">
        <f>'Zapata Método X - Y'!D30</f>
        <v>2.2999999999999998</v>
      </c>
      <c r="D24" s="6" t="s">
        <v>4</v>
      </c>
      <c r="E24" s="10" t="s">
        <v>13</v>
      </c>
    </row>
    <row r="25" spans="1:5">
      <c r="A25" s="1">
        <v>23</v>
      </c>
      <c r="B25" s="181" t="s">
        <v>761</v>
      </c>
      <c r="C25" s="187">
        <f>'Zapata Método X - Y'!D31</f>
        <v>1.9500000000000002</v>
      </c>
      <c r="D25" s="6" t="s">
        <v>4</v>
      </c>
      <c r="E25" s="10" t="s">
        <v>570</v>
      </c>
    </row>
    <row r="26" spans="1:5" ht="16.5">
      <c r="A26" s="1">
        <v>24</v>
      </c>
      <c r="B26" s="181" t="s">
        <v>762</v>
      </c>
      <c r="C26" s="187">
        <f>'Zapata Método X - Y'!D32</f>
        <v>2.97</v>
      </c>
      <c r="D26" s="6" t="s">
        <v>573</v>
      </c>
      <c r="E26" s="10" t="s">
        <v>574</v>
      </c>
    </row>
    <row r="27" spans="1:5">
      <c r="A27" s="1">
        <v>25</v>
      </c>
      <c r="B27" s="190" t="s">
        <v>808</v>
      </c>
      <c r="C27" s="185">
        <f>Verifications!B2</f>
        <v>1</v>
      </c>
      <c r="E27" s="1" t="str">
        <f>Verifications!C2</f>
        <v>Tensión Admisible, Caso 1</v>
      </c>
    </row>
    <row r="28" spans="1:5">
      <c r="A28" s="1">
        <v>26</v>
      </c>
      <c r="B28" s="190" t="s">
        <v>809</v>
      </c>
      <c r="C28" s="185">
        <f>Verifications!B3</f>
        <v>0</v>
      </c>
      <c r="E28" s="1" t="str">
        <f>Verifications!C3</f>
        <v>Tensión Admisible, Caso 2</v>
      </c>
    </row>
    <row r="29" spans="1:5">
      <c r="A29" s="1">
        <v>27</v>
      </c>
      <c r="B29" s="190" t="s">
        <v>810</v>
      </c>
      <c r="C29" s="185">
        <f>Verifications!B4</f>
        <v>1</v>
      </c>
      <c r="E29" s="1" t="str">
        <f>Verifications!C4</f>
        <v>Volcamiento, Caso 1a</v>
      </c>
    </row>
    <row r="30" spans="1:5">
      <c r="A30" s="1">
        <v>28</v>
      </c>
      <c r="B30" s="190" t="s">
        <v>811</v>
      </c>
      <c r="C30" s="185">
        <f>Verifications!B5</f>
        <v>1</v>
      </c>
      <c r="E30" s="1" t="str">
        <f>Verifications!C5</f>
        <v>Volcamiento, Caso 1b</v>
      </c>
    </row>
    <row r="31" spans="1:5">
      <c r="A31" s="1">
        <v>29</v>
      </c>
      <c r="B31" s="190" t="s">
        <v>812</v>
      </c>
      <c r="C31" s="185">
        <f>Verifications!B6</f>
        <v>1</v>
      </c>
      <c r="E31" s="1" t="str">
        <f>Verifications!C6</f>
        <v>Volcamiento, Caso 1c</v>
      </c>
    </row>
    <row r="32" spans="1:5">
      <c r="A32" s="1">
        <v>30</v>
      </c>
      <c r="B32" s="190" t="s">
        <v>813</v>
      </c>
      <c r="C32" s="185">
        <f>Verifications!B7</f>
        <v>1</v>
      </c>
      <c r="E32" s="1" t="str">
        <f>Verifications!C7</f>
        <v>Volcamiento, Caso 1d</v>
      </c>
    </row>
    <row r="33" spans="1:5">
      <c r="A33" s="1">
        <v>31</v>
      </c>
      <c r="B33" s="190" t="s">
        <v>814</v>
      </c>
      <c r="C33" s="185">
        <f>Verifications!B8</f>
        <v>0</v>
      </c>
      <c r="E33" s="1" t="str">
        <f>Verifications!C8</f>
        <v>Volcamiento, Caso 2a</v>
      </c>
    </row>
    <row r="34" spans="1:5">
      <c r="A34" s="1">
        <v>32</v>
      </c>
      <c r="B34" s="190" t="s">
        <v>815</v>
      </c>
      <c r="C34" s="185">
        <f>Verifications!B9</f>
        <v>0</v>
      </c>
      <c r="E34" s="1" t="str">
        <f>Verifications!C9</f>
        <v>Volcamiento, Caso 2b</v>
      </c>
    </row>
    <row r="35" spans="1:5">
      <c r="A35" s="1">
        <v>33</v>
      </c>
      <c r="B35" s="190" t="s">
        <v>816</v>
      </c>
      <c r="C35" s="185">
        <f>Verifications!B10</f>
        <v>0</v>
      </c>
      <c r="E35" s="1" t="str">
        <f>Verifications!C10</f>
        <v>Volcamiento, Caso 2c</v>
      </c>
    </row>
    <row r="36" spans="1:5">
      <c r="A36" s="1">
        <v>34</v>
      </c>
      <c r="B36" s="190" t="s">
        <v>817</v>
      </c>
      <c r="C36" s="185">
        <f>Verifications!B11</f>
        <v>0</v>
      </c>
      <c r="E36" s="1" t="str">
        <f>Verifications!C11</f>
        <v>Volcamiento, Caso 2d</v>
      </c>
    </row>
    <row r="37" spans="1:5">
      <c r="A37" s="1">
        <v>35</v>
      </c>
      <c r="B37" s="190" t="s">
        <v>818</v>
      </c>
      <c r="C37" s="185">
        <f>Verifications!B12</f>
        <v>0</v>
      </c>
      <c r="E37" s="1" t="str">
        <f>Verifications!C12</f>
        <v>Volcamiento, Caso 2e</v>
      </c>
    </row>
    <row r="38" spans="1:5">
      <c r="A38" s="1">
        <v>36</v>
      </c>
      <c r="B38" s="190" t="s">
        <v>819</v>
      </c>
      <c r="C38" s="185">
        <f>Verifications!B13</f>
        <v>0</v>
      </c>
      <c r="E38" s="1" t="str">
        <f>Verifications!C13</f>
        <v>Volcamiento, Caso 2f</v>
      </c>
    </row>
    <row r="39" spans="1:5">
      <c r="A39" s="1">
        <v>37</v>
      </c>
      <c r="B39" s="190" t="s">
        <v>820</v>
      </c>
      <c r="C39" s="185">
        <f>Verifications!B14</f>
        <v>0</v>
      </c>
      <c r="E39" s="1" t="str">
        <f>Verifications!C14</f>
        <v>Volcamiento, Caso 2g</v>
      </c>
    </row>
    <row r="40" spans="1:5">
      <c r="A40" s="1">
        <v>38</v>
      </c>
      <c r="B40" s="190" t="s">
        <v>821</v>
      </c>
      <c r="C40" s="185">
        <f>Verifications!B15</f>
        <v>0</v>
      </c>
      <c r="E40" s="1" t="str">
        <f>Verifications!C15</f>
        <v>Volcamiento, Caso 2h</v>
      </c>
    </row>
    <row r="41" spans="1:5">
      <c r="A41" s="1">
        <v>39</v>
      </c>
      <c r="B41" s="190" t="s">
        <v>822</v>
      </c>
      <c r="C41" s="185">
        <f>Verifications!B16</f>
        <v>0</v>
      </c>
      <c r="E41" s="1" t="str">
        <f>Verifications!C16</f>
        <v>Volcamiento, Caso 2i</v>
      </c>
    </row>
    <row r="42" spans="1:5">
      <c r="A42" s="1">
        <v>40</v>
      </c>
      <c r="B42" s="190" t="s">
        <v>823</v>
      </c>
      <c r="C42" s="185">
        <f>Verifications!B17</f>
        <v>0</v>
      </c>
      <c r="E42" s="1" t="str">
        <f>Verifications!C17</f>
        <v>Volcamiento, Caso 2j</v>
      </c>
    </row>
    <row r="43" spans="1:5">
      <c r="A43" s="1">
        <v>41</v>
      </c>
      <c r="B43" s="190" t="s">
        <v>824</v>
      </c>
      <c r="C43" s="185">
        <f>Verifications!B18</f>
        <v>0</v>
      </c>
      <c r="E43" s="1" t="str">
        <f>Verifications!C18</f>
        <v>Volcamiento, Caso 2k</v>
      </c>
    </row>
    <row r="44" spans="1:5">
      <c r="A44" s="1">
        <v>42</v>
      </c>
      <c r="B44" s="190" t="s">
        <v>825</v>
      </c>
      <c r="C44" s="185">
        <f>Verifications!B19</f>
        <v>0</v>
      </c>
      <c r="E44" s="1" t="str">
        <f>Verifications!C19</f>
        <v>Volcamiento, Caso 2l</v>
      </c>
    </row>
    <row r="45" spans="1:5">
      <c r="A45" s="1">
        <v>43</v>
      </c>
      <c r="B45" s="190" t="s">
        <v>826</v>
      </c>
      <c r="C45" s="185">
        <f>Verifications!B20</f>
        <v>1</v>
      </c>
      <c r="E45" s="1" t="str">
        <f>Verifications!C20</f>
        <v>Estabilidad al deslizamiento</v>
      </c>
    </row>
    <row r="46" spans="1:5">
      <c r="A46" s="1">
        <v>44</v>
      </c>
      <c r="B46" s="190" t="s">
        <v>827</v>
      </c>
      <c r="C46" s="185">
        <f>Verifications!B21</f>
        <v>1.3041210224308815</v>
      </c>
      <c r="E46" s="1" t="str">
        <f>Verifications!C21</f>
        <v>10.000 veces el inverso del Peso de la fundación (ideal normalizar)</v>
      </c>
    </row>
    <row r="50" s="182" customFormat="1"/>
    <row r="51" s="182" customFormat="1"/>
    <row r="52" s="182" customFormat="1"/>
    <row r="53" s="182" customFormat="1"/>
    <row r="54" s="182" customFormat="1"/>
  </sheetData>
  <phoneticPr fontId="42" type="noConversion"/>
  <conditionalFormatting sqref="B14:E26">
    <cfRule type="containsText" dxfId="8" priority="12" operator="containsText" text="NO CUMPLE">
      <formula>NOT(ISERROR(SEARCH("NO CUMPLE",B14)))</formula>
    </cfRule>
  </conditionalFormatting>
  <conditionalFormatting sqref="C14:C22">
    <cfRule type="containsText" dxfId="7" priority="11" operator="containsText" text="NO CUMPLE">
      <formula>NOT(ISERROR(SEARCH("NO CUMPLE",C14)))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EBA5-F107-40C9-A68F-6EBC613AA051}">
  <dimension ref="A1:J8"/>
  <sheetViews>
    <sheetView tabSelected="1" workbookViewId="0">
      <selection activeCell="H1" sqref="H1:H6"/>
    </sheetView>
  </sheetViews>
  <sheetFormatPr baseColWidth="10" defaultRowHeight="15"/>
  <cols>
    <col min="3" max="3" width="6.28515625" customWidth="1"/>
  </cols>
  <sheetData>
    <row r="1" spans="1:10" ht="18.75">
      <c r="A1" s="181" t="s">
        <v>754</v>
      </c>
      <c r="B1" s="188">
        <v>0.4</v>
      </c>
      <c r="C1" s="6" t="s">
        <v>4</v>
      </c>
      <c r="D1" s="10" t="s">
        <v>9</v>
      </c>
      <c r="H1">
        <v>0.4</v>
      </c>
      <c r="I1">
        <v>0.3</v>
      </c>
      <c r="J1">
        <v>0.4</v>
      </c>
    </row>
    <row r="2" spans="1:10" ht="18.75">
      <c r="A2" s="181" t="s">
        <v>755</v>
      </c>
      <c r="B2" s="188">
        <v>2</v>
      </c>
      <c r="C2" s="6" t="s">
        <v>4</v>
      </c>
      <c r="D2" s="10" t="s">
        <v>10</v>
      </c>
      <c r="H2">
        <v>2</v>
      </c>
      <c r="I2">
        <v>1.7</v>
      </c>
      <c r="J2">
        <v>2.2000000000000002</v>
      </c>
    </row>
    <row r="3" spans="1:10">
      <c r="A3" s="181" t="s">
        <v>349</v>
      </c>
      <c r="B3" s="188">
        <v>2.5</v>
      </c>
      <c r="C3" s="6" t="s">
        <v>4</v>
      </c>
      <c r="D3" s="10" t="s">
        <v>5</v>
      </c>
      <c r="H3">
        <v>2.5</v>
      </c>
      <c r="I3">
        <v>2.2000000000000002</v>
      </c>
      <c r="J3">
        <v>2.5</v>
      </c>
    </row>
    <row r="4" spans="1:10">
      <c r="A4" s="181" t="s">
        <v>347</v>
      </c>
      <c r="B4" s="188">
        <v>1.8</v>
      </c>
      <c r="C4" s="6" t="s">
        <v>4</v>
      </c>
      <c r="D4" s="10" t="s">
        <v>6</v>
      </c>
      <c r="H4">
        <v>1.8</v>
      </c>
      <c r="I4">
        <v>1.8</v>
      </c>
      <c r="J4">
        <v>1.4999999999999998</v>
      </c>
    </row>
    <row r="5" spans="1:10">
      <c r="A5" s="181" t="s">
        <v>505</v>
      </c>
      <c r="B5" s="188">
        <v>0.9</v>
      </c>
      <c r="C5" s="6" t="s">
        <v>4</v>
      </c>
      <c r="D5" s="10" t="s">
        <v>8</v>
      </c>
      <c r="H5">
        <v>0.9</v>
      </c>
      <c r="I5">
        <v>0.8</v>
      </c>
      <c r="J5">
        <v>0.9</v>
      </c>
    </row>
    <row r="6" spans="1:10">
      <c r="A6" s="181" t="s">
        <v>554</v>
      </c>
      <c r="B6" s="188">
        <v>0.9</v>
      </c>
      <c r="C6" s="6" t="s">
        <v>4</v>
      </c>
      <c r="D6" s="10" t="s">
        <v>7</v>
      </c>
      <c r="H6">
        <v>0.9</v>
      </c>
      <c r="I6">
        <v>0.7</v>
      </c>
      <c r="J6">
        <v>0.9</v>
      </c>
    </row>
    <row r="7" spans="1:10">
      <c r="H7" t="s">
        <v>830</v>
      </c>
      <c r="I7" t="s">
        <v>829</v>
      </c>
      <c r="J7" t="s">
        <v>831</v>
      </c>
    </row>
    <row r="8" spans="1:10">
      <c r="H8">
        <v>1.3</v>
      </c>
      <c r="I8">
        <v>1.78</v>
      </c>
      <c r="J8">
        <v>1.35</v>
      </c>
    </row>
  </sheetData>
  <conditionalFormatting sqref="A1:D6">
    <cfRule type="containsText" dxfId="6" priority="2" operator="containsText" text="NO CUMPLE">
      <formula>NOT(ISERROR(SEARCH("NO CUMPLE",A1)))</formula>
    </cfRule>
  </conditionalFormatting>
  <conditionalFormatting sqref="B1:B6">
    <cfRule type="containsText" dxfId="5" priority="1" operator="containsText" text="NO CUMPLE">
      <formula>NOT(ISERROR(SEARCH("NO CUMPLE",B1)))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431A-C807-470B-B282-B70C69484F87}">
  <dimension ref="A1:D21"/>
  <sheetViews>
    <sheetView workbookViewId="0">
      <selection activeCell="B2" sqref="B2"/>
    </sheetView>
  </sheetViews>
  <sheetFormatPr baseColWidth="10" defaultRowHeight="15"/>
  <sheetData>
    <row r="1" spans="1:4">
      <c r="A1" s="1"/>
      <c r="B1" s="178" t="s">
        <v>763</v>
      </c>
      <c r="C1" s="9"/>
      <c r="D1" s="88"/>
    </row>
    <row r="2" spans="1:4">
      <c r="A2" s="1">
        <v>0</v>
      </c>
      <c r="B2" s="9">
        <f>IF('Zapata Método X - Y'!K86="CUMPLE", 1, IF('Zapata Método X - Y'!K86="NO CUMPLE",-1,0))</f>
        <v>1</v>
      </c>
      <c r="C2" s="38" t="s">
        <v>764</v>
      </c>
      <c r="D2" s="88"/>
    </row>
    <row r="3" spans="1:4">
      <c r="A3" s="1">
        <v>1</v>
      </c>
      <c r="B3" s="9">
        <f>IF('Zapata Método X - Y'!K108="CUMPLE", 1, IF('Zapata Método X - Y'!K108="NO CUMPLE",-1,0))</f>
        <v>0</v>
      </c>
      <c r="C3" s="38" t="s">
        <v>765</v>
      </c>
      <c r="D3" s="88"/>
    </row>
    <row r="4" spans="1:4">
      <c r="A4" s="1">
        <v>2</v>
      </c>
      <c r="B4" s="9">
        <f>IF('Zapata Método X - Y'!L124="CUMPLE", 1, IF('Zapata Método X - Y'!L124="NO CUMPLE",-1,0))</f>
        <v>1</v>
      </c>
      <c r="C4" s="38" t="s">
        <v>766</v>
      </c>
      <c r="D4" s="88"/>
    </row>
    <row r="5" spans="1:4">
      <c r="A5" s="1">
        <v>3</v>
      </c>
      <c r="B5" s="9">
        <f>IF('Zapata Método X - Y'!L127="CUMPLE", 1, IF('Zapata Método X - Y'!L127="NO CUMPLE",-1,0))</f>
        <v>1</v>
      </c>
      <c r="C5" s="38" t="s">
        <v>767</v>
      </c>
      <c r="D5" s="88"/>
    </row>
    <row r="6" spans="1:4">
      <c r="A6" s="1">
        <v>4</v>
      </c>
      <c r="B6" s="9">
        <f>IF('Zapata Método X - Y'!L137="CUMPLE", 1, IF('Zapata Método X - Y'!L137="NO CUMPLE",-1,0))</f>
        <v>1</v>
      </c>
      <c r="C6" s="38" t="s">
        <v>768</v>
      </c>
      <c r="D6" s="88"/>
    </row>
    <row r="7" spans="1:4">
      <c r="A7" s="1">
        <v>5</v>
      </c>
      <c r="B7" s="9">
        <f>IF('Zapata Método X - Y'!L139="CUMPLE", 1, IF('Zapata Método X - Y'!L139="NO CUMPLE",-1,0))</f>
        <v>1</v>
      </c>
      <c r="C7" s="38" t="s">
        <v>769</v>
      </c>
      <c r="D7" s="88"/>
    </row>
    <row r="8" spans="1:4">
      <c r="A8" s="1">
        <v>6</v>
      </c>
      <c r="B8" s="9">
        <f>IF('Zapata Método X - Y'!P148="CUMPLE", 1, IF('Zapata Método X - Y'!P148="NO CUMPLE",-1,0))</f>
        <v>0</v>
      </c>
      <c r="C8" s="38" t="s">
        <v>770</v>
      </c>
      <c r="D8" s="88"/>
    </row>
    <row r="9" spans="1:4">
      <c r="A9" s="1">
        <v>7</v>
      </c>
      <c r="B9" s="9">
        <f>IF('Zapata Método X - Y'!P150="CUMPLE", 1, IF('Zapata Método X - Y'!P150="NO CUMPLE",-1,0))</f>
        <v>0</v>
      </c>
      <c r="C9" s="38" t="s">
        <v>771</v>
      </c>
      <c r="D9" s="88"/>
    </row>
    <row r="10" spans="1:4">
      <c r="A10" s="1">
        <v>8</v>
      </c>
      <c r="B10" s="9">
        <f>IF('Zapata Método X - Y'!P153="CUMPLE", 1, IF('Zapata Método X - Y'!P153="NO CUMPLE",-1,0))</f>
        <v>0</v>
      </c>
      <c r="C10" s="38" t="s">
        <v>772</v>
      </c>
      <c r="D10" s="88"/>
    </row>
    <row r="11" spans="1:4">
      <c r="A11" s="1">
        <v>9</v>
      </c>
      <c r="B11" s="9">
        <f>IF('Zapata Método X - Y'!P156="CUMPLE", 1, IF('Zapata Método X - Y'!P156="NO CUMPLE",-1,0))</f>
        <v>0</v>
      </c>
      <c r="C11" s="38" t="s">
        <v>773</v>
      </c>
      <c r="D11" s="88"/>
    </row>
    <row r="12" spans="1:4">
      <c r="A12" s="1">
        <v>10</v>
      </c>
      <c r="B12" s="9">
        <f>IF('Zapata Método X - Y'!N168="CUMPLE", 1, IF('Zapata Método X - Y'!N168="NO CUMPLE",-1,0))</f>
        <v>0</v>
      </c>
      <c r="C12" s="38" t="s">
        <v>774</v>
      </c>
      <c r="D12" s="88"/>
    </row>
    <row r="13" spans="1:4">
      <c r="A13" s="1">
        <v>11</v>
      </c>
      <c r="B13" s="9">
        <f>IF('Zapata Método X - Y'!N170="CUMPLE", 1, IF('Zapata Método X - Y'!N170="NO CUMPLE",-1,0))</f>
        <v>0</v>
      </c>
      <c r="C13" s="38" t="s">
        <v>775</v>
      </c>
      <c r="D13" s="88"/>
    </row>
    <row r="14" spans="1:4">
      <c r="A14" s="1">
        <v>12</v>
      </c>
      <c r="B14" s="9">
        <f>IF('Zapata Método X - Y'!N175="CUMPLE", 1, IF('Zapata Método X - Y'!N175="NO CUMPLE",-1,0))</f>
        <v>0</v>
      </c>
      <c r="C14" s="38" t="s">
        <v>776</v>
      </c>
      <c r="D14" s="88"/>
    </row>
    <row r="15" spans="1:4">
      <c r="A15" s="1">
        <v>13</v>
      </c>
      <c r="B15" s="9">
        <f>IF('Zapata Método X - Y'!N177="CUMPLE", 1, IF('Zapata Método X - Y'!N177="NO CUMPLE",-1,0))</f>
        <v>0</v>
      </c>
      <c r="C15" s="38" t="s">
        <v>777</v>
      </c>
      <c r="D15" s="88"/>
    </row>
    <row r="16" spans="1:4">
      <c r="A16" s="1">
        <v>14</v>
      </c>
      <c r="B16" s="9">
        <f>IF('Zapata Método X - Y'!N180="CUMPLE", 1, IF('Zapata Método X - Y'!N180="NO CUMPLE",-1,0))</f>
        <v>0</v>
      </c>
      <c r="C16" s="38" t="s">
        <v>778</v>
      </c>
      <c r="D16" s="88"/>
    </row>
    <row r="17" spans="1:4">
      <c r="A17" s="1">
        <v>15</v>
      </c>
      <c r="B17" s="9">
        <f>IF('Zapata Método X - Y'!N182="CUMPLE", 1, IF('Zapata Método X - Y'!N182="NO CUMPLE",-1,0))</f>
        <v>0</v>
      </c>
      <c r="C17" s="38" t="s">
        <v>779</v>
      </c>
      <c r="D17" s="88"/>
    </row>
    <row r="18" spans="1:4">
      <c r="A18" s="1">
        <v>16</v>
      </c>
      <c r="B18" s="9">
        <f>IF('Zapata Método X - Y'!O194="CUMPLE", 1, IF('Zapata Método X - Y'!O194="NO CUMPLE",-1,0))</f>
        <v>0</v>
      </c>
      <c r="C18" s="38" t="s">
        <v>780</v>
      </c>
      <c r="D18" s="88"/>
    </row>
    <row r="19" spans="1:4">
      <c r="A19" s="1">
        <v>17</v>
      </c>
      <c r="B19" s="9">
        <f>IF('Zapata Método X - Y'!O196="CUMPLE", 1, IF('Zapata Método X - Y'!O196="NO CUMPLE",-1,0))</f>
        <v>0</v>
      </c>
      <c r="C19" s="38" t="s">
        <v>781</v>
      </c>
      <c r="D19" s="88"/>
    </row>
    <row r="20" spans="1:4">
      <c r="A20" s="1">
        <v>18</v>
      </c>
      <c r="B20" s="9">
        <f>IF('Zapata Método X - Y'!I217&gt;1,1,-1)</f>
        <v>1</v>
      </c>
      <c r="C20" s="38" t="s">
        <v>782</v>
      </c>
      <c r="D20" s="88"/>
    </row>
    <row r="21" spans="1:4">
      <c r="A21" s="1">
        <v>19</v>
      </c>
      <c r="B21" s="20">
        <f>1/State!C11*10000</f>
        <v>1.3041210224308815</v>
      </c>
      <c r="C21" s="38" t="s">
        <v>805</v>
      </c>
      <c r="D21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U257"/>
  <sheetViews>
    <sheetView view="pageBreakPreview" topLeftCell="A61" zoomScaleNormal="85" zoomScaleSheetLayoutView="100" workbookViewId="0">
      <selection activeCell="L131" sqref="L131"/>
    </sheetView>
  </sheetViews>
  <sheetFormatPr baseColWidth="10" defaultColWidth="8.42578125" defaultRowHeight="16.5" customHeight="1"/>
  <cols>
    <col min="1" max="1" width="3.42578125" style="76" customWidth="1"/>
    <col min="2" max="2" width="2.42578125" style="22" customWidth="1"/>
    <col min="3" max="3" width="10.28515625" style="22" bestFit="1" customWidth="1"/>
    <col min="4" max="4" width="14.140625" style="22" customWidth="1"/>
    <col min="5" max="6" width="12.7109375" style="22" bestFit="1" customWidth="1"/>
    <col min="7" max="9" width="8.42578125" style="22"/>
    <col min="10" max="10" width="10.28515625" style="22" bestFit="1" customWidth="1"/>
    <col min="11" max="11" width="8.42578125" style="22"/>
    <col min="12" max="12" width="9.42578125" style="22" bestFit="1" customWidth="1"/>
    <col min="13" max="15" width="8.42578125" style="22"/>
    <col min="16" max="16" width="2.85546875" style="22" customWidth="1"/>
    <col min="17" max="16384" width="8.42578125" style="22"/>
  </cols>
  <sheetData>
    <row r="1" spans="1:13" ht="16.5" customHeight="1">
      <c r="A1" s="47"/>
    </row>
    <row r="2" spans="1:13" ht="16.5" customHeight="1">
      <c r="A2" s="47"/>
      <c r="C2" s="21" t="s">
        <v>466</v>
      </c>
    </row>
    <row r="3" spans="1:13" ht="16.5" customHeight="1">
      <c r="A3" s="47"/>
    </row>
    <row r="4" spans="1:13" ht="16.5" customHeight="1">
      <c r="A4" s="47"/>
      <c r="I4" s="52"/>
      <c r="J4" s="41"/>
    </row>
    <row r="5" spans="1:13" ht="16.5" customHeight="1">
      <c r="A5" s="47"/>
      <c r="D5" s="49"/>
      <c r="I5" s="52"/>
      <c r="J5" s="73"/>
    </row>
    <row r="6" spans="1:13" ht="16.5" customHeight="1">
      <c r="A6" s="47"/>
      <c r="C6" s="100"/>
      <c r="D6" s="100"/>
      <c r="E6" s="100"/>
      <c r="F6" s="105" t="s">
        <v>486</v>
      </c>
      <c r="G6" s="47">
        <v>200</v>
      </c>
      <c r="H6" s="100" t="s">
        <v>488</v>
      </c>
      <c r="I6" s="63" t="s">
        <v>571</v>
      </c>
      <c r="J6" s="100"/>
      <c r="K6" s="100"/>
    </row>
    <row r="7" spans="1:13" ht="16.5" customHeight="1">
      <c r="A7" s="47"/>
      <c r="C7" s="100"/>
      <c r="D7" s="100"/>
      <c r="E7" s="100"/>
      <c r="F7" s="105" t="s">
        <v>487</v>
      </c>
      <c r="G7" s="47">
        <v>4200</v>
      </c>
      <c r="H7" s="100" t="s">
        <v>488</v>
      </c>
      <c r="I7" s="63" t="s">
        <v>751</v>
      </c>
      <c r="J7" s="100"/>
      <c r="K7" s="100"/>
    </row>
    <row r="8" spans="1:13" ht="16.5" customHeight="1">
      <c r="A8" s="47"/>
      <c r="C8" s="100"/>
      <c r="D8" s="100"/>
      <c r="E8" s="100"/>
      <c r="F8" s="100"/>
      <c r="G8" s="100"/>
      <c r="H8" s="105"/>
      <c r="I8" s="47"/>
      <c r="J8" s="100"/>
      <c r="K8" s="63"/>
      <c r="L8" s="100"/>
      <c r="M8" s="100"/>
    </row>
    <row r="9" spans="1:13" ht="16.5" customHeight="1">
      <c r="A9" s="47"/>
      <c r="C9" s="100"/>
      <c r="D9" s="100"/>
      <c r="E9" s="100"/>
      <c r="F9" s="100"/>
      <c r="G9" s="100"/>
      <c r="H9" s="105"/>
      <c r="I9" s="47"/>
      <c r="J9" s="100"/>
      <c r="K9" s="63"/>
      <c r="L9" s="100"/>
      <c r="M9" s="100"/>
    </row>
    <row r="10" spans="1:13" ht="16.5" customHeight="1">
      <c r="A10" s="47"/>
      <c r="C10" s="100"/>
      <c r="D10" s="100"/>
      <c r="E10" s="100"/>
      <c r="F10" s="100"/>
      <c r="G10" s="100"/>
      <c r="H10" s="105"/>
      <c r="I10" s="47"/>
      <c r="J10" s="100"/>
      <c r="K10" s="63"/>
      <c r="L10" s="100"/>
      <c r="M10" s="100"/>
    </row>
    <row r="11" spans="1:13" ht="16.5" customHeight="1">
      <c r="A11" s="47"/>
      <c r="C11" s="100"/>
      <c r="D11" s="100"/>
      <c r="E11" s="100"/>
      <c r="F11" s="100"/>
      <c r="G11" s="100"/>
      <c r="H11" s="105"/>
      <c r="I11" s="47"/>
      <c r="J11" s="100"/>
      <c r="K11" s="63"/>
      <c r="L11" s="100"/>
      <c r="M11" s="100"/>
    </row>
    <row r="12" spans="1:13" ht="16.5" customHeight="1">
      <c r="A12" s="47"/>
      <c r="C12" s="100"/>
      <c r="D12" s="100"/>
      <c r="E12" s="100"/>
      <c r="F12" s="100"/>
      <c r="G12" s="100"/>
      <c r="H12" s="105"/>
      <c r="I12" s="47"/>
      <c r="J12" s="100"/>
      <c r="K12" s="63"/>
      <c r="L12" s="100"/>
      <c r="M12" s="100"/>
    </row>
    <row r="13" spans="1:13" ht="16.5" customHeight="1">
      <c r="A13" s="47"/>
      <c r="D13" s="41"/>
      <c r="I13" s="52"/>
      <c r="J13" s="42"/>
    </row>
    <row r="14" spans="1:13" ht="16.5" customHeight="1">
      <c r="A14" s="47"/>
      <c r="D14" s="52"/>
      <c r="E14" s="54"/>
      <c r="I14" s="52"/>
      <c r="J14" s="42"/>
    </row>
    <row r="15" spans="1:13" ht="16.5" customHeight="1">
      <c r="A15" s="47"/>
      <c r="D15" s="52"/>
      <c r="E15" s="54"/>
      <c r="I15" s="52"/>
      <c r="J15" s="42"/>
    </row>
    <row r="16" spans="1:13" ht="16.5" customHeight="1">
      <c r="A16" s="47"/>
      <c r="C16" s="102" t="s">
        <v>467</v>
      </c>
      <c r="D16" s="85"/>
    </row>
    <row r="17" spans="1:14" ht="16.5" customHeight="1">
      <c r="A17" s="47"/>
      <c r="C17" s="102"/>
      <c r="D17" s="85"/>
    </row>
    <row r="18" spans="1:14" ht="16.5" customHeight="1">
      <c r="A18" s="47"/>
      <c r="C18" s="52" t="s">
        <v>739</v>
      </c>
      <c r="D18" s="41">
        <v>7.5</v>
      </c>
      <c r="E18" s="22" t="s">
        <v>353</v>
      </c>
      <c r="F18" s="22" t="s">
        <v>740</v>
      </c>
    </row>
    <row r="19" spans="1:14" ht="16.5" customHeight="1">
      <c r="A19" s="47"/>
      <c r="C19" s="52" t="s">
        <v>385</v>
      </c>
      <c r="D19" s="103">
        <f>('Zapata Método X - Y'!D19)*100-D18</f>
        <v>22.5</v>
      </c>
      <c r="E19" s="22" t="s">
        <v>353</v>
      </c>
      <c r="F19" s="22" t="s">
        <v>469</v>
      </c>
      <c r="I19" s="52"/>
      <c r="J19" s="83"/>
    </row>
    <row r="20" spans="1:14" ht="16.5" customHeight="1">
      <c r="A20" s="47"/>
      <c r="C20" s="52" t="s">
        <v>347</v>
      </c>
      <c r="D20" s="103">
        <f>'Zapata Método X - Y'!D22*100</f>
        <v>180</v>
      </c>
      <c r="E20" s="22" t="s">
        <v>353</v>
      </c>
      <c r="F20" s="22" t="s">
        <v>470</v>
      </c>
      <c r="I20" s="176"/>
      <c r="J20" s="177"/>
      <c r="K20" s="61"/>
      <c r="L20" s="61"/>
      <c r="M20" s="61"/>
      <c r="N20" s="61"/>
    </row>
    <row r="21" spans="1:14" ht="16.5" customHeight="1">
      <c r="A21" s="47"/>
      <c r="C21" s="52" t="s">
        <v>468</v>
      </c>
      <c r="D21" s="103">
        <f>('Zapata Método X - Y'!D21-'Zapata Método X - Y'!D23)/2*100</f>
        <v>80</v>
      </c>
      <c r="E21" s="22" t="s">
        <v>353</v>
      </c>
      <c r="F21" s="22" t="s">
        <v>471</v>
      </c>
      <c r="I21" s="52"/>
      <c r="J21" s="83"/>
    </row>
    <row r="22" spans="1:14" ht="16.5" customHeight="1">
      <c r="A22" s="47"/>
      <c r="C22" s="52"/>
      <c r="D22" s="72"/>
      <c r="I22" s="52"/>
      <c r="J22" s="83"/>
      <c r="N22" s="83"/>
    </row>
    <row r="23" spans="1:14" ht="16.5" customHeight="1">
      <c r="A23" s="47"/>
      <c r="C23" s="36" t="s">
        <v>472</v>
      </c>
    </row>
    <row r="24" spans="1:14" ht="16.5" customHeight="1">
      <c r="A24" s="47"/>
      <c r="C24" s="52"/>
      <c r="D24" s="86"/>
      <c r="J24" s="47"/>
    </row>
    <row r="25" spans="1:14" ht="16.5" customHeight="1">
      <c r="A25" s="47"/>
      <c r="C25" s="52" t="s">
        <v>473</v>
      </c>
      <c r="D25" s="82">
        <f>('Zapata Método X - Y'!D47*'Zapata Método X - Y'!D29+'Zapata Método X - Y'!D19*'Zapata Método X - Y'!D43)*D20*0.01</f>
        <v>7.2360000000000015</v>
      </c>
      <c r="E25" s="22" t="s">
        <v>477</v>
      </c>
      <c r="F25" s="22" t="s">
        <v>490</v>
      </c>
      <c r="J25" s="74"/>
    </row>
    <row r="26" spans="1:14" ht="16.5" customHeight="1">
      <c r="A26" s="47"/>
      <c r="C26" s="32" t="s">
        <v>482</v>
      </c>
      <c r="D26" s="103">
        <f>(IF('Zapata Método X - Y'!A66=1,'Zapata Método X - Y'!D85,'Zapata Método X - Y'!D107))*D20*0.01</f>
        <v>21.52674</v>
      </c>
      <c r="E26" s="22" t="s">
        <v>477</v>
      </c>
    </row>
    <row r="27" spans="1:14" ht="16.5" customHeight="1">
      <c r="A27" s="47"/>
      <c r="C27" s="32" t="s">
        <v>481</v>
      </c>
      <c r="D27" s="103">
        <f>D26</f>
        <v>21.52674</v>
      </c>
      <c r="E27" s="22" t="s">
        <v>477</v>
      </c>
      <c r="F27" s="22" t="s">
        <v>474</v>
      </c>
    </row>
    <row r="28" spans="1:14" ht="16.5" customHeight="1">
      <c r="A28" s="47"/>
      <c r="D28" s="46"/>
      <c r="E28" s="49"/>
      <c r="F28" s="47"/>
      <c r="H28" s="43"/>
    </row>
    <row r="29" spans="1:14" ht="16.5" customHeight="1">
      <c r="A29" s="47"/>
      <c r="C29" s="52" t="s">
        <v>475</v>
      </c>
      <c r="D29" s="86">
        <f>(D27-D25)*(D21*0.01)^2/2+(D26-D27)*(D21*0.01)^2/3</f>
        <v>4.5730368000000006</v>
      </c>
      <c r="E29" s="22" t="s">
        <v>369</v>
      </c>
      <c r="F29" s="22" t="s">
        <v>741</v>
      </c>
    </row>
    <row r="30" spans="1:14" ht="16.5" customHeight="1">
      <c r="A30" s="47"/>
      <c r="C30" s="52" t="s">
        <v>476</v>
      </c>
      <c r="D30" s="104">
        <f>(D27-D25)*0.01*D21+(D26-D27)*0.01*D21/2</f>
        <v>11.432592</v>
      </c>
      <c r="E30" s="22" t="s">
        <v>128</v>
      </c>
      <c r="F30" s="22" t="s">
        <v>742</v>
      </c>
    </row>
    <row r="31" spans="1:14" ht="16.5" customHeight="1">
      <c r="A31" s="47"/>
      <c r="C31" s="36"/>
      <c r="D31" s="46"/>
      <c r="E31" s="43"/>
      <c r="F31" s="43"/>
    </row>
    <row r="32" spans="1:14" ht="16.5" customHeight="1">
      <c r="A32" s="47"/>
      <c r="C32" s="52" t="s">
        <v>478</v>
      </c>
      <c r="D32" s="42">
        <f>D29*1.5</f>
        <v>6.8595552000000009</v>
      </c>
      <c r="E32" s="22" t="s">
        <v>369</v>
      </c>
      <c r="F32" s="22" t="s">
        <v>743</v>
      </c>
    </row>
    <row r="33" spans="1:10" ht="16.5" customHeight="1">
      <c r="A33" s="47"/>
      <c r="C33" s="52" t="s">
        <v>480</v>
      </c>
      <c r="D33" s="48">
        <f>D30*1.5</f>
        <v>17.148887999999999</v>
      </c>
      <c r="E33" s="22" t="s">
        <v>128</v>
      </c>
      <c r="F33" s="22" t="s">
        <v>744</v>
      </c>
    </row>
    <row r="34" spans="1:10" ht="16.5" customHeight="1">
      <c r="A34" s="47"/>
      <c r="C34" s="52"/>
      <c r="D34" s="82"/>
    </row>
    <row r="35" spans="1:10" ht="16.5" customHeight="1">
      <c r="A35" s="47"/>
      <c r="C35" s="36" t="s">
        <v>697</v>
      </c>
      <c r="D35" s="52"/>
      <c r="I35" s="52"/>
      <c r="J35" s="42"/>
    </row>
    <row r="36" spans="1:10" ht="16.5" customHeight="1">
      <c r="A36" s="47"/>
      <c r="C36" s="52"/>
      <c r="D36" s="73"/>
    </row>
    <row r="37" spans="1:10" ht="16.5" customHeight="1">
      <c r="A37" s="47"/>
      <c r="C37" s="102" t="s">
        <v>575</v>
      </c>
      <c r="D37" s="82"/>
    </row>
    <row r="38" spans="1:10" ht="16.5" customHeight="1">
      <c r="A38" s="47"/>
      <c r="C38" s="52"/>
      <c r="D38" s="82"/>
    </row>
    <row r="39" spans="1:10" ht="16.5" customHeight="1">
      <c r="A39" s="47"/>
      <c r="C39" s="118" t="s">
        <v>516</v>
      </c>
      <c r="D39" s="48">
        <v>0.85</v>
      </c>
      <c r="F39" s="22" t="s">
        <v>483</v>
      </c>
    </row>
    <row r="40" spans="1:10" ht="16.5" customHeight="1">
      <c r="A40" s="47"/>
      <c r="C40" s="118"/>
      <c r="D40" s="48"/>
    </row>
    <row r="41" spans="1:10" ht="16.5" customHeight="1">
      <c r="A41" s="47"/>
      <c r="C41" s="52" t="s">
        <v>579</v>
      </c>
      <c r="D41" s="42">
        <f>D33</f>
        <v>17.148887999999999</v>
      </c>
      <c r="E41" s="22" t="s">
        <v>128</v>
      </c>
      <c r="F41" s="22" t="s">
        <v>479</v>
      </c>
      <c r="I41" s="101"/>
      <c r="J41" s="101"/>
    </row>
    <row r="42" spans="1:10" ht="16.5" customHeight="1">
      <c r="A42" s="47"/>
      <c r="C42" s="52"/>
      <c r="D42" s="42"/>
      <c r="I42" s="101"/>
      <c r="J42"/>
    </row>
    <row r="43" spans="1:10" ht="16.5" customHeight="1">
      <c r="A43" s="47"/>
      <c r="C43" s="52" t="s">
        <v>484</v>
      </c>
      <c r="D43" s="48">
        <f>0.53*SQRT(G6)*D19*D20*0.001*D39</f>
        <v>25.802679998887712</v>
      </c>
      <c r="E43" s="22" t="s">
        <v>128</v>
      </c>
      <c r="F43" s="22" t="s">
        <v>485</v>
      </c>
    </row>
    <row r="44" spans="1:10" ht="16.5" customHeight="1">
      <c r="A44" s="47"/>
      <c r="C44" s="52"/>
      <c r="D44" s="48"/>
      <c r="F44" s="112" t="str">
        <f>IF(D43&gt;D33,"CUMPLE","NO CUMPLE")</f>
        <v>CUMPLE</v>
      </c>
    </row>
    <row r="45" spans="1:10" ht="16.5" customHeight="1">
      <c r="A45" s="47"/>
      <c r="C45" s="52"/>
      <c r="D45" s="48"/>
      <c r="F45" s="112"/>
    </row>
    <row r="46" spans="1:10" ht="16.5" customHeight="1">
      <c r="A46" s="47"/>
      <c r="C46" s="52"/>
      <c r="D46" s="130" t="s">
        <v>576</v>
      </c>
      <c r="F46" s="112"/>
    </row>
    <row r="47" spans="1:10" ht="16.5" customHeight="1">
      <c r="A47" s="47"/>
      <c r="D47" s="75"/>
    </row>
    <row r="48" spans="1:10" ht="16.5" customHeight="1">
      <c r="A48" s="47"/>
      <c r="C48" s="36" t="s">
        <v>577</v>
      </c>
      <c r="D48" s="49"/>
    </row>
    <row r="49" spans="1:11" ht="16.5" customHeight="1">
      <c r="A49" s="47"/>
      <c r="C49" s="36"/>
      <c r="D49" s="49"/>
    </row>
    <row r="50" spans="1:11" ht="16.5" customHeight="1">
      <c r="A50" s="47"/>
      <c r="C50" s="117" t="s">
        <v>516</v>
      </c>
      <c r="D50" s="48">
        <v>0.9</v>
      </c>
      <c r="F50" s="22" t="s">
        <v>489</v>
      </c>
    </row>
    <row r="51" spans="1:11" ht="16.5" customHeight="1">
      <c r="A51" s="47"/>
      <c r="C51" s="52"/>
      <c r="D51" s="79"/>
    </row>
    <row r="52" spans="1:11" ht="16.5" customHeight="1">
      <c r="A52" s="47"/>
      <c r="C52" s="116" t="s">
        <v>517</v>
      </c>
      <c r="D52" s="106">
        <f>D32*100000/(0.85*D50*G6*D20*D19^2)</f>
        <v>4.9200213023481008E-2</v>
      </c>
      <c r="F52" s="88"/>
    </row>
    <row r="53" spans="1:11" ht="16.5" customHeight="1">
      <c r="A53" s="47"/>
      <c r="C53" s="36"/>
      <c r="D53" s="49"/>
    </row>
    <row r="54" spans="1:11" ht="16.5" customHeight="1">
      <c r="A54" s="47"/>
      <c r="C54" s="119" t="s">
        <v>518</v>
      </c>
      <c r="D54" s="57">
        <f>1-SQRT(1-2*D52)</f>
        <v>5.0474026709622866E-2</v>
      </c>
      <c r="F54" s="88"/>
      <c r="K54" s="88"/>
    </row>
    <row r="55" spans="1:11" ht="16.5" customHeight="1">
      <c r="A55" s="47"/>
      <c r="C55" s="36"/>
      <c r="D55" s="49"/>
      <c r="E55" s="49"/>
      <c r="F55" s="49"/>
      <c r="G55" s="49"/>
      <c r="H55" s="49"/>
    </row>
    <row r="56" spans="1:11" ht="16.5" customHeight="1">
      <c r="A56" s="47"/>
      <c r="C56" s="81" t="s">
        <v>493</v>
      </c>
      <c r="D56" s="42">
        <f>D54*0.85*G6*D19*D20/G7</f>
        <v>8.2741350927560333</v>
      </c>
      <c r="E56" s="22" t="s">
        <v>348</v>
      </c>
      <c r="F56" s="88"/>
      <c r="G56" s="43"/>
      <c r="I56" s="22" t="s">
        <v>495</v>
      </c>
    </row>
    <row r="57" spans="1:11" ht="16.5" customHeight="1">
      <c r="A57" s="47"/>
      <c r="C57" s="81"/>
    </row>
    <row r="58" spans="1:11" ht="16.5" customHeight="1">
      <c r="A58" s="47"/>
      <c r="C58" s="52" t="s">
        <v>494</v>
      </c>
      <c r="D58" s="104">
        <f>D56/(D20*0.01)*1.33</f>
        <v>6.1136664852030691</v>
      </c>
      <c r="E58" s="113" t="s">
        <v>491</v>
      </c>
      <c r="F58" s="88"/>
      <c r="K58"/>
    </row>
    <row r="59" spans="1:11" ht="16.5" customHeight="1">
      <c r="A59" s="47"/>
      <c r="C59" s="36"/>
      <c r="D59" s="46"/>
      <c r="E59" s="43"/>
      <c r="F59" s="43"/>
    </row>
    <row r="60" spans="1:11" ht="16.5" customHeight="1">
      <c r="A60" s="47"/>
      <c r="C60" s="36" t="s">
        <v>492</v>
      </c>
      <c r="D60" s="46"/>
    </row>
    <row r="61" spans="1:11" ht="16.5" customHeight="1">
      <c r="A61" s="47"/>
      <c r="C61" s="52"/>
      <c r="D61" s="82"/>
    </row>
    <row r="62" spans="1:11" ht="16.5" customHeight="1">
      <c r="A62" s="47"/>
      <c r="C62" s="52" t="s">
        <v>519</v>
      </c>
      <c r="D62" s="57">
        <v>1.8E-3</v>
      </c>
      <c r="F62" s="22" t="s">
        <v>497</v>
      </c>
    </row>
    <row r="63" spans="1:11" ht="16.5" customHeight="1">
      <c r="A63" s="47"/>
      <c r="C63" s="52"/>
      <c r="D63" s="82"/>
    </row>
    <row r="64" spans="1:11" ht="16.5" customHeight="1">
      <c r="A64" s="47"/>
      <c r="C64" s="52" t="s">
        <v>496</v>
      </c>
      <c r="D64" s="48">
        <f>D62*D19*100*0.5</f>
        <v>2.0249999999999999</v>
      </c>
      <c r="E64" s="22" t="s">
        <v>491</v>
      </c>
      <c r="F64" s="22" t="s">
        <v>524</v>
      </c>
    </row>
    <row r="65" spans="1:14" ht="16.5" customHeight="1">
      <c r="A65" s="47"/>
      <c r="C65" s="52"/>
      <c r="D65" s="48"/>
    </row>
    <row r="66" spans="1:14" ht="16.5" customHeight="1">
      <c r="C66" s="115" t="s">
        <v>745</v>
      </c>
      <c r="D66" s="129" t="s">
        <v>684</v>
      </c>
      <c r="E66" s="47">
        <v>12</v>
      </c>
      <c r="F66" s="47" t="s">
        <v>685</v>
      </c>
      <c r="G66" s="47">
        <v>20</v>
      </c>
      <c r="H66" s="47" t="s">
        <v>686</v>
      </c>
      <c r="I66" s="41">
        <f>INDEX(barras2,MATCH(E66,barras21,0),MATCH(G66,barras22,0))</f>
        <v>5.6548667764616276</v>
      </c>
      <c r="J66" s="47" t="s">
        <v>491</v>
      </c>
      <c r="L66" s="22" t="s">
        <v>687</v>
      </c>
      <c r="N66" s="43"/>
    </row>
    <row r="67" spans="1:14" ht="16.5" customHeight="1">
      <c r="C67" s="115"/>
      <c r="D67" s="129"/>
      <c r="E67" s="47"/>
      <c r="F67" s="47"/>
      <c r="G67" s="47"/>
      <c r="I67" s="41"/>
      <c r="J67" s="47"/>
      <c r="L67" s="22" t="s">
        <v>688</v>
      </c>
      <c r="N67" s="43"/>
    </row>
    <row r="68" spans="1:14" ht="16.5" customHeight="1">
      <c r="A68" s="47"/>
      <c r="C68" s="52"/>
      <c r="D68" s="48"/>
    </row>
    <row r="69" spans="1:14" ht="16.5" customHeight="1">
      <c r="A69" s="47"/>
      <c r="C69" s="52"/>
      <c r="D69" s="48"/>
    </row>
    <row r="70" spans="1:14" ht="16.5" customHeight="1">
      <c r="A70" s="47"/>
      <c r="C70" s="36" t="s">
        <v>595</v>
      </c>
      <c r="D70" s="48"/>
    </row>
    <row r="71" spans="1:14" ht="16.5" customHeight="1">
      <c r="A71" s="47"/>
      <c r="C71" s="36"/>
      <c r="D71" s="48"/>
    </row>
    <row r="72" spans="1:14" ht="16.5" customHeight="1">
      <c r="A72" s="47"/>
      <c r="C72" s="52" t="s">
        <v>739</v>
      </c>
      <c r="D72" s="41">
        <v>7.5</v>
      </c>
      <c r="E72" s="22" t="s">
        <v>353</v>
      </c>
      <c r="F72" s="22" t="s">
        <v>740</v>
      </c>
    </row>
    <row r="73" spans="1:14" ht="16.5" customHeight="1">
      <c r="A73" s="47"/>
      <c r="C73" s="52" t="s">
        <v>557</v>
      </c>
      <c r="D73" s="103">
        <f>'Zapata Método X - Y'!D23*100-D72</f>
        <v>82.5</v>
      </c>
      <c r="E73" s="22" t="s">
        <v>353</v>
      </c>
      <c r="F73" s="22" t="s">
        <v>503</v>
      </c>
      <c r="I73" s="52"/>
    </row>
    <row r="74" spans="1:14" ht="16.5" customHeight="1">
      <c r="A74" s="47"/>
      <c r="C74" s="52" t="s">
        <v>505</v>
      </c>
      <c r="D74" s="103">
        <f>'Zapata Método X - Y'!D23*100</f>
        <v>90</v>
      </c>
      <c r="E74" s="22" t="s">
        <v>353</v>
      </c>
      <c r="F74" s="22" t="s">
        <v>8</v>
      </c>
      <c r="I74" s="52"/>
    </row>
    <row r="75" spans="1:14" ht="16.5" customHeight="1">
      <c r="A75" s="47"/>
      <c r="C75" s="52" t="s">
        <v>554</v>
      </c>
      <c r="D75" s="103">
        <f>'Zapata Método X - Y'!D24*100</f>
        <v>90</v>
      </c>
      <c r="E75" s="22" t="s">
        <v>353</v>
      </c>
      <c r="F75" s="22" t="s">
        <v>7</v>
      </c>
      <c r="I75" s="52"/>
    </row>
    <row r="76" spans="1:14" ht="16.5" customHeight="1">
      <c r="A76" s="47"/>
      <c r="C76" s="52" t="s">
        <v>506</v>
      </c>
      <c r="D76" s="103">
        <f>'Zapata Método X - Y'!D20*100</f>
        <v>200</v>
      </c>
      <c r="E76" s="22" t="s">
        <v>353</v>
      </c>
      <c r="F76" s="22" t="s">
        <v>504</v>
      </c>
      <c r="I76" s="52"/>
    </row>
    <row r="77" spans="1:14" ht="16.5" customHeight="1">
      <c r="A77" s="47"/>
      <c r="C77" s="52"/>
      <c r="D77" s="42"/>
    </row>
    <row r="78" spans="1:14" ht="16.5" customHeight="1">
      <c r="A78" s="47"/>
      <c r="C78" s="36" t="s">
        <v>509</v>
      </c>
    </row>
    <row r="79" spans="1:14" ht="16.5" customHeight="1">
      <c r="A79" s="47"/>
      <c r="C79" s="52"/>
      <c r="D79" s="86"/>
      <c r="J79" s="47"/>
    </row>
    <row r="80" spans="1:14" ht="16.5" customHeight="1">
      <c r="A80" s="47"/>
      <c r="C80" s="52" t="s">
        <v>507</v>
      </c>
      <c r="D80" s="42">
        <f>'Cálculo de cargas'!C130*0.001</f>
        <v>2.0469968000000001</v>
      </c>
      <c r="E80" s="63" t="s">
        <v>128</v>
      </c>
      <c r="F80" s="49"/>
      <c r="G80" s="49"/>
      <c r="H80" s="49"/>
    </row>
    <row r="81" spans="1:10" ht="16.5" customHeight="1">
      <c r="A81" s="47"/>
      <c r="C81" s="52" t="s">
        <v>508</v>
      </c>
      <c r="D81" s="42">
        <f>'Cálculo de cargas'!G130*0.001</f>
        <v>1.9747500014191099</v>
      </c>
      <c r="E81" s="63" t="s">
        <v>128</v>
      </c>
      <c r="G81" s="61"/>
    </row>
    <row r="82" spans="1:10" ht="16.5" customHeight="1">
      <c r="C82" s="52" t="s">
        <v>475</v>
      </c>
      <c r="D82" s="48">
        <f>'Cálculo de cargas'!L130*0.001</f>
        <v>6.4821058040331145</v>
      </c>
      <c r="E82" s="63" t="s">
        <v>369</v>
      </c>
    </row>
    <row r="83" spans="1:10" ht="16.5" customHeight="1">
      <c r="C83" s="52"/>
      <c r="D83" s="41"/>
    </row>
    <row r="84" spans="1:10" ht="16.5" customHeight="1">
      <c r="C84" s="36" t="s">
        <v>510</v>
      </c>
      <c r="D84" s="42"/>
    </row>
    <row r="85" spans="1:10" ht="16.5" customHeight="1">
      <c r="D85" s="42"/>
    </row>
    <row r="86" spans="1:10" ht="16.5" customHeight="1">
      <c r="C86" s="52" t="s">
        <v>511</v>
      </c>
      <c r="D86" s="80">
        <f>(D80+D74*0.01*D76*0.01*D75*0.01*2.4)*1.5</f>
        <v>8.9024952000000006</v>
      </c>
      <c r="E86" s="63" t="s">
        <v>128</v>
      </c>
    </row>
    <row r="87" spans="1:10" ht="16.5" customHeight="1">
      <c r="C87" s="52" t="s">
        <v>480</v>
      </c>
      <c r="D87" s="80">
        <f>D81*1.5</f>
        <v>2.9621250021286647</v>
      </c>
      <c r="E87" s="63" t="s">
        <v>128</v>
      </c>
    </row>
    <row r="88" spans="1:10" ht="16.5" customHeight="1">
      <c r="C88" s="52" t="s">
        <v>478</v>
      </c>
      <c r="D88" s="80">
        <f>(D82+D81*D76*0.01)*1.5</f>
        <v>15.647408710307003</v>
      </c>
      <c r="E88" s="63" t="s">
        <v>369</v>
      </c>
      <c r="F88" s="114"/>
    </row>
    <row r="89" spans="1:10" ht="16.5" customHeight="1">
      <c r="E89" s="72"/>
      <c r="J89" s="61"/>
    </row>
    <row r="90" spans="1:10" ht="16.5" customHeight="1">
      <c r="A90" s="47"/>
      <c r="C90" s="36" t="s">
        <v>502</v>
      </c>
      <c r="D90" s="52"/>
      <c r="I90" s="52"/>
      <c r="J90" s="42"/>
    </row>
    <row r="91" spans="1:10" ht="16.5" customHeight="1">
      <c r="A91" s="47"/>
      <c r="C91" s="52"/>
      <c r="D91" s="73"/>
    </row>
    <row r="92" spans="1:10" ht="16.5" customHeight="1">
      <c r="A92" s="47"/>
      <c r="C92" s="102" t="s">
        <v>575</v>
      </c>
      <c r="D92" s="82"/>
    </row>
    <row r="93" spans="1:10" ht="16.5" customHeight="1">
      <c r="A93" s="47"/>
      <c r="C93" s="52"/>
      <c r="D93" s="82"/>
    </row>
    <row r="94" spans="1:10" ht="16.5" customHeight="1">
      <c r="A94" s="47"/>
      <c r="C94" s="117" t="s">
        <v>516</v>
      </c>
      <c r="D94" s="48">
        <v>0.85</v>
      </c>
      <c r="F94" s="22" t="s">
        <v>483</v>
      </c>
    </row>
    <row r="95" spans="1:10" ht="16.5" customHeight="1">
      <c r="A95" s="47"/>
      <c r="D95" s="47"/>
      <c r="I95" s="101"/>
      <c r="J95" s="101"/>
    </row>
    <row r="96" spans="1:10" ht="16.5" customHeight="1">
      <c r="A96" s="47"/>
      <c r="C96" s="52" t="s">
        <v>579</v>
      </c>
      <c r="D96" s="42">
        <f>D87</f>
        <v>2.9621250021286647</v>
      </c>
      <c r="E96" s="22" t="s">
        <v>128</v>
      </c>
      <c r="F96" s="22" t="s">
        <v>479</v>
      </c>
      <c r="I96" s="101"/>
      <c r="J96" s="101"/>
    </row>
    <row r="97" spans="1:20" ht="16.5" customHeight="1">
      <c r="A97" s="47"/>
      <c r="D97" s="47"/>
      <c r="I97" s="101"/>
      <c r="J97" s="101"/>
    </row>
    <row r="98" spans="1:20" ht="16.5" customHeight="1">
      <c r="A98" s="47"/>
      <c r="C98" s="52" t="s">
        <v>484</v>
      </c>
      <c r="D98" s="48">
        <f>0.53*SQRT(G6)*D73*D74*D94*0.001</f>
        <v>47.304913331294145</v>
      </c>
      <c r="E98" s="22" t="s">
        <v>128</v>
      </c>
      <c r="F98" s="22" t="s">
        <v>485</v>
      </c>
    </row>
    <row r="99" spans="1:20" ht="16.5" customHeight="1">
      <c r="A99" s="47"/>
      <c r="C99" s="52"/>
      <c r="D99" s="48"/>
      <c r="F99" s="112" t="str">
        <f>IF(D98&gt;D87,"CUMPLE","NO CUMPLE")</f>
        <v>CUMPLE</v>
      </c>
    </row>
    <row r="100" spans="1:20" ht="16.5" customHeight="1">
      <c r="D100" s="42"/>
      <c r="T100" s="42"/>
    </row>
    <row r="101" spans="1:20" ht="16.5" customHeight="1">
      <c r="C101" s="115" t="s">
        <v>745</v>
      </c>
      <c r="D101" s="129" t="s">
        <v>684</v>
      </c>
      <c r="E101" s="47">
        <v>10</v>
      </c>
      <c r="F101" s="47" t="s">
        <v>685</v>
      </c>
      <c r="G101" s="47">
        <v>20</v>
      </c>
      <c r="H101" s="47" t="s">
        <v>686</v>
      </c>
      <c r="I101" s="41">
        <f>INDEX(barras2,MATCH(E101,barras21,0),MATCH(G101,barras22,0))</f>
        <v>3.9269908169872414</v>
      </c>
      <c r="J101" s="47" t="s">
        <v>491</v>
      </c>
      <c r="L101" s="22" t="s">
        <v>693</v>
      </c>
      <c r="N101" s="43"/>
    </row>
    <row r="102" spans="1:20" ht="16.5" customHeight="1">
      <c r="C102" s="115"/>
      <c r="D102" s="129"/>
      <c r="E102" s="47"/>
      <c r="F102" s="47"/>
      <c r="G102" s="47"/>
      <c r="I102" s="41"/>
      <c r="J102" s="47"/>
      <c r="N102" s="43"/>
    </row>
    <row r="103" spans="1:20" ht="16.5" customHeight="1">
      <c r="A103" s="47"/>
      <c r="C103" s="36" t="s">
        <v>577</v>
      </c>
      <c r="D103" s="49"/>
    </row>
    <row r="104" spans="1:20" ht="16.5" customHeight="1">
      <c r="A104" s="47"/>
      <c r="C104" s="36"/>
      <c r="D104" s="49"/>
    </row>
    <row r="105" spans="1:20" ht="16.5" customHeight="1">
      <c r="A105" s="47"/>
      <c r="C105" s="118" t="s">
        <v>516</v>
      </c>
      <c r="D105" s="48">
        <v>0.9</v>
      </c>
      <c r="F105" s="22" t="s">
        <v>489</v>
      </c>
    </row>
    <row r="106" spans="1:20" ht="16.5" customHeight="1">
      <c r="A106" s="47"/>
      <c r="C106" s="52"/>
      <c r="D106" s="79"/>
    </row>
    <row r="107" spans="1:20" ht="16.5" customHeight="1">
      <c r="A107" s="47"/>
      <c r="C107" s="116" t="s">
        <v>517</v>
      </c>
      <c r="D107" s="106">
        <f>D88*100000/(0.85*D105*G6*D74*D73^2)</f>
        <v>1.6695544563273993E-2</v>
      </c>
      <c r="F107" s="88"/>
    </row>
    <row r="108" spans="1:20" ht="16.5" customHeight="1">
      <c r="A108" s="47"/>
      <c r="C108" s="36"/>
      <c r="D108" s="49"/>
    </row>
    <row r="109" spans="1:20" ht="16.5" customHeight="1">
      <c r="A109" s="47"/>
      <c r="C109" s="119" t="s">
        <v>518</v>
      </c>
      <c r="D109" s="57">
        <f>1-SQRT(1-2*D107)</f>
        <v>1.6837291760182782E-2</v>
      </c>
      <c r="F109" s="88"/>
      <c r="K109" s="88"/>
    </row>
    <row r="110" spans="1:20" ht="16.5" customHeight="1">
      <c r="A110" s="47"/>
      <c r="C110" s="36"/>
      <c r="D110" s="49"/>
      <c r="E110" s="49"/>
      <c r="F110" s="49"/>
      <c r="G110" s="49"/>
      <c r="H110" s="49"/>
    </row>
    <row r="111" spans="1:20" ht="16.5" customHeight="1">
      <c r="A111" s="47"/>
      <c r="C111" s="81" t="s">
        <v>493</v>
      </c>
      <c r="D111" s="42">
        <f>D109*0.85*G6*D73*D74/G7*1.33</f>
        <v>6.7300759826920604</v>
      </c>
      <c r="E111" s="22" t="s">
        <v>348</v>
      </c>
      <c r="F111"/>
      <c r="G111" s="43"/>
    </row>
    <row r="112" spans="1:20" ht="16.5" customHeight="1">
      <c r="A112" s="47"/>
      <c r="C112" s="81"/>
    </row>
    <row r="113" spans="1:15" ht="16.5" customHeight="1">
      <c r="A113" s="47"/>
      <c r="C113" s="22" t="s">
        <v>514</v>
      </c>
      <c r="F113" s="54">
        <f>0.005*D74*D75</f>
        <v>40.5</v>
      </c>
      <c r="G113" s="22" t="s">
        <v>348</v>
      </c>
      <c r="H113" s="22" t="s">
        <v>515</v>
      </c>
      <c r="N113" s="61"/>
    </row>
    <row r="115" spans="1:15" ht="16.5" customHeight="1">
      <c r="C115" s="22" t="s">
        <v>512</v>
      </c>
      <c r="E115" s="153" t="s">
        <v>578</v>
      </c>
      <c r="F115" s="148">
        <v>6</v>
      </c>
      <c r="G115" s="154" t="s">
        <v>684</v>
      </c>
      <c r="H115" s="148">
        <v>18</v>
      </c>
      <c r="I115" s="155" t="s">
        <v>686</v>
      </c>
      <c r="J115" s="37">
        <f>INDEX(barras1,MATCH(H115,barras11,0),MATCH(F115,barras12,0))</f>
        <v>15.268140296446397</v>
      </c>
      <c r="K115" s="155" t="s">
        <v>348</v>
      </c>
      <c r="O115" s="61"/>
    </row>
    <row r="116" spans="1:15" ht="16.5" customHeight="1">
      <c r="E116" s="61"/>
      <c r="F116" s="149"/>
      <c r="G116" s="61"/>
      <c r="H116" s="61"/>
      <c r="I116" s="61"/>
      <c r="J116" s="61"/>
      <c r="K116" s="61"/>
      <c r="O116" s="61"/>
    </row>
    <row r="117" spans="1:15" ht="16.5" customHeight="1">
      <c r="C117" s="22" t="s">
        <v>513</v>
      </c>
      <c r="E117" s="153" t="s">
        <v>578</v>
      </c>
      <c r="F117" s="75">
        <f>F115*2+(F115-2)*2</f>
        <v>20</v>
      </c>
      <c r="G117" s="154" t="s">
        <v>684</v>
      </c>
      <c r="H117" s="75">
        <f>H115</f>
        <v>18</v>
      </c>
      <c r="I117" s="75" t="s">
        <v>686</v>
      </c>
      <c r="J117" s="48">
        <f>J115/F115*F117</f>
        <v>50.893800988154652</v>
      </c>
      <c r="K117" s="75" t="s">
        <v>348</v>
      </c>
      <c r="M117" s="21" t="str">
        <f>IF(J117&gt;F113,"CUMPLE","NO CUMPLE")</f>
        <v>CUMPLE</v>
      </c>
    </row>
    <row r="118" spans="1:15" ht="16.5" customHeight="1">
      <c r="D118" s="42"/>
      <c r="F118" s="120"/>
    </row>
    <row r="119" spans="1:15" ht="16.5" customHeight="1">
      <c r="C119" s="36" t="s">
        <v>532</v>
      </c>
      <c r="D119" s="42"/>
      <c r="F119" s="120"/>
    </row>
    <row r="120" spans="1:15" ht="16.5" customHeight="1">
      <c r="D120" s="42"/>
      <c r="F120" s="120"/>
    </row>
    <row r="121" spans="1:15" ht="16.5" customHeight="1">
      <c r="C121" s="52" t="s">
        <v>385</v>
      </c>
      <c r="D121" s="41">
        <v>23</v>
      </c>
      <c r="E121" s="22" t="s">
        <v>353</v>
      </c>
      <c r="F121" s="120" t="s">
        <v>533</v>
      </c>
    </row>
    <row r="122" spans="1:15" ht="16.5" customHeight="1">
      <c r="C122" s="52" t="s">
        <v>355</v>
      </c>
      <c r="D122" s="73">
        <v>4</v>
      </c>
      <c r="F122" s="120" t="s">
        <v>534</v>
      </c>
    </row>
    <row r="123" spans="1:15" ht="16.5" customHeight="1">
      <c r="C123" s="52"/>
      <c r="D123" s="72"/>
      <c r="F123" s="120"/>
    </row>
    <row r="124" spans="1:15" ht="16.5" customHeight="1">
      <c r="C124" s="52" t="s">
        <v>546</v>
      </c>
      <c r="D124" s="125" t="s">
        <v>589</v>
      </c>
      <c r="E124" s="22" t="s">
        <v>547</v>
      </c>
      <c r="F124" s="120" t="s">
        <v>548</v>
      </c>
    </row>
    <row r="125" spans="1:15" ht="16.5" customHeight="1">
      <c r="C125" s="52" t="s">
        <v>487</v>
      </c>
      <c r="D125" s="73">
        <v>7382</v>
      </c>
      <c r="E125" s="22" t="s">
        <v>549</v>
      </c>
      <c r="F125" s="120" t="s">
        <v>550</v>
      </c>
      <c r="I125" s="127" t="s">
        <v>551</v>
      </c>
    </row>
    <row r="126" spans="1:15" ht="16.5" customHeight="1">
      <c r="C126" s="52" t="s">
        <v>542</v>
      </c>
      <c r="D126" s="48">
        <f>VLOOKUP(D124,Pernos,6,FALSE)</f>
        <v>3.9096696</v>
      </c>
      <c r="E126" s="22" t="s">
        <v>348</v>
      </c>
      <c r="F126" s="120" t="s">
        <v>543</v>
      </c>
    </row>
    <row r="127" spans="1:15" ht="16.5" customHeight="1">
      <c r="C127" s="52" t="s">
        <v>544</v>
      </c>
      <c r="D127" s="48">
        <f>VLOOKUP(D124,Pernos,4,FALSE)</f>
        <v>5.0670747909749769</v>
      </c>
      <c r="E127" s="22" t="s">
        <v>348</v>
      </c>
      <c r="F127" s="120" t="s">
        <v>545</v>
      </c>
    </row>
    <row r="128" spans="1:15" ht="16.5" customHeight="1">
      <c r="D128" s="42"/>
      <c r="F128" s="120"/>
    </row>
    <row r="129" spans="3:21" ht="16.5" customHeight="1">
      <c r="C129" s="36" t="s">
        <v>538</v>
      </c>
      <c r="D129" s="42"/>
      <c r="F129" s="31"/>
    </row>
    <row r="130" spans="3:21" ht="16.5" customHeight="1">
      <c r="D130" s="42"/>
      <c r="F130" s="120"/>
    </row>
    <row r="131" spans="3:21" ht="16.5" customHeight="1">
      <c r="C131" s="52" t="s">
        <v>368</v>
      </c>
      <c r="D131" s="126">
        <f>'Cálculo de cargas'!L130</f>
        <v>6482.1058040331145</v>
      </c>
      <c r="E131" s="22" t="s">
        <v>539</v>
      </c>
      <c r="F131" s="120"/>
      <c r="G131" s="22" t="s">
        <v>692</v>
      </c>
    </row>
    <row r="132" spans="3:21" ht="16.5" customHeight="1">
      <c r="C132" s="52" t="s">
        <v>367</v>
      </c>
      <c r="D132" s="126">
        <f>'Cálculo de cargas'!G130</f>
        <v>1974.7500014191098</v>
      </c>
      <c r="E132" s="22" t="s">
        <v>386</v>
      </c>
      <c r="F132" s="120"/>
      <c r="G132" s="22" t="s">
        <v>692</v>
      </c>
    </row>
    <row r="133" spans="3:21" ht="16.5" customHeight="1">
      <c r="C133" s="52" t="s">
        <v>366</v>
      </c>
      <c r="D133" s="126">
        <f>'Cálculo de cargas'!E130</f>
        <v>505.80320000000006</v>
      </c>
      <c r="E133" s="22" t="s">
        <v>386</v>
      </c>
      <c r="F133" s="120"/>
      <c r="G133" s="22" t="s">
        <v>692</v>
      </c>
    </row>
    <row r="134" spans="3:21" ht="16.5" customHeight="1">
      <c r="D134" s="42"/>
      <c r="F134" s="120"/>
    </row>
    <row r="135" spans="3:21" ht="16.5" customHeight="1">
      <c r="C135" s="52" t="s">
        <v>541</v>
      </c>
      <c r="D135" s="72">
        <f>(D131/(0.01*D121))/(D122/2)-D133/D122</f>
        <v>13965.083556593727</v>
      </c>
      <c r="E135" s="22" t="s">
        <v>386</v>
      </c>
      <c r="F135" s="36" t="str">
        <f>IF(H135&gt;D135,"&lt;","&gt;")</f>
        <v>&lt;</v>
      </c>
      <c r="G135" s="52" t="s">
        <v>552</v>
      </c>
      <c r="H135" s="72">
        <f>0.6*D126*D125</f>
        <v>17316.708592319999</v>
      </c>
      <c r="I135" s="22" t="s">
        <v>386</v>
      </c>
      <c r="J135" s="36" t="str">
        <f>IF(H135&gt;D135,"CUMPLE","NO CUMPLE")</f>
        <v>CUMPLE</v>
      </c>
      <c r="L135" s="118" t="s">
        <v>516</v>
      </c>
      <c r="M135" s="152">
        <v>0.6</v>
      </c>
    </row>
    <row r="136" spans="3:21" ht="16.5" customHeight="1">
      <c r="C136" s="52"/>
      <c r="D136" s="72"/>
      <c r="G136" s="52"/>
      <c r="H136" s="72"/>
      <c r="J136" s="36"/>
      <c r="M136" s="59"/>
    </row>
    <row r="137" spans="3:21" ht="16.5" customHeight="1">
      <c r="C137" s="52" t="s">
        <v>540</v>
      </c>
      <c r="D137" s="72">
        <f>D132/D122</f>
        <v>493.68750035477746</v>
      </c>
      <c r="E137" s="22" t="s">
        <v>386</v>
      </c>
      <c r="F137" s="36" t="str">
        <f>IF(H137&gt;D137,"&lt;","&gt;")</f>
        <v>&lt;</v>
      </c>
      <c r="G137" s="52" t="s">
        <v>553</v>
      </c>
      <c r="H137" s="72">
        <f>0.4*D127*D125</f>
        <v>14962.058442790913</v>
      </c>
      <c r="I137" s="22" t="s">
        <v>386</v>
      </c>
      <c r="J137" s="36" t="str">
        <f>IF(H137&gt;D137,"CUMPLE","NO CUMPLE")</f>
        <v>CUMPLE</v>
      </c>
      <c r="L137" s="118" t="s">
        <v>516</v>
      </c>
      <c r="M137" s="152">
        <v>0.4</v>
      </c>
    </row>
    <row r="138" spans="3:21" ht="16.5" customHeight="1">
      <c r="D138" s="42"/>
      <c r="F138" s="120"/>
    </row>
    <row r="139" spans="3:21" ht="16.5" customHeight="1">
      <c r="C139" s="36" t="s">
        <v>696</v>
      </c>
      <c r="D139" s="42"/>
      <c r="F139" s="120"/>
    </row>
    <row r="140" spans="3:21" ht="16.5" customHeight="1">
      <c r="D140" s="42"/>
      <c r="F140" s="120"/>
    </row>
    <row r="141" spans="3:21" ht="16.5" customHeight="1">
      <c r="C141" s="1"/>
      <c r="D141" s="1"/>
      <c r="E141" s="42">
        <f>D135/H135+D137/H137</f>
        <v>0.8394473421149018</v>
      </c>
      <c r="F141" s="36" t="str">
        <f>IF(G141&gt;D141,"&lt;","&gt;")</f>
        <v>&lt;</v>
      </c>
      <c r="G141" s="49">
        <v>1.2</v>
      </c>
      <c r="I141" s="36" t="str">
        <f>IF(G141&gt;C141,"CUMPLE","NO CUMPLE")</f>
        <v>CUMPLE</v>
      </c>
      <c r="N141" s="52"/>
      <c r="O141" s="72"/>
      <c r="Q141" s="36"/>
      <c r="R141" s="52"/>
      <c r="S141" s="72"/>
      <c r="U141" s="36"/>
    </row>
    <row r="142" spans="3:21" ht="16.5" customHeight="1">
      <c r="D142" s="36"/>
      <c r="N142" s="36"/>
      <c r="O142" s="42"/>
      <c r="Q142" s="120"/>
    </row>
    <row r="143" spans="3:21" ht="16.5" customHeight="1">
      <c r="C143" s="61"/>
      <c r="D143" s="131" t="str">
        <f>"UTILIZAR "&amp;D122&amp;" PERNOS φ "&amp;D124</f>
        <v>UTILIZAR 4 PERNOS φ 1 "</v>
      </c>
      <c r="P143" s="61"/>
      <c r="Q143" s="120"/>
    </row>
    <row r="144" spans="3:21" ht="16.5" customHeight="1">
      <c r="P144" s="61"/>
      <c r="Q144" s="120"/>
    </row>
    <row r="145" spans="3:17" ht="16.5" customHeight="1">
      <c r="C145" s="36" t="s">
        <v>596</v>
      </c>
      <c r="F145" s="206" t="s">
        <v>746</v>
      </c>
      <c r="G145" s="206"/>
      <c r="H145" s="206"/>
      <c r="I145" s="206"/>
      <c r="J145" s="206"/>
      <c r="K145" s="206"/>
      <c r="L145" s="206"/>
      <c r="M145" s="206"/>
      <c r="P145" s="61"/>
      <c r="Q145" s="120"/>
    </row>
    <row r="146" spans="3:17" ht="16.5" customHeight="1">
      <c r="P146" s="61"/>
      <c r="Q146" s="120"/>
    </row>
    <row r="147" spans="3:17" ht="16.5" customHeight="1">
      <c r="C147" s="36" t="s">
        <v>597</v>
      </c>
      <c r="P147" s="61"/>
      <c r="Q147" s="120"/>
    </row>
    <row r="148" spans="3:17" ht="16.5" customHeight="1">
      <c r="C148" s="36"/>
      <c r="P148" s="61"/>
      <c r="Q148" s="120"/>
    </row>
    <row r="149" spans="3:17" ht="16.5" customHeight="1">
      <c r="C149" s="52" t="s">
        <v>554</v>
      </c>
      <c r="D149" s="143">
        <v>22</v>
      </c>
      <c r="E149" s="22" t="s">
        <v>353</v>
      </c>
      <c r="F149" s="22" t="s">
        <v>555</v>
      </c>
      <c r="P149" s="61"/>
      <c r="Q149" s="120"/>
    </row>
    <row r="150" spans="3:17" ht="16.5" customHeight="1">
      <c r="C150" s="52" t="s">
        <v>505</v>
      </c>
      <c r="D150" s="143">
        <v>22</v>
      </c>
      <c r="E150" s="22" t="s">
        <v>353</v>
      </c>
      <c r="F150" s="22" t="s">
        <v>556</v>
      </c>
      <c r="P150" s="61"/>
      <c r="Q150" s="120"/>
    </row>
    <row r="151" spans="3:17" ht="16.5" customHeight="1">
      <c r="C151" s="52" t="s">
        <v>350</v>
      </c>
      <c r="D151" s="41">
        <v>2.5</v>
      </c>
      <c r="E151" s="22" t="s">
        <v>353</v>
      </c>
      <c r="F151" s="22" t="s">
        <v>598</v>
      </c>
      <c r="P151" s="61"/>
      <c r="Q151" s="120"/>
    </row>
    <row r="152" spans="3:17" ht="16.5" customHeight="1">
      <c r="C152" s="52" t="s">
        <v>372</v>
      </c>
      <c r="D152" s="49">
        <v>2530</v>
      </c>
      <c r="E152" s="22" t="s">
        <v>488</v>
      </c>
      <c r="F152" s="22" t="s">
        <v>629</v>
      </c>
      <c r="I152" s="36" t="s">
        <v>610</v>
      </c>
      <c r="P152" s="61"/>
      <c r="Q152" s="120"/>
    </row>
    <row r="153" spans="3:17" ht="16.5" customHeight="1">
      <c r="P153" s="61"/>
      <c r="Q153" s="120"/>
    </row>
    <row r="154" spans="3:17" ht="16.5" customHeight="1">
      <c r="C154" s="36" t="s">
        <v>538</v>
      </c>
      <c r="P154" s="61"/>
      <c r="Q154" s="120"/>
    </row>
    <row r="155" spans="3:17" ht="16.5" customHeight="1">
      <c r="C155" s="36"/>
      <c r="P155" s="61"/>
      <c r="Q155" s="120"/>
    </row>
    <row r="156" spans="3:17" ht="16.5" customHeight="1">
      <c r="C156" s="81" t="s">
        <v>383</v>
      </c>
      <c r="D156" s="46">
        <f>'Cálculo de cargas'!C130/4+'Cálculo de cargas'!J130/('Armaduras y anclajes'!D121*0.01*'Armaduras y anclajes'!D122*0.5)</f>
        <v>12716.327034854596</v>
      </c>
      <c r="E156" s="22" t="s">
        <v>386</v>
      </c>
      <c r="F156" s="22" t="s">
        <v>625</v>
      </c>
      <c r="J156" s="22" t="s">
        <v>692</v>
      </c>
      <c r="P156" s="61"/>
      <c r="Q156" s="120"/>
    </row>
    <row r="157" spans="3:17" ht="16.5" customHeight="1">
      <c r="C157" s="81" t="s">
        <v>599</v>
      </c>
      <c r="D157" s="46">
        <f>'Cálculo de cargas'!J130/('Armaduras y anclajes'!D121*'Armaduras y anclajes'!D122*0.01*0.5)-'Cálculo de cargas'!E130/4</f>
        <v>12078.127034854595</v>
      </c>
      <c r="E157" s="22" t="s">
        <v>386</v>
      </c>
      <c r="F157" s="22" t="s">
        <v>626</v>
      </c>
      <c r="J157" s="22" t="s">
        <v>692</v>
      </c>
      <c r="P157" s="61"/>
      <c r="Q157" s="120"/>
    </row>
    <row r="158" spans="3:17" ht="16.5" customHeight="1">
      <c r="C158" s="81"/>
      <c r="P158" s="61"/>
      <c r="Q158" s="120"/>
    </row>
    <row r="159" spans="3:17" ht="16.5" customHeight="1">
      <c r="C159" s="102" t="s">
        <v>631</v>
      </c>
      <c r="P159" s="61"/>
      <c r="Q159" s="120"/>
    </row>
    <row r="160" spans="3:17" ht="16.5" customHeight="1">
      <c r="C160" s="102"/>
      <c r="P160" s="61"/>
      <c r="Q160" s="120"/>
    </row>
    <row r="161" spans="3:17" ht="16.5" customHeight="1">
      <c r="C161" s="144" t="s">
        <v>632</v>
      </c>
      <c r="F161" s="157">
        <f>+D157/16</f>
        <v>754.88293967841219</v>
      </c>
      <c r="G161" s="22" t="s">
        <v>700</v>
      </c>
      <c r="P161" s="61"/>
      <c r="Q161" s="120"/>
    </row>
    <row r="162" spans="3:17" ht="16.5" customHeight="1">
      <c r="C162" s="81"/>
      <c r="P162" s="61"/>
      <c r="Q162" s="120"/>
    </row>
    <row r="163" spans="3:17" ht="16.5" customHeight="1">
      <c r="C163" s="81"/>
      <c r="P163" s="61"/>
      <c r="Q163" s="120"/>
    </row>
    <row r="164" spans="3:17" ht="16.5" customHeight="1">
      <c r="C164" s="81"/>
      <c r="P164" s="61"/>
      <c r="Q164" s="120"/>
    </row>
    <row r="165" spans="3:17" ht="16.5" customHeight="1">
      <c r="C165" s="81"/>
      <c r="P165" s="61"/>
      <c r="Q165" s="120"/>
    </row>
    <row r="166" spans="3:17" ht="16.5" customHeight="1">
      <c r="C166" s="81"/>
      <c r="P166" s="61"/>
      <c r="Q166" s="120"/>
    </row>
    <row r="167" spans="3:17" ht="16.5" customHeight="1">
      <c r="C167" s="81"/>
      <c r="P167" s="61"/>
      <c r="Q167" s="120"/>
    </row>
    <row r="168" spans="3:17" ht="16.5" customHeight="1">
      <c r="C168" s="81"/>
      <c r="P168" s="61"/>
      <c r="Q168" s="120"/>
    </row>
    <row r="169" spans="3:17" ht="16.5" customHeight="1">
      <c r="C169" s="81"/>
      <c r="P169" s="61"/>
      <c r="Q169" s="120"/>
    </row>
    <row r="170" spans="3:17" ht="16.5" customHeight="1">
      <c r="C170" s="81"/>
      <c r="P170" s="61"/>
      <c r="Q170" s="120"/>
    </row>
    <row r="171" spans="3:17" ht="16.5" customHeight="1">
      <c r="C171" s="81"/>
      <c r="P171" s="61"/>
      <c r="Q171" s="120"/>
    </row>
    <row r="172" spans="3:17" ht="16.5" customHeight="1">
      <c r="C172" s="81"/>
      <c r="P172" s="61"/>
      <c r="Q172" s="120"/>
    </row>
    <row r="173" spans="3:17" ht="16.5" hidden="1" customHeight="1">
      <c r="C173" s="81" t="s">
        <v>638</v>
      </c>
      <c r="D173" s="42">
        <v>404.08100000000002</v>
      </c>
      <c r="E173" s="22" t="s">
        <v>628</v>
      </c>
      <c r="F173" s="22" t="s">
        <v>633</v>
      </c>
      <c r="P173" s="61"/>
      <c r="Q173" s="120"/>
    </row>
    <row r="174" spans="3:17" ht="16.5" hidden="1" customHeight="1">
      <c r="C174" s="81" t="s">
        <v>639</v>
      </c>
      <c r="D174" s="49">
        <v>404.08</v>
      </c>
      <c r="E174" s="22" t="s">
        <v>628</v>
      </c>
      <c r="F174" s="22" t="s">
        <v>634</v>
      </c>
      <c r="P174" s="61"/>
      <c r="Q174" s="120"/>
    </row>
    <row r="175" spans="3:17" ht="16.5" hidden="1" customHeight="1">
      <c r="C175" s="81"/>
      <c r="F175" s="22" t="s">
        <v>635</v>
      </c>
      <c r="P175" s="61"/>
      <c r="Q175" s="120"/>
    </row>
    <row r="176" spans="3:17" ht="16.5" hidden="1" customHeight="1">
      <c r="C176" s="81"/>
      <c r="P176" s="61"/>
      <c r="Q176" s="120"/>
    </row>
    <row r="177" spans="3:17" ht="16.5" hidden="1" customHeight="1">
      <c r="C177" s="81" t="s">
        <v>636</v>
      </c>
      <c r="D177" s="42">
        <f>D156/(D149*D150)*0.5*(('Armaduras y anclajes'!D190-'Cálculo de estructura'!D27)*0.5)^2</f>
        <v>472.92125336236097</v>
      </c>
      <c r="E177" s="22" t="s">
        <v>628</v>
      </c>
      <c r="F177" s="22" t="s">
        <v>637</v>
      </c>
      <c r="P177" s="61"/>
      <c r="Q177" s="120"/>
    </row>
    <row r="178" spans="3:17" ht="16.5" customHeight="1">
      <c r="C178" s="81" t="s">
        <v>701</v>
      </c>
      <c r="D178" s="73">
        <v>361</v>
      </c>
      <c r="E178" s="22" t="s">
        <v>488</v>
      </c>
      <c r="F178" s="22" t="s">
        <v>702</v>
      </c>
      <c r="P178" s="61"/>
      <c r="Q178" s="120"/>
    </row>
    <row r="179" spans="3:17" ht="16.5" customHeight="1">
      <c r="C179" s="81" t="s">
        <v>704</v>
      </c>
      <c r="D179" s="49">
        <f>D152*0.6</f>
        <v>1518</v>
      </c>
      <c r="E179" s="22" t="s">
        <v>488</v>
      </c>
      <c r="F179" s="43" t="str">
        <f>IF(D179&gt;D178,"CUMPLE","NO CUMPLE")</f>
        <v>CUMPLE</v>
      </c>
      <c r="P179" s="61"/>
      <c r="Q179" s="120"/>
    </row>
    <row r="180" spans="3:17" ht="16.5" customHeight="1">
      <c r="C180" s="81"/>
      <c r="D180" s="49"/>
      <c r="P180" s="61"/>
      <c r="Q180" s="120"/>
    </row>
    <row r="181" spans="3:17" ht="16.5" hidden="1" customHeight="1">
      <c r="C181" s="102" t="s">
        <v>703</v>
      </c>
      <c r="P181" s="61"/>
      <c r="Q181" s="120"/>
    </row>
    <row r="182" spans="3:17" ht="16.5" hidden="1" customHeight="1">
      <c r="C182" s="102"/>
      <c r="P182" s="61"/>
      <c r="Q182" s="120"/>
    </row>
    <row r="183" spans="3:17" ht="16.5" hidden="1" customHeight="1">
      <c r="C183" s="81" t="s">
        <v>627</v>
      </c>
      <c r="D183" s="42">
        <f>SQRT(6*MAX(D173:D174,D177)/(0.75*D152))</f>
        <v>1.222866784522054</v>
      </c>
      <c r="E183" s="22" t="s">
        <v>353</v>
      </c>
      <c r="F183" s="22" t="s">
        <v>630</v>
      </c>
      <c r="P183" s="61"/>
      <c r="Q183" s="120"/>
    </row>
    <row r="184" spans="3:17" ht="16.5" hidden="1" customHeight="1">
      <c r="C184" s="81"/>
      <c r="P184" s="61"/>
      <c r="Q184" s="120"/>
    </row>
    <row r="185" spans="3:17" ht="16.5" customHeight="1">
      <c r="C185" s="144" t="str">
        <f>"USAR PLACA DE "&amp;D149&amp;" X "&amp;D150&amp;" cm,  e = 25 mm"</f>
        <v>USAR PLACA DE 22 X 22 cm,  e = 25 mm</v>
      </c>
      <c r="P185" s="61"/>
      <c r="Q185" s="120"/>
    </row>
    <row r="186" spans="3:17" ht="16.5" customHeight="1">
      <c r="C186" s="81"/>
      <c r="P186" s="61"/>
      <c r="Q186" s="120"/>
    </row>
    <row r="187" spans="3:17" ht="16.5" customHeight="1">
      <c r="C187" s="36" t="s">
        <v>520</v>
      </c>
      <c r="D187" s="42"/>
    </row>
    <row r="188" spans="3:17" ht="16.5" customHeight="1">
      <c r="C188" s="22" t="s">
        <v>521</v>
      </c>
      <c r="I188" s="49"/>
      <c r="J188" s="56"/>
      <c r="K188" s="43"/>
    </row>
    <row r="189" spans="3:17" ht="16.5" customHeight="1">
      <c r="F189" s="52"/>
      <c r="G189" s="108"/>
    </row>
    <row r="190" spans="3:17" ht="16.5" customHeight="1">
      <c r="C190" s="52" t="s">
        <v>554</v>
      </c>
      <c r="D190" s="41">
        <v>22</v>
      </c>
      <c r="E190" s="22" t="s">
        <v>353</v>
      </c>
      <c r="F190" s="22" t="s">
        <v>555</v>
      </c>
    </row>
    <row r="191" spans="3:17" ht="16.5" customHeight="1">
      <c r="C191" s="52" t="s">
        <v>505</v>
      </c>
      <c r="D191" s="41">
        <v>22</v>
      </c>
      <c r="E191" s="22" t="s">
        <v>353</v>
      </c>
      <c r="F191" s="22" t="s">
        <v>556</v>
      </c>
      <c r="H191" s="49"/>
    </row>
    <row r="192" spans="3:17" ht="16.5" customHeight="1">
      <c r="C192" s="52" t="s">
        <v>557</v>
      </c>
      <c r="D192" s="41">
        <v>4.5</v>
      </c>
      <c r="E192" s="22" t="s">
        <v>353</v>
      </c>
      <c r="F192" s="22" t="s">
        <v>558</v>
      </c>
      <c r="I192" s="56"/>
      <c r="J192" s="36"/>
      <c r="L192" s="58"/>
    </row>
    <row r="193" spans="3:15" ht="16.5" customHeight="1">
      <c r="F193" s="120"/>
      <c r="G193" s="59"/>
      <c r="H193" s="49"/>
      <c r="I193" s="49"/>
      <c r="J193" s="56"/>
      <c r="K193" s="43"/>
    </row>
    <row r="194" spans="3:15" ht="16.5" customHeight="1">
      <c r="C194" s="118" t="s">
        <v>516</v>
      </c>
      <c r="D194" s="47">
        <v>0.65</v>
      </c>
      <c r="F194" s="120" t="s">
        <v>528</v>
      </c>
      <c r="G194" s="59"/>
      <c r="H194" s="49"/>
      <c r="I194" s="49"/>
      <c r="J194" s="56"/>
      <c r="K194" s="43"/>
    </row>
    <row r="195" spans="3:15" ht="16.5" customHeight="1">
      <c r="C195" s="52" t="s">
        <v>511</v>
      </c>
      <c r="D195" s="126">
        <f>(('Cálculo de cargas'!J130/(0.01*'Armaduras y anclajes'!D121))/('Armaduras y anclajes'!D122/2)+'Cálculo de cargas'!C130/'Armaduras y anclajes'!D122)*1.5</f>
        <v>19074.490552281895</v>
      </c>
      <c r="E195" s="22" t="s">
        <v>525</v>
      </c>
      <c r="F195" s="22" t="s">
        <v>526</v>
      </c>
      <c r="I195" s="56"/>
      <c r="J195" s="22" t="s">
        <v>692</v>
      </c>
    </row>
    <row r="196" spans="3:15" ht="16.5" customHeight="1">
      <c r="C196" s="52"/>
      <c r="D196" s="72"/>
      <c r="I196" s="56"/>
      <c r="J196" s="36"/>
    </row>
    <row r="197" spans="3:15" ht="16.5" customHeight="1">
      <c r="C197" s="52" t="s">
        <v>522</v>
      </c>
      <c r="D197" s="72">
        <f>D190*D191</f>
        <v>484</v>
      </c>
      <c r="E197" s="22" t="s">
        <v>348</v>
      </c>
    </row>
    <row r="198" spans="3:15" ht="16.5" customHeight="1">
      <c r="C198" s="52" t="s">
        <v>523</v>
      </c>
      <c r="D198" s="72">
        <f>(D190+2*D192)*(D191+2*D192)</f>
        <v>961</v>
      </c>
      <c r="E198" s="22" t="s">
        <v>348</v>
      </c>
    </row>
    <row r="199" spans="3:15" ht="16.5" customHeight="1">
      <c r="N199" s="43"/>
    </row>
    <row r="200" spans="3:15" ht="16.5" customHeight="1">
      <c r="C200" s="52" t="s">
        <v>527</v>
      </c>
      <c r="D200" s="49">
        <f>D194*0.85*G6*D197*IF(SQRT(D198/D197)&gt;2,2,SQRT(D198/D197))</f>
        <v>75361</v>
      </c>
      <c r="E200" s="22" t="s">
        <v>525</v>
      </c>
      <c r="F200" s="63" t="s">
        <v>529</v>
      </c>
      <c r="G200" s="108"/>
      <c r="N200" s="43"/>
    </row>
    <row r="201" spans="3:15" ht="16.5" customHeight="1">
      <c r="F201" s="112" t="str">
        <f>IF(D200&gt;D195,"CUMPLE","NO CUMPLE")</f>
        <v>CUMPLE</v>
      </c>
    </row>
    <row r="202" spans="3:15" ht="16.5" customHeight="1">
      <c r="F202" s="120"/>
      <c r="H202" s="49"/>
      <c r="O202" s="120"/>
    </row>
    <row r="203" spans="3:15" ht="16.5" customHeight="1">
      <c r="J203" s="120"/>
      <c r="L203" s="49"/>
      <c r="N203" s="43"/>
    </row>
    <row r="204" spans="3:15" ht="16.5" customHeight="1">
      <c r="C204" s="36" t="s">
        <v>641</v>
      </c>
      <c r="I204" s="49"/>
      <c r="J204" s="56"/>
      <c r="K204" s="36"/>
      <c r="N204" s="61"/>
    </row>
    <row r="205" spans="3:15" ht="16.5" customHeight="1">
      <c r="C205" s="49"/>
      <c r="J205" s="120"/>
      <c r="L205" s="49"/>
      <c r="N205" s="43"/>
    </row>
    <row r="206" spans="3:15" ht="16.5" customHeight="1">
      <c r="C206" s="49" t="s">
        <v>642</v>
      </c>
      <c r="D206" s="46">
        <v>30</v>
      </c>
      <c r="E206" s="22" t="s">
        <v>353</v>
      </c>
      <c r="F206" s="63" t="s">
        <v>645</v>
      </c>
      <c r="G206" s="108"/>
      <c r="N206" s="61"/>
    </row>
    <row r="207" spans="3:15" ht="16.5" customHeight="1">
      <c r="C207" s="49" t="s">
        <v>643</v>
      </c>
      <c r="D207" s="46">
        <v>31</v>
      </c>
      <c r="E207" s="22" t="s">
        <v>353</v>
      </c>
      <c r="F207" s="22" t="s">
        <v>646</v>
      </c>
      <c r="N207" s="61"/>
    </row>
    <row r="208" spans="3:15" ht="16.5" customHeight="1">
      <c r="C208" s="49" t="s">
        <v>644</v>
      </c>
      <c r="D208" s="46">
        <v>40</v>
      </c>
      <c r="E208" s="22" t="s">
        <v>353</v>
      </c>
      <c r="F208" s="22" t="s">
        <v>695</v>
      </c>
      <c r="N208" s="61"/>
    </row>
    <row r="209" spans="1:14" ht="16.5" customHeight="1">
      <c r="C209" s="49" t="s">
        <v>546</v>
      </c>
      <c r="D209" s="56">
        <v>1</v>
      </c>
      <c r="E209" s="22" t="s">
        <v>675</v>
      </c>
      <c r="F209" s="22" t="s">
        <v>548</v>
      </c>
      <c r="J209" s="120"/>
      <c r="L209" s="62"/>
      <c r="N209" s="43"/>
    </row>
    <row r="210" spans="1:14" ht="16.5" customHeight="1">
      <c r="C210" s="49"/>
      <c r="D210" s="56"/>
      <c r="J210" s="120"/>
      <c r="L210" s="62"/>
      <c r="N210" s="43"/>
    </row>
    <row r="211" spans="1:14" ht="16.5" customHeight="1">
      <c r="C211" s="63" t="s">
        <v>680</v>
      </c>
      <c r="D211" s="56"/>
      <c r="J211" s="120"/>
      <c r="L211" s="62"/>
      <c r="N211" s="43"/>
    </row>
    <row r="212" spans="1:14" ht="16.5" customHeight="1">
      <c r="C212" s="49"/>
      <c r="D212" s="56"/>
      <c r="J212" s="120"/>
      <c r="L212" s="62"/>
      <c r="N212" s="43"/>
    </row>
    <row r="213" spans="1:14" ht="16.5" customHeight="1">
      <c r="C213" s="102" t="s">
        <v>662</v>
      </c>
      <c r="D213" s="57"/>
      <c r="J213" s="120"/>
      <c r="L213" s="62"/>
      <c r="N213" s="43"/>
    </row>
    <row r="214" spans="1:14" ht="16.5" customHeight="1">
      <c r="C214" s="49"/>
      <c r="D214" s="57"/>
      <c r="J214" s="120"/>
      <c r="L214" s="62"/>
      <c r="N214" s="43"/>
    </row>
    <row r="215" spans="1:14" ht="16.5" customHeight="1">
      <c r="C215" s="52" t="s">
        <v>650</v>
      </c>
      <c r="D215" s="72">
        <f>(D207/2+D206)^2</f>
        <v>2070.25</v>
      </c>
      <c r="E215" s="22" t="s">
        <v>348</v>
      </c>
      <c r="F215" s="22" t="s">
        <v>649</v>
      </c>
      <c r="J215" s="120"/>
      <c r="L215" s="62"/>
      <c r="N215" s="43"/>
    </row>
    <row r="216" spans="1:14" ht="16.5" customHeight="1">
      <c r="C216" s="52" t="s">
        <v>651</v>
      </c>
      <c r="D216" s="72">
        <f>9*D208^2</f>
        <v>14400</v>
      </c>
      <c r="E216" s="22" t="s">
        <v>348</v>
      </c>
      <c r="F216" s="22" t="s">
        <v>652</v>
      </c>
      <c r="J216" s="120"/>
      <c r="L216" s="62"/>
      <c r="N216" s="43"/>
    </row>
    <row r="217" spans="1:14" ht="16.5" customHeight="1">
      <c r="C217" s="52"/>
      <c r="D217" s="57"/>
      <c r="J217" s="120"/>
      <c r="L217" s="62"/>
      <c r="N217" s="43"/>
    </row>
    <row r="218" spans="1:14" ht="16.5" customHeight="1">
      <c r="C218" s="52" t="s">
        <v>647</v>
      </c>
      <c r="D218" s="86">
        <f>0.7+0.3*D206/(1.5*D208)</f>
        <v>0.85</v>
      </c>
      <c r="F218" s="120" t="s">
        <v>648</v>
      </c>
      <c r="I218" s="49"/>
      <c r="J218" s="49"/>
      <c r="K218" s="49"/>
      <c r="L218" s="49"/>
      <c r="M218" s="36"/>
      <c r="N218" s="61"/>
    </row>
    <row r="219" spans="1:14" ht="16.5" customHeight="1">
      <c r="C219" s="52"/>
      <c r="D219" s="86"/>
      <c r="F219" s="120"/>
      <c r="I219" s="49"/>
      <c r="J219" s="49"/>
      <c r="K219" s="49"/>
      <c r="L219" s="49"/>
      <c r="M219" s="36"/>
      <c r="N219" s="61"/>
    </row>
    <row r="220" spans="1:14" ht="16.5" customHeight="1">
      <c r="C220" s="52" t="s">
        <v>653</v>
      </c>
      <c r="D220" s="49">
        <v>10</v>
      </c>
      <c r="F220" s="22" t="s">
        <v>654</v>
      </c>
      <c r="J220" s="120"/>
      <c r="L220" s="62"/>
      <c r="N220" s="43"/>
    </row>
    <row r="221" spans="1:14" ht="16.5" customHeight="1">
      <c r="C221" s="52"/>
      <c r="D221" s="49"/>
      <c r="F221" s="22" t="s">
        <v>655</v>
      </c>
    </row>
    <row r="222" spans="1:14" ht="16.5" customHeight="1">
      <c r="A222" s="47"/>
      <c r="C222" s="52"/>
      <c r="D222" s="49"/>
    </row>
    <row r="223" spans="1:14" ht="16.5" customHeight="1">
      <c r="A223" s="47"/>
      <c r="C223" s="81" t="s">
        <v>656</v>
      </c>
      <c r="D223" s="72">
        <f>D220*SQRT(G6)*D208^1.5</f>
        <v>35777.087639996644</v>
      </c>
      <c r="E223" s="22" t="s">
        <v>386</v>
      </c>
      <c r="F223" s="22" t="s">
        <v>657</v>
      </c>
    </row>
    <row r="224" spans="1:14" ht="16.5" customHeight="1">
      <c r="A224" s="47"/>
      <c r="C224" s="52"/>
      <c r="D224" s="49"/>
      <c r="N224" s="43"/>
    </row>
    <row r="225" spans="1:11" ht="16.5" customHeight="1">
      <c r="A225" s="47"/>
      <c r="C225" s="52" t="s">
        <v>658</v>
      </c>
      <c r="D225" s="72">
        <f>D215/D216*D218*D223</f>
        <v>4372.0408565067773</v>
      </c>
      <c r="E225" s="22" t="s">
        <v>386</v>
      </c>
      <c r="F225" s="22" t="s">
        <v>659</v>
      </c>
    </row>
    <row r="226" spans="1:11" ht="16.5" customHeight="1">
      <c r="A226" s="47"/>
      <c r="C226" s="52"/>
      <c r="D226" s="49"/>
    </row>
    <row r="227" spans="1:11" ht="16.5" customHeight="1">
      <c r="A227" s="47"/>
      <c r="C227" s="117" t="s">
        <v>516</v>
      </c>
      <c r="D227" s="48">
        <v>0.8</v>
      </c>
      <c r="F227" s="22" t="s">
        <v>660</v>
      </c>
    </row>
    <row r="228" spans="1:11" ht="16.5" customHeight="1">
      <c r="A228" s="47"/>
    </row>
    <row r="229" spans="1:11" ht="16.5" customHeight="1">
      <c r="A229" s="47"/>
      <c r="C229" s="117" t="s">
        <v>661</v>
      </c>
      <c r="D229" s="42">
        <f>D225*D227</f>
        <v>3497.6326852054221</v>
      </c>
      <c r="E229" s="22" t="s">
        <v>386</v>
      </c>
      <c r="F229" s="22" t="str">
        <f>IF(D229&gt;H229,"&gt;","&lt;")</f>
        <v>&lt;</v>
      </c>
      <c r="G229" s="52" t="s">
        <v>679</v>
      </c>
      <c r="H229" s="59">
        <f>D157</f>
        <v>12078.127034854595</v>
      </c>
      <c r="I229" s="22" t="s">
        <v>386</v>
      </c>
      <c r="K229" s="36" t="str">
        <f>IF(D229&gt;H229,"CUMPLE","NO CUMPLE")</f>
        <v>NO CUMPLE</v>
      </c>
    </row>
    <row r="230" spans="1:11" ht="16.5" customHeight="1">
      <c r="A230" s="47"/>
      <c r="C230" s="52"/>
      <c r="I230" s="120"/>
    </row>
    <row r="231" spans="1:11" ht="16.5" customHeight="1">
      <c r="A231" s="47"/>
      <c r="C231" s="102" t="s">
        <v>485</v>
      </c>
      <c r="D231" s="42"/>
    </row>
    <row r="232" spans="1:11" ht="16.5" customHeight="1">
      <c r="A232" s="47"/>
    </row>
    <row r="233" spans="1:11" ht="16.5" customHeight="1">
      <c r="A233" s="47"/>
      <c r="C233" s="52" t="s">
        <v>664</v>
      </c>
      <c r="D233" s="72">
        <f>1.5*D206*(1.5*D206+D206)</f>
        <v>3375</v>
      </c>
      <c r="E233" s="22" t="s">
        <v>348</v>
      </c>
      <c r="F233" s="22" t="s">
        <v>649</v>
      </c>
      <c r="J233" s="120"/>
    </row>
    <row r="234" spans="1:11" ht="16.5" customHeight="1">
      <c r="A234" s="47"/>
      <c r="C234" s="52" t="s">
        <v>663</v>
      </c>
      <c r="D234" s="72">
        <f>4.5*D206^2</f>
        <v>4050</v>
      </c>
      <c r="E234" s="22" t="s">
        <v>348</v>
      </c>
      <c r="F234" s="22" t="s">
        <v>652</v>
      </c>
      <c r="J234" s="120"/>
    </row>
    <row r="235" spans="1:11" ht="16.5" customHeight="1">
      <c r="A235" s="47"/>
      <c r="C235" s="52"/>
      <c r="D235" s="57"/>
      <c r="J235" s="120"/>
    </row>
    <row r="236" spans="1:11" ht="16.5" customHeight="1">
      <c r="A236" s="47"/>
      <c r="C236" s="52" t="s">
        <v>647</v>
      </c>
      <c r="D236" s="86">
        <f>0.7+0.3/1.5</f>
        <v>0.89999999999999991</v>
      </c>
      <c r="F236" s="120" t="s">
        <v>648</v>
      </c>
      <c r="I236" s="49"/>
      <c r="J236" s="49"/>
      <c r="K236" s="49"/>
    </row>
    <row r="237" spans="1:11" ht="16.5" customHeight="1">
      <c r="A237" s="47"/>
      <c r="C237" s="52"/>
      <c r="D237" s="86"/>
      <c r="F237" s="120"/>
      <c r="I237" s="49"/>
      <c r="J237" s="49"/>
      <c r="K237" s="49"/>
    </row>
    <row r="238" spans="1:11" ht="16.5" customHeight="1">
      <c r="C238" s="81" t="s">
        <v>668</v>
      </c>
      <c r="D238" s="72">
        <f>0.6*(D208/(2.54*D209))^0.2*SQRT(D209*2.54)*SQRT(G6)*D206^1.5</f>
        <v>3856.6501432517261</v>
      </c>
      <c r="E238" s="22" t="s">
        <v>386</v>
      </c>
      <c r="F238" s="22" t="s">
        <v>665</v>
      </c>
    </row>
    <row r="239" spans="1:11" ht="16.5" customHeight="1">
      <c r="C239" s="52"/>
      <c r="D239" s="49"/>
    </row>
    <row r="240" spans="1:11" ht="16.5" customHeight="1">
      <c r="C240" s="52" t="s">
        <v>669</v>
      </c>
      <c r="D240" s="72">
        <f>D236*D238</f>
        <v>3470.985128926553</v>
      </c>
      <c r="E240" s="22" t="s">
        <v>386</v>
      </c>
      <c r="F240" s="22" t="s">
        <v>666</v>
      </c>
    </row>
    <row r="241" spans="3:11" ht="16.5" customHeight="1">
      <c r="C241" s="52"/>
      <c r="D241" s="49"/>
    </row>
    <row r="242" spans="3:11" ht="16.5" customHeight="1">
      <c r="C242" s="117" t="s">
        <v>516</v>
      </c>
      <c r="D242" s="48">
        <v>0.75</v>
      </c>
      <c r="F242" s="22" t="s">
        <v>694</v>
      </c>
    </row>
    <row r="244" spans="3:11" ht="16.5" customHeight="1">
      <c r="C244" s="117" t="s">
        <v>667</v>
      </c>
      <c r="D244" s="42">
        <f>D240*D242</f>
        <v>2603.2388466949146</v>
      </c>
      <c r="E244" s="22" t="s">
        <v>386</v>
      </c>
      <c r="F244" s="22" t="str">
        <f>IF(D244&gt;H244,"&gt;","&lt;")</f>
        <v>&gt;</v>
      </c>
      <c r="G244" s="52" t="s">
        <v>670</v>
      </c>
      <c r="H244" s="46">
        <f>D137</f>
        <v>493.68750035477746</v>
      </c>
      <c r="I244" s="22" t="s">
        <v>386</v>
      </c>
      <c r="K244" s="36" t="str">
        <f>IF(D244&gt;H244,"CUMPLE","NO CUMPLE")</f>
        <v>CUMPLE</v>
      </c>
    </row>
    <row r="246" spans="3:11" ht="16.5" customHeight="1">
      <c r="C246" s="22" t="s">
        <v>671</v>
      </c>
    </row>
    <row r="248" spans="3:11" ht="16.5" customHeight="1">
      <c r="E248" s="42">
        <f>H229/D229+H244/D244</f>
        <v>3.6428726855292815</v>
      </c>
      <c r="F248" s="49" t="str">
        <f>IF(E248&gt;G248,"&gt;","&lt;")</f>
        <v>&gt;</v>
      </c>
      <c r="G248" s="22">
        <v>1.2</v>
      </c>
      <c r="I248" s="36" t="str">
        <f>IF(E248&lt;G248,"CUMPLE","NO CUMPLE")</f>
        <v>NO CUMPLE</v>
      </c>
    </row>
    <row r="251" spans="3:11" ht="16.5" customHeight="1">
      <c r="C251" s="36" t="s">
        <v>672</v>
      </c>
    </row>
    <row r="253" spans="3:11" ht="16.5" customHeight="1">
      <c r="C253" s="52" t="s">
        <v>673</v>
      </c>
      <c r="D253" s="49">
        <v>10</v>
      </c>
      <c r="E253" s="22" t="s">
        <v>488</v>
      </c>
      <c r="F253" s="22" t="s">
        <v>674</v>
      </c>
    </row>
    <row r="255" spans="3:11" ht="16.5" customHeight="1">
      <c r="C255" s="52" t="s">
        <v>676</v>
      </c>
      <c r="D255" s="72">
        <f>D209*2.54*PI()*D208</f>
        <v>319.18581360472297</v>
      </c>
      <c r="E255" s="22" t="s">
        <v>348</v>
      </c>
      <c r="F255" s="22" t="s">
        <v>678</v>
      </c>
    </row>
    <row r="257" spans="3:11" ht="16.5" customHeight="1">
      <c r="C257" s="117" t="s">
        <v>677</v>
      </c>
      <c r="D257" s="72">
        <f>D255*D253*D227</f>
        <v>2553.4865088377842</v>
      </c>
      <c r="E257" s="22" t="s">
        <v>386</v>
      </c>
      <c r="F257" s="22" t="str">
        <f>IF(D257&gt;H257,"&gt;","&lt;")</f>
        <v>&lt;</v>
      </c>
      <c r="G257" s="52" t="s">
        <v>679</v>
      </c>
      <c r="H257" s="59">
        <f>H229</f>
        <v>12078.127034854595</v>
      </c>
      <c r="I257" s="22" t="s">
        <v>386</v>
      </c>
      <c r="K257" s="36" t="str">
        <f>IF(D257&gt;H257,"CUMPLE","NO CUMPLE")</f>
        <v>NO CUMPLE</v>
      </c>
    </row>
  </sheetData>
  <mergeCells count="1">
    <mergeCell ref="F145:M145"/>
  </mergeCells>
  <conditionalFormatting sqref="K59:K144 L1:P144 K1:K57 J43:J144 A1:J22 A23:F23 J24:J41 A24:I144 A146:I1048576 A145:F145 L146:P1048576 N145:P145 J146:K65539">
    <cfRule type="containsText" dxfId="4" priority="7" operator="containsText" text="NO CUMPLE">
      <formula>NOT(ISERROR(SEARCH("NO CUMPLE",A1)))</formula>
    </cfRule>
  </conditionalFormatting>
  <conditionalFormatting sqref="J115:J116 A115:I117 K115:P117">
    <cfRule type="containsText" dxfId="3" priority="4" operator="containsText" text="NO CUMPLE">
      <formula>NOT(ISERROR(SEARCH("NO CUMPLE",A115)))</formula>
    </cfRule>
  </conditionalFormatting>
  <conditionalFormatting sqref="L135:M137">
    <cfRule type="containsText" dxfId="2" priority="3" operator="containsText" text="NO CUMPLE">
      <formula>NOT(ISERROR(SEARCH("NO CUMPLE",L135)))</formula>
    </cfRule>
  </conditionalFormatting>
  <conditionalFormatting sqref="L135:M137">
    <cfRule type="containsText" dxfId="1" priority="2" operator="containsText" text="NO CUMPLE">
      <formula>NOT(ISERROR(SEARCH("NO CUMPLE",L135)))</formula>
    </cfRule>
  </conditionalFormatting>
  <conditionalFormatting sqref="C139">
    <cfRule type="containsText" dxfId="0" priority="1" operator="containsText" text="NO CUMPLE">
      <formula>NOT(ISERROR(SEARCH("NO CUMPLE",C139)))</formula>
    </cfRule>
  </conditionalFormatting>
  <dataValidations disablePrompts="1" count="2">
    <dataValidation type="list" allowBlank="1" showInputMessage="1" showErrorMessage="1" sqref="F129" xr:uid="{00000000-0002-0000-0300-000000000000}">
      <formula1>$C$52:$C$55</formula1>
    </dataValidation>
    <dataValidation type="list" allowBlank="1" showInputMessage="1" showErrorMessage="1" sqref="D124" xr:uid="{00000000-0002-0000-0300-000001000000}">
      <formula1>Nombres_pernos</formula1>
    </dataValidation>
  </dataValidations>
  <pageMargins left="0.7" right="0.7" top="0.75" bottom="0.75" header="0.3" footer="0.3"/>
  <pageSetup paperSize="9" scale="60" orientation="portrait" r:id="rId1"/>
  <rowBreaks count="2" manualBreakCount="2">
    <brk id="68" max="15" man="1"/>
    <brk id="144" max="1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U143"/>
  <sheetViews>
    <sheetView zoomScale="85" zoomScaleNormal="85" zoomScaleSheetLayoutView="85" workbookViewId="0">
      <selection activeCell="J5" sqref="J5"/>
    </sheetView>
  </sheetViews>
  <sheetFormatPr baseColWidth="10" defaultColWidth="8.42578125" defaultRowHeight="16.5" customHeight="1"/>
  <cols>
    <col min="1" max="1" width="3.42578125" style="50" customWidth="1"/>
    <col min="2" max="2" width="2.42578125" style="22" customWidth="1"/>
    <col min="3" max="3" width="8.42578125" style="22"/>
    <col min="4" max="4" width="11" style="22" bestFit="1" customWidth="1"/>
    <col min="5" max="9" width="8.42578125" style="22"/>
    <col min="10" max="10" width="10.28515625" style="22" bestFit="1" customWidth="1"/>
    <col min="11" max="11" width="8.42578125" style="22"/>
    <col min="12" max="12" width="9.42578125" style="22" bestFit="1" customWidth="1"/>
    <col min="13" max="15" width="8.42578125" style="22"/>
    <col min="16" max="16" width="2.85546875" style="22" customWidth="1"/>
    <col min="17" max="16384" width="8.42578125" style="22"/>
  </cols>
  <sheetData>
    <row r="1" spans="1:21" ht="14.25">
      <c r="A1" s="40"/>
    </row>
    <row r="2" spans="1:21" ht="15.75">
      <c r="A2" s="40"/>
      <c r="C2" s="21" t="s">
        <v>594</v>
      </c>
    </row>
    <row r="3" spans="1:21" ht="14.25">
      <c r="A3" s="40"/>
    </row>
    <row r="4" spans="1:21" ht="15">
      <c r="A4" s="40"/>
      <c r="C4" s="36"/>
      <c r="I4" s="52" t="s">
        <v>354</v>
      </c>
      <c r="J4" s="41">
        <v>2.3660000000000001</v>
      </c>
      <c r="K4" s="22" t="s">
        <v>4</v>
      </c>
      <c r="L4" s="22" t="s">
        <v>358</v>
      </c>
      <c r="S4" s="52" t="s">
        <v>498</v>
      </c>
      <c r="T4" s="156">
        <v>330</v>
      </c>
    </row>
    <row r="5" spans="1:21" ht="15">
      <c r="A5" s="40"/>
      <c r="D5" s="49"/>
      <c r="I5" s="52" t="s">
        <v>355</v>
      </c>
      <c r="J5" s="73">
        <v>3</v>
      </c>
      <c r="L5" s="22" t="s">
        <v>361</v>
      </c>
      <c r="S5" s="52" t="s">
        <v>499</v>
      </c>
      <c r="T5" s="36">
        <f>(D27*2+2*D49/COS(J8*PI()/180))*0.01</f>
        <v>0.3685078336457982</v>
      </c>
      <c r="U5" s="22" t="s">
        <v>445</v>
      </c>
    </row>
    <row r="6" spans="1:21" ht="14.25">
      <c r="A6" s="40"/>
      <c r="D6" s="41"/>
      <c r="F6" s="23"/>
      <c r="I6" s="52" t="s">
        <v>349</v>
      </c>
      <c r="J6" s="41">
        <v>0.8</v>
      </c>
      <c r="K6" s="22" t="s">
        <v>4</v>
      </c>
      <c r="L6" s="22" t="s">
        <v>359</v>
      </c>
    </row>
    <row r="7" spans="1:21" ht="15" customHeight="1">
      <c r="A7" s="40"/>
      <c r="D7" s="41"/>
      <c r="F7" s="23"/>
      <c r="I7" s="52" t="s">
        <v>362</v>
      </c>
      <c r="J7" s="42">
        <f>J4/J5</f>
        <v>0.78866666666666674</v>
      </c>
      <c r="K7" s="22" t="s">
        <v>4</v>
      </c>
      <c r="L7" s="22" t="s">
        <v>363</v>
      </c>
    </row>
    <row r="8" spans="1:21" ht="15">
      <c r="A8" s="40"/>
      <c r="D8" s="41"/>
      <c r="F8" s="23"/>
      <c r="I8" s="52" t="s">
        <v>356</v>
      </c>
      <c r="J8" s="42">
        <f>ATAN(J7/J6)*180/PI()</f>
        <v>44.591266584640138</v>
      </c>
      <c r="K8" s="22" t="s">
        <v>357</v>
      </c>
      <c r="L8" s="22" t="s">
        <v>360</v>
      </c>
    </row>
    <row r="9" spans="1:21" ht="14.25">
      <c r="A9" s="40"/>
      <c r="D9" s="41"/>
      <c r="F9" s="23"/>
    </row>
    <row r="10" spans="1:21" ht="15">
      <c r="A10" s="40"/>
      <c r="D10" s="41"/>
      <c r="F10" s="23"/>
      <c r="I10" s="44" t="s">
        <v>364</v>
      </c>
      <c r="L10" s="22" t="s">
        <v>105</v>
      </c>
    </row>
    <row r="11" spans="1:21" ht="14.25">
      <c r="A11" s="40"/>
      <c r="D11" s="41"/>
      <c r="F11" s="23"/>
    </row>
    <row r="12" spans="1:21" ht="14.25">
      <c r="A12" s="40"/>
      <c r="D12" s="42"/>
      <c r="F12" s="23"/>
      <c r="I12" s="52" t="s">
        <v>365</v>
      </c>
      <c r="J12" s="107">
        <f>'Cálculo de cargas'!C131*0.001</f>
        <v>10.567114400000001</v>
      </c>
      <c r="K12" s="22" t="s">
        <v>128</v>
      </c>
    </row>
    <row r="13" spans="1:21" ht="14.25">
      <c r="A13" s="40"/>
      <c r="D13" s="41"/>
      <c r="F13" s="23"/>
      <c r="I13" s="52" t="s">
        <v>366</v>
      </c>
      <c r="J13" s="107">
        <f>+'Cálculo de cargas'!E131*0.001</f>
        <v>6.0452856000000015</v>
      </c>
      <c r="K13" s="22" t="s">
        <v>128</v>
      </c>
    </row>
    <row r="14" spans="1:21" ht="14.25">
      <c r="A14" s="40"/>
      <c r="D14" s="42"/>
      <c r="F14" s="23"/>
      <c r="I14" s="52" t="s">
        <v>367</v>
      </c>
      <c r="J14" s="107">
        <f>+'Cálculo de cargas'!G131*0.001</f>
        <v>2.9729796659571122</v>
      </c>
      <c r="K14" s="22" t="s">
        <v>128</v>
      </c>
    </row>
    <row r="15" spans="1:21" ht="14.25">
      <c r="A15" s="40"/>
      <c r="D15" s="49"/>
      <c r="F15" s="23"/>
      <c r="I15" s="52" t="s">
        <v>368</v>
      </c>
      <c r="J15" s="107">
        <f>+'Cálculo de cargas'!J131*0.001</f>
        <v>5.9182996400844443</v>
      </c>
      <c r="K15" s="22" t="s">
        <v>369</v>
      </c>
      <c r="N15" s="83"/>
    </row>
    <row r="16" spans="1:21" ht="15">
      <c r="A16" s="40"/>
      <c r="C16" s="36"/>
      <c r="F16" s="23"/>
    </row>
    <row r="17" spans="1:11" ht="14.25">
      <c r="A17" s="40"/>
      <c r="F17" s="23"/>
      <c r="I17" s="22" t="s">
        <v>372</v>
      </c>
      <c r="J17" s="47">
        <v>2530</v>
      </c>
      <c r="K17" s="22" t="s">
        <v>374</v>
      </c>
    </row>
    <row r="18" spans="1:11" ht="15">
      <c r="A18" s="40"/>
      <c r="F18" s="43"/>
      <c r="I18" s="22" t="s">
        <v>373</v>
      </c>
      <c r="J18" s="74">
        <v>2100000</v>
      </c>
      <c r="K18" s="22" t="s">
        <v>374</v>
      </c>
    </row>
    <row r="19" spans="1:11" ht="15">
      <c r="A19" s="40"/>
      <c r="C19" s="44"/>
      <c r="D19" s="49"/>
      <c r="F19" s="23"/>
      <c r="G19" s="23"/>
    </row>
    <row r="20" spans="1:11" ht="15">
      <c r="A20" s="40"/>
      <c r="C20" s="44"/>
      <c r="D20" s="49"/>
      <c r="F20" s="23"/>
      <c r="G20" s="23"/>
    </row>
    <row r="21" spans="1:11" ht="15">
      <c r="A21" s="40"/>
      <c r="C21" s="44"/>
      <c r="D21" s="49"/>
      <c r="F21" s="23"/>
      <c r="G21" s="23"/>
    </row>
    <row r="22" spans="1:11" ht="14.25">
      <c r="A22" s="40"/>
      <c r="D22" s="49"/>
      <c r="F22" s="23"/>
    </row>
    <row r="23" spans="1:11" ht="15.75">
      <c r="A23" s="40"/>
      <c r="C23" s="21" t="s">
        <v>593</v>
      </c>
      <c r="D23" s="49"/>
      <c r="F23" s="23"/>
    </row>
    <row r="24" spans="1:11" ht="15">
      <c r="A24" s="40"/>
      <c r="C24" s="44"/>
      <c r="D24" s="45"/>
      <c r="F24" s="23"/>
      <c r="G24" s="23"/>
    </row>
    <row r="25" spans="1:11" ht="15.75">
      <c r="A25" s="40"/>
      <c r="C25" s="21" t="s">
        <v>346</v>
      </c>
      <c r="D25" s="46"/>
      <c r="E25" s="209" t="s">
        <v>148</v>
      </c>
      <c r="F25" s="209"/>
    </row>
    <row r="26" spans="1:11" ht="15">
      <c r="A26" s="40"/>
      <c r="C26" s="44"/>
      <c r="D26" s="46"/>
    </row>
    <row r="27" spans="1:11" ht="14.25">
      <c r="A27" s="40"/>
      <c r="C27" s="70" t="s">
        <v>349</v>
      </c>
      <c r="D27" s="78">
        <f>VLOOKUP(E25,PERFILES,5,FALSE)</f>
        <v>10</v>
      </c>
      <c r="E27" s="22" t="s">
        <v>353</v>
      </c>
      <c r="H27" s="22" t="str">
        <f>D28&amp;" cm"</f>
        <v>0,8 cm</v>
      </c>
    </row>
    <row r="28" spans="1:11" ht="14.25">
      <c r="A28" s="40"/>
      <c r="C28" s="70" t="s">
        <v>350</v>
      </c>
      <c r="D28" s="78">
        <f>VLOOKUP(E25,PERFILES,6,FALSE)</f>
        <v>0.8</v>
      </c>
      <c r="E28" s="22" t="s">
        <v>353</v>
      </c>
    </row>
    <row r="29" spans="1:11" ht="14.25">
      <c r="A29" s="40"/>
      <c r="C29" s="70" t="s">
        <v>347</v>
      </c>
      <c r="D29" s="78">
        <f>VLOOKUP(E25,PERFILES,2,FALSE)</f>
        <v>15.5</v>
      </c>
      <c r="E29" s="22" t="s">
        <v>348</v>
      </c>
      <c r="F29" s="22">
        <f>VLOOKUP("L80x8",PERFILES,5)</f>
        <v>20.3</v>
      </c>
    </row>
    <row r="30" spans="1:11" ht="14.25">
      <c r="A30" s="40"/>
      <c r="C30" s="70" t="s">
        <v>351</v>
      </c>
      <c r="D30" s="78">
        <f>VLOOKUP(E25,PERFILES,3,FALSE)</f>
        <v>1.96</v>
      </c>
      <c r="E30" s="22" t="s">
        <v>353</v>
      </c>
    </row>
    <row r="31" spans="1:11" ht="14.25">
      <c r="A31" s="40"/>
      <c r="C31" s="70" t="s">
        <v>352</v>
      </c>
      <c r="D31" s="78">
        <f>VLOOKUP(E25,PERFILES,4,FALSE)</f>
        <v>3.06</v>
      </c>
      <c r="E31" s="22" t="s">
        <v>353</v>
      </c>
      <c r="F31" s="23"/>
      <c r="G31" s="23"/>
    </row>
    <row r="32" spans="1:11" ht="15">
      <c r="A32" s="40"/>
      <c r="C32" s="44"/>
      <c r="D32" s="47"/>
      <c r="F32" s="23"/>
      <c r="G32" s="23"/>
      <c r="I32" s="207" t="str">
        <f>D27&amp;" cm"</f>
        <v>10 cm</v>
      </c>
      <c r="J32" s="207"/>
    </row>
    <row r="33" spans="1:11" ht="14.25">
      <c r="A33" s="47"/>
      <c r="C33" s="52" t="s">
        <v>371</v>
      </c>
      <c r="D33" s="48">
        <f>(D27-2*D28)/D28</f>
        <v>10.5</v>
      </c>
    </row>
    <row r="34" spans="1:11" ht="14.25">
      <c r="A34" s="47"/>
      <c r="C34" s="52" t="s">
        <v>367</v>
      </c>
      <c r="D34" s="48">
        <f>IF(D33&lt;SQRT(J18/J17),1,IF(D33&lt;1.03*SQRT(J18/J17),1.415-0.74*D33*SQRT(J17/J18),0.69*J18/(J17*D33^2)))</f>
        <v>1</v>
      </c>
    </row>
    <row r="35" spans="1:11" ht="14.25">
      <c r="A35" s="47"/>
      <c r="D35" s="75"/>
    </row>
    <row r="36" spans="1:11" ht="15">
      <c r="A36" s="47"/>
      <c r="C36" s="36" t="s">
        <v>379</v>
      </c>
      <c r="D36" s="49"/>
    </row>
    <row r="37" spans="1:11" ht="14.25">
      <c r="A37" s="47"/>
      <c r="D37" s="48"/>
    </row>
    <row r="38" spans="1:11" ht="15">
      <c r="A38" s="47"/>
      <c r="C38" s="52" t="s">
        <v>376</v>
      </c>
      <c r="D38" s="79">
        <f>J7*100</f>
        <v>78.866666666666674</v>
      </c>
      <c r="E38" s="22" t="s">
        <v>353</v>
      </c>
      <c r="G38" s="22" t="s">
        <v>377</v>
      </c>
    </row>
    <row r="39" spans="1:11" ht="14.25">
      <c r="A39" s="47"/>
      <c r="C39" s="52" t="s">
        <v>375</v>
      </c>
      <c r="D39" s="46">
        <f>(PI())^2*J18/(D38/D30)^2</f>
        <v>12801.00925856777</v>
      </c>
      <c r="E39" s="22" t="s">
        <v>374</v>
      </c>
      <c r="G39" s="22" t="s">
        <v>378</v>
      </c>
    </row>
    <row r="40" spans="1:11" ht="14.25">
      <c r="A40" s="47"/>
      <c r="C40" s="52" t="s">
        <v>380</v>
      </c>
      <c r="D40" s="42">
        <f>IF(D39&gt;0.44*J17,0.658^(J17/D39)*J17,0.877*D39)</f>
        <v>2329.1344855114257</v>
      </c>
      <c r="E40" s="22" t="s">
        <v>374</v>
      </c>
      <c r="G40" s="22" t="s">
        <v>384</v>
      </c>
    </row>
    <row r="41" spans="1:11" ht="15">
      <c r="A41" s="47"/>
      <c r="C41" s="36"/>
      <c r="D41" s="49"/>
    </row>
    <row r="42" spans="1:11" ht="15">
      <c r="A42" s="47"/>
      <c r="C42" s="81" t="s">
        <v>382</v>
      </c>
      <c r="D42" s="80">
        <f>D40*D29/1.67*0.001</f>
        <v>21.617715284686884</v>
      </c>
      <c r="E42" s="22" t="s">
        <v>128</v>
      </c>
      <c r="G42" s="22" t="s">
        <v>381</v>
      </c>
      <c r="K42"/>
    </row>
    <row r="43" spans="1:11" ht="15">
      <c r="A43" s="47"/>
      <c r="C43" s="36"/>
      <c r="D43" s="49"/>
      <c r="E43" s="49"/>
      <c r="F43" s="49"/>
      <c r="G43" s="49"/>
      <c r="H43" s="49"/>
    </row>
    <row r="44" spans="1:11" ht="15.75">
      <c r="A44" s="47"/>
      <c r="C44" s="81" t="s">
        <v>383</v>
      </c>
      <c r="D44" s="42">
        <f>J12/4+J15/(2*J6)</f>
        <v>6.3407158750527781</v>
      </c>
      <c r="E44" s="22" t="s">
        <v>128</v>
      </c>
      <c r="G44" s="109" t="str">
        <f>IF(D44&lt;D42,"CUMPLE","NO CUMPLE")</f>
        <v>CUMPLE</v>
      </c>
    </row>
    <row r="45" spans="1:11" ht="15">
      <c r="A45" s="47"/>
      <c r="C45" s="81"/>
    </row>
    <row r="46" spans="1:11" ht="14.25">
      <c r="A46" s="47"/>
      <c r="D46" s="71"/>
      <c r="E46" s="71"/>
      <c r="F46" s="71"/>
    </row>
    <row r="47" spans="1:11" ht="15">
      <c r="A47" s="47"/>
      <c r="C47" s="36" t="s">
        <v>370</v>
      </c>
      <c r="D47" s="46"/>
      <c r="E47" s="208" t="s">
        <v>301</v>
      </c>
      <c r="F47" s="208"/>
    </row>
    <row r="48" spans="1:11" ht="14.25">
      <c r="A48" s="47"/>
      <c r="D48" s="46"/>
    </row>
    <row r="49" spans="1:14" ht="14.25">
      <c r="A49" s="47"/>
      <c r="C49" s="52" t="s">
        <v>349</v>
      </c>
      <c r="D49" s="82">
        <f>VLOOKUP(E47,PERFILES,5,FALSE)</f>
        <v>6</v>
      </c>
      <c r="E49" s="22" t="s">
        <v>353</v>
      </c>
      <c r="H49" s="22" t="str">
        <f>D50&amp;" cm"</f>
        <v>0,5 cm</v>
      </c>
    </row>
    <row r="50" spans="1:14" ht="14.25">
      <c r="A50" s="47"/>
      <c r="C50" s="52" t="s">
        <v>350</v>
      </c>
      <c r="D50" s="82">
        <f>VLOOKUP(E47,PERFILES,6,FALSE)</f>
        <v>0.5</v>
      </c>
      <c r="E50" s="22" t="s">
        <v>353</v>
      </c>
    </row>
    <row r="51" spans="1:14" ht="14.25">
      <c r="A51" s="47"/>
      <c r="C51" s="52" t="s">
        <v>347</v>
      </c>
      <c r="D51" s="82">
        <f>VLOOKUP(E47,PERFILES,2,FALSE)</f>
        <v>5.82</v>
      </c>
      <c r="E51" s="22" t="s">
        <v>348</v>
      </c>
    </row>
    <row r="52" spans="1:14" ht="14.25">
      <c r="A52" s="47"/>
      <c r="C52" s="52" t="s">
        <v>351</v>
      </c>
      <c r="D52" s="82">
        <f>VLOOKUP(E47,PERFILES,3,FALSE)</f>
        <v>1.17</v>
      </c>
      <c r="E52" s="22" t="s">
        <v>353</v>
      </c>
    </row>
    <row r="53" spans="1:14" ht="14.25">
      <c r="A53" s="76"/>
      <c r="C53" s="52" t="s">
        <v>352</v>
      </c>
      <c r="D53" s="82">
        <f>VLOOKUP(E47,PERFILES,4,FALSE)</f>
        <v>1.82</v>
      </c>
      <c r="E53" s="22" t="s">
        <v>353</v>
      </c>
    </row>
    <row r="54" spans="1:14" ht="15">
      <c r="A54" s="76"/>
      <c r="I54" s="207" t="str">
        <f>D49&amp;" cm"</f>
        <v>6 cm</v>
      </c>
      <c r="J54" s="207"/>
      <c r="N54" s="43"/>
    </row>
    <row r="55" spans="1:14" ht="14.25">
      <c r="A55" s="47"/>
      <c r="C55" s="52" t="s">
        <v>371</v>
      </c>
      <c r="D55" s="48">
        <f>(D49-2*D50)/D50</f>
        <v>10</v>
      </c>
    </row>
    <row r="56" spans="1:14" ht="14.25">
      <c r="A56" s="47"/>
      <c r="C56" s="52" t="s">
        <v>367</v>
      </c>
      <c r="D56" s="48">
        <f>IF(D55&lt;SQRT(J18/J17),1,IF(D55&lt;1.03*SQRT(J18/J17),1.415-0.74*D55*SQRT(J17/J18),0.69*J18/(J17*D55^2)))</f>
        <v>1</v>
      </c>
    </row>
    <row r="57" spans="1:14" ht="14.25">
      <c r="A57" s="47"/>
      <c r="D57" s="75"/>
    </row>
    <row r="58" spans="1:14" ht="15">
      <c r="A58" s="47"/>
      <c r="C58" s="36" t="s">
        <v>379</v>
      </c>
      <c r="D58" s="49"/>
    </row>
    <row r="59" spans="1:14" ht="14.25">
      <c r="A59" s="47"/>
      <c r="D59" s="48"/>
    </row>
    <row r="60" spans="1:14" ht="15">
      <c r="A60" s="47"/>
      <c r="C60" s="52" t="s">
        <v>376</v>
      </c>
      <c r="D60" s="79">
        <f>SQRT(J6^2+J7^2)*100</f>
        <v>112.33855576386549</v>
      </c>
      <c r="E60" s="22" t="s">
        <v>353</v>
      </c>
      <c r="G60" s="22" t="s">
        <v>377</v>
      </c>
    </row>
    <row r="61" spans="1:14" ht="14.25">
      <c r="A61" s="47"/>
      <c r="C61" s="52" t="s">
        <v>375</v>
      </c>
      <c r="D61" s="46">
        <f>(PI())^2*J18/(D60/D52)^2</f>
        <v>2248.1904110379369</v>
      </c>
      <c r="E61" s="22" t="s">
        <v>374</v>
      </c>
      <c r="G61" s="22" t="s">
        <v>378</v>
      </c>
    </row>
    <row r="62" spans="1:14" ht="14.25">
      <c r="A62" s="47"/>
      <c r="C62" s="52" t="s">
        <v>380</v>
      </c>
      <c r="D62" s="42">
        <f>IF(D61&gt;0.44*J17,0.658^(J17/D61)*J17,0.877*D61)</f>
        <v>1579.6508946862266</v>
      </c>
      <c r="E62" s="22" t="s">
        <v>374</v>
      </c>
      <c r="G62" s="22" t="s">
        <v>384</v>
      </c>
    </row>
    <row r="63" spans="1:14" ht="15">
      <c r="A63" s="47"/>
      <c r="C63" s="36"/>
      <c r="D63" s="49"/>
    </row>
    <row r="64" spans="1:14" ht="15">
      <c r="A64" s="47"/>
      <c r="C64" s="81" t="s">
        <v>382</v>
      </c>
      <c r="D64" s="80">
        <f>D62*D51/1.67*0.001</f>
        <v>5.5051306629184662</v>
      </c>
      <c r="E64" s="22" t="s">
        <v>128</v>
      </c>
      <c r="G64" s="22" t="s">
        <v>381</v>
      </c>
      <c r="K64"/>
    </row>
    <row r="65" spans="1:20" ht="15">
      <c r="A65" s="47"/>
      <c r="C65" s="36"/>
      <c r="D65" s="49"/>
      <c r="E65" s="49"/>
      <c r="F65" s="49"/>
      <c r="G65" s="49"/>
      <c r="H65" s="49"/>
    </row>
    <row r="66" spans="1:20" ht="15.75">
      <c r="A66" s="47"/>
      <c r="C66" s="81" t="s">
        <v>383</v>
      </c>
      <c r="D66" s="42">
        <f>J14/(4*COS(J8*PI()/180))</f>
        <v>1.0436882562155037</v>
      </c>
      <c r="E66" s="22" t="s">
        <v>128</v>
      </c>
      <c r="G66" s="109" t="str">
        <f>IF(D66&lt;D64,"CUMPLE","NO CUMPLE")</f>
        <v>CUMPLE</v>
      </c>
    </row>
    <row r="67" spans="1:20" ht="14.25">
      <c r="A67" s="76"/>
      <c r="C67" s="52"/>
      <c r="D67" s="41"/>
    </row>
    <row r="68" spans="1:20" ht="15">
      <c r="A68" s="76"/>
      <c r="C68" s="36" t="s">
        <v>612</v>
      </c>
      <c r="D68" s="41"/>
    </row>
    <row r="69" spans="1:20" ht="14.25">
      <c r="A69" s="76"/>
      <c r="D69" s="42"/>
    </row>
    <row r="70" spans="1:20" ht="14.25">
      <c r="A70" s="76"/>
      <c r="C70" s="52"/>
      <c r="D70" s="128" t="s">
        <v>560</v>
      </c>
    </row>
    <row r="71" spans="1:20" ht="16.5" customHeight="1">
      <c r="A71" s="76"/>
      <c r="D71" s="42"/>
    </row>
    <row r="72" spans="1:20" ht="16.5" customHeight="1">
      <c r="A72" s="76"/>
      <c r="C72" s="52" t="s">
        <v>385</v>
      </c>
      <c r="D72" s="125">
        <v>0.625</v>
      </c>
      <c r="E72" s="22" t="s">
        <v>547</v>
      </c>
      <c r="F72" s="22" t="s">
        <v>561</v>
      </c>
    </row>
    <row r="73" spans="1:20" ht="16.5" customHeight="1">
      <c r="A73" s="76"/>
      <c r="C73" s="52" t="s">
        <v>562</v>
      </c>
      <c r="D73" s="42">
        <f>PI()*(D72*2.54)^2/4</f>
        <v>1.9793260902246004</v>
      </c>
      <c r="E73" s="63" t="s">
        <v>348</v>
      </c>
      <c r="F73" s="22" t="s">
        <v>563</v>
      </c>
    </row>
    <row r="74" spans="1:20" ht="16.5" customHeight="1">
      <c r="A74" s="76"/>
      <c r="C74" s="52" t="s">
        <v>355</v>
      </c>
      <c r="D74" s="47">
        <v>1</v>
      </c>
      <c r="E74" s="72"/>
      <c r="F74" s="22" t="s">
        <v>564</v>
      </c>
      <c r="J74" s="43"/>
    </row>
    <row r="75" spans="1:20" ht="16.5" customHeight="1">
      <c r="A75" s="76"/>
      <c r="C75" s="52" t="s">
        <v>565</v>
      </c>
      <c r="D75" s="47">
        <v>1476</v>
      </c>
      <c r="E75" s="22" t="s">
        <v>374</v>
      </c>
      <c r="F75" s="22" t="s">
        <v>566</v>
      </c>
    </row>
    <row r="76" spans="1:20" ht="16.5" customHeight="1">
      <c r="A76" s="76"/>
      <c r="N76" s="43"/>
    </row>
    <row r="77" spans="1:20" ht="16.5" customHeight="1">
      <c r="A77" s="76"/>
      <c r="C77" s="52" t="s">
        <v>559</v>
      </c>
      <c r="D77" s="46">
        <f>D66*100/D73</f>
        <v>52.729475015260022</v>
      </c>
      <c r="E77" s="22" t="s">
        <v>374</v>
      </c>
      <c r="F77" s="54" t="str">
        <f>IF(H77&gt;D77,"&lt;","&gt;")</f>
        <v>&lt;</v>
      </c>
      <c r="G77" s="52" t="s">
        <v>565</v>
      </c>
      <c r="H77" s="49">
        <f>D75</f>
        <v>1476</v>
      </c>
      <c r="I77" s="22" t="s">
        <v>374</v>
      </c>
      <c r="K77" s="36" t="str">
        <f>IF(H77&gt;D77,"CUMPLE","NO CUMPLE")</f>
        <v>CUMPLE</v>
      </c>
      <c r="N77" s="43"/>
    </row>
    <row r="78" spans="1:20" ht="16.5" customHeight="1">
      <c r="A78" s="76"/>
      <c r="N78" s="43"/>
    </row>
    <row r="79" spans="1:20" ht="16.5" customHeight="1">
      <c r="A79" s="76"/>
      <c r="D79" s="42"/>
      <c r="T79" s="42"/>
    </row>
    <row r="80" spans="1:20" ht="16.5" customHeight="1">
      <c r="A80" s="76"/>
      <c r="D80" s="42"/>
      <c r="T80" s="42"/>
    </row>
    <row r="81" spans="1:20" ht="16.5" customHeight="1">
      <c r="A81" s="76"/>
      <c r="D81" s="42"/>
      <c r="T81" s="42"/>
    </row>
    <row r="82" spans="1:20" ht="16.5" customHeight="1">
      <c r="A82" s="76"/>
      <c r="D82" s="53"/>
      <c r="T82" s="49"/>
    </row>
    <row r="83" spans="1:20" ht="16.5" customHeight="1">
      <c r="A83" s="76"/>
      <c r="D83" s="42"/>
      <c r="T83" s="49"/>
    </row>
    <row r="84" spans="1:20" ht="16.5" customHeight="1">
      <c r="A84" s="76"/>
      <c r="D84" s="42"/>
    </row>
    <row r="85" spans="1:20" ht="16.5" customHeight="1">
      <c r="A85" s="76"/>
      <c r="D85" s="42"/>
      <c r="H85" s="47"/>
      <c r="T85" s="49"/>
    </row>
    <row r="86" spans="1:20" ht="16.5" customHeight="1">
      <c r="A86" s="76"/>
      <c r="D86" s="42"/>
    </row>
    <row r="87" spans="1:20" ht="16.5" customHeight="1">
      <c r="A87" s="76"/>
      <c r="D87" s="42"/>
      <c r="T87" s="49"/>
    </row>
    <row r="88" spans="1:20" ht="16.5" customHeight="1">
      <c r="A88" s="76"/>
      <c r="D88" s="53"/>
      <c r="T88" s="49"/>
    </row>
    <row r="89" spans="1:20" ht="16.5" customHeight="1">
      <c r="A89" s="76"/>
      <c r="C89" s="52"/>
      <c r="D89" s="41"/>
    </row>
    <row r="90" spans="1:20" ht="16.5" customHeight="1">
      <c r="A90" s="76"/>
      <c r="C90" s="52"/>
      <c r="D90" s="41"/>
    </row>
    <row r="91" spans="1:20" ht="16.5" customHeight="1">
      <c r="A91" s="76"/>
      <c r="D91" s="49"/>
      <c r="H91" s="47"/>
    </row>
    <row r="92" spans="1:20" ht="16.5" customHeight="1">
      <c r="A92" s="76"/>
      <c r="D92" s="54"/>
    </row>
    <row r="93" spans="1:20" ht="16.5" customHeight="1">
      <c r="A93" s="76"/>
      <c r="D93" s="49"/>
      <c r="T93" s="42"/>
    </row>
    <row r="94" spans="1:20" ht="16.5" customHeight="1">
      <c r="A94" s="76"/>
      <c r="J94" s="43"/>
    </row>
    <row r="95" spans="1:20" ht="16.5" customHeight="1">
      <c r="A95" s="47"/>
    </row>
    <row r="96" spans="1:20" ht="16.5" customHeight="1">
      <c r="A96" s="47"/>
      <c r="C96" s="36"/>
    </row>
    <row r="97" spans="1:14" ht="16.5" customHeight="1">
      <c r="A97" s="47"/>
      <c r="N97" s="43"/>
    </row>
    <row r="98" spans="1:14" ht="16.5" customHeight="1">
      <c r="A98" s="76"/>
      <c r="C98" s="36"/>
    </row>
    <row r="99" spans="1:14" ht="16.5" customHeight="1">
      <c r="A99" s="76"/>
      <c r="N99" s="43"/>
    </row>
    <row r="100" spans="1:14" ht="16.5" customHeight="1">
      <c r="A100" s="76"/>
      <c r="F100" s="52"/>
      <c r="G100" s="51"/>
      <c r="N100" s="43"/>
    </row>
    <row r="101" spans="1:14" ht="16.5" customHeight="1">
      <c r="A101" s="76"/>
    </row>
    <row r="102" spans="1:14" ht="16.5" customHeight="1">
      <c r="A102" s="76"/>
      <c r="D102" s="42"/>
      <c r="F102" s="55"/>
    </row>
    <row r="103" spans="1:14" ht="16.5" customHeight="1">
      <c r="A103" s="76"/>
      <c r="D103" s="42"/>
    </row>
    <row r="104" spans="1:14" ht="15">
      <c r="A104" s="76"/>
      <c r="I104" s="49"/>
      <c r="J104" s="56"/>
      <c r="K104" s="43"/>
    </row>
    <row r="105" spans="1:14" ht="15">
      <c r="A105" s="76"/>
      <c r="F105" s="52"/>
      <c r="G105" s="51"/>
    </row>
    <row r="106" spans="1:14" ht="14.25">
      <c r="A106" s="76"/>
    </row>
    <row r="107" spans="1:14" ht="14.25">
      <c r="A107" s="76"/>
      <c r="D107" s="57"/>
      <c r="F107" s="55"/>
      <c r="H107" s="49"/>
    </row>
    <row r="108" spans="1:14" ht="15">
      <c r="A108" s="76"/>
      <c r="D108" s="57"/>
      <c r="I108" s="56"/>
      <c r="J108" s="36"/>
      <c r="L108" s="58"/>
    </row>
    <row r="109" spans="1:14" ht="15">
      <c r="A109" s="76"/>
      <c r="F109" s="55"/>
      <c r="G109" s="59"/>
      <c r="H109" s="49"/>
      <c r="I109" s="49"/>
      <c r="J109" s="56"/>
      <c r="K109" s="43"/>
    </row>
    <row r="110" spans="1:14" ht="15">
      <c r="A110" s="76"/>
      <c r="I110" s="56"/>
      <c r="J110" s="36"/>
    </row>
    <row r="111" spans="1:14" ht="14.25">
      <c r="A111" s="76"/>
    </row>
    <row r="112" spans="1:14" ht="15">
      <c r="A112" s="76"/>
      <c r="C112" s="36"/>
    </row>
    <row r="113" spans="1:15" ht="15">
      <c r="A113" s="76"/>
      <c r="N113" s="43"/>
    </row>
    <row r="114" spans="1:15" ht="15">
      <c r="A114" s="76"/>
      <c r="F114" s="52"/>
      <c r="G114" s="51"/>
      <c r="N114" s="43"/>
    </row>
    <row r="115" spans="1:15" ht="14.25">
      <c r="A115" s="76"/>
    </row>
    <row r="116" spans="1:15" ht="15">
      <c r="A116" s="76"/>
      <c r="F116" s="77"/>
      <c r="H116" s="49"/>
      <c r="O116" s="77"/>
    </row>
    <row r="117" spans="1:15" ht="15">
      <c r="A117" s="76"/>
      <c r="J117" s="77"/>
      <c r="L117" s="49"/>
      <c r="N117" s="43"/>
    </row>
    <row r="118" spans="1:15" ht="15">
      <c r="A118" s="76"/>
      <c r="I118" s="49"/>
      <c r="J118" s="56"/>
      <c r="K118" s="36"/>
      <c r="N118" s="61"/>
    </row>
    <row r="119" spans="1:15" ht="15">
      <c r="A119" s="76"/>
      <c r="J119" s="77"/>
      <c r="L119" s="49"/>
      <c r="N119" s="43"/>
    </row>
    <row r="120" spans="1:15" ht="15">
      <c r="A120" s="76"/>
      <c r="F120" s="52"/>
      <c r="G120" s="51"/>
      <c r="N120" s="61"/>
    </row>
    <row r="121" spans="1:15" ht="14.25">
      <c r="A121" s="76"/>
      <c r="N121" s="61"/>
    </row>
    <row r="122" spans="1:15" ht="15">
      <c r="A122" s="76"/>
      <c r="C122" s="77"/>
      <c r="D122" s="57"/>
      <c r="N122" s="61"/>
    </row>
    <row r="123" spans="1:15" ht="15">
      <c r="A123" s="76"/>
      <c r="D123" s="57"/>
      <c r="J123" s="77"/>
      <c r="L123" s="62"/>
      <c r="N123" s="43"/>
    </row>
    <row r="124" spans="1:15" ht="15">
      <c r="A124" s="76"/>
      <c r="C124" s="77"/>
      <c r="F124" s="77"/>
      <c r="I124" s="49"/>
      <c r="J124" s="49"/>
      <c r="K124" s="49"/>
      <c r="L124" s="49"/>
      <c r="M124" s="36"/>
      <c r="N124" s="61"/>
    </row>
    <row r="125" spans="1:15" ht="15">
      <c r="A125" s="76"/>
      <c r="J125" s="77"/>
      <c r="L125" s="62"/>
      <c r="N125" s="43"/>
    </row>
    <row r="126" spans="1:15" ht="14.25">
      <c r="A126" s="76"/>
    </row>
    <row r="127" spans="1:15" ht="14.25">
      <c r="A127" s="47"/>
    </row>
    <row r="128" spans="1:15" ht="15">
      <c r="A128" s="47"/>
      <c r="C128" s="36"/>
    </row>
    <row r="129" spans="1:14" ht="15">
      <c r="A129" s="47"/>
      <c r="N129" s="43"/>
    </row>
    <row r="130" spans="1:14" ht="15">
      <c r="A130" s="47"/>
      <c r="C130" s="63"/>
      <c r="E130" s="51"/>
    </row>
    <row r="131" spans="1:14" ht="14.25">
      <c r="A131" s="47"/>
    </row>
    <row r="132" spans="1:14" ht="14.25">
      <c r="A132" s="47"/>
      <c r="C132" s="52"/>
      <c r="D132" s="42"/>
    </row>
    <row r="133" spans="1:14" ht="14.25">
      <c r="A133" s="47"/>
    </row>
    <row r="134" spans="1:14" ht="15">
      <c r="A134" s="47"/>
      <c r="C134" s="64"/>
      <c r="D134" s="42"/>
    </row>
    <row r="135" spans="1:14" ht="15">
      <c r="A135" s="47"/>
      <c r="C135" s="64"/>
      <c r="I135" s="77"/>
    </row>
    <row r="136" spans="1:14" ht="14.25">
      <c r="A136" s="47"/>
      <c r="C136" s="52"/>
      <c r="D136" s="42"/>
    </row>
    <row r="137" spans="1:14" ht="14.25">
      <c r="A137" s="47"/>
    </row>
    <row r="138" spans="1:14" ht="14.25">
      <c r="A138" s="40"/>
      <c r="C138" s="52"/>
      <c r="D138" s="42"/>
    </row>
    <row r="139" spans="1:14" ht="14.25">
      <c r="A139" s="40"/>
    </row>
    <row r="140" spans="1:14" ht="14.25">
      <c r="A140" s="40"/>
      <c r="C140" s="52"/>
      <c r="D140" s="42"/>
    </row>
    <row r="141" spans="1:14" ht="15">
      <c r="A141" s="40"/>
      <c r="K141" s="60"/>
    </row>
    <row r="142" spans="1:14" ht="15.75">
      <c r="A142" s="40"/>
      <c r="D142" s="52"/>
      <c r="E142" s="49"/>
      <c r="H142" s="24"/>
    </row>
    <row r="143" spans="1:14" ht="14.25">
      <c r="A143" s="40"/>
    </row>
  </sheetData>
  <mergeCells count="4">
    <mergeCell ref="I54:J54"/>
    <mergeCell ref="E47:F47"/>
    <mergeCell ref="E25:F25"/>
    <mergeCell ref="I32:J32"/>
  </mergeCells>
  <dataValidations count="3">
    <dataValidation type="list" allowBlank="1" showInputMessage="1" showErrorMessage="1" sqref="E47:F47 E25:F25" xr:uid="{00000000-0002-0000-0400-000000000000}">
      <formula1>NOMBRES_PERFILES</formula1>
    </dataValidation>
    <dataValidation type="list" allowBlank="1" showInputMessage="1" showErrorMessage="1" sqref="G120 E130 G100 G105 G114" xr:uid="{00000000-0002-0000-0400-000001000000}">
      <formula1>$C$46:$C$49</formula1>
    </dataValidation>
    <dataValidation type="list" allowBlank="1" showInputMessage="1" showErrorMessage="1" sqref="F18" xr:uid="{00000000-0002-0000-0400-000002000000}">
      <formula1>Nombres_suelos</formula1>
    </dataValidation>
  </dataValidations>
  <pageMargins left="0.7" right="0.7" top="0.75" bottom="0.75" header="0.3" footer="0.3"/>
  <pageSetup paperSize="9" scale="72" orientation="portrait" r:id="rId1"/>
  <rowBreaks count="1" manualBreakCount="1">
    <brk id="22" max="14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20</vt:i4>
      </vt:variant>
    </vt:vector>
  </HeadingPairs>
  <TitlesOfParts>
    <vt:vector size="30" baseType="lpstr">
      <vt:lpstr>Datos</vt:lpstr>
      <vt:lpstr>Cálculo de cargas</vt:lpstr>
      <vt:lpstr>Zapata Método X - Y</vt:lpstr>
      <vt:lpstr>Rules</vt:lpstr>
      <vt:lpstr>State</vt:lpstr>
      <vt:lpstr>aux1</vt:lpstr>
      <vt:lpstr>Verifications</vt:lpstr>
      <vt:lpstr>Armaduras y anclajes</vt:lpstr>
      <vt:lpstr>Cálculo de estructura</vt:lpstr>
      <vt:lpstr>MC ESTRUCTURAS</vt:lpstr>
      <vt:lpstr>barras1</vt:lpstr>
      <vt:lpstr>barras11</vt:lpstr>
      <vt:lpstr>barras12</vt:lpstr>
      <vt:lpstr>barras2</vt:lpstr>
      <vt:lpstr>barras21</vt:lpstr>
      <vt:lpstr>barras22</vt:lpstr>
      <vt:lpstr>dbarras</vt:lpstr>
      <vt:lpstr>ebarras</vt:lpstr>
      <vt:lpstr>nbarras</vt:lpstr>
      <vt:lpstr>NOMBRES_PERFILES</vt:lpstr>
      <vt:lpstr>Nombres_pernos</vt:lpstr>
      <vt:lpstr>Nombres_suelos</vt:lpstr>
      <vt:lpstr>PERFILES</vt:lpstr>
      <vt:lpstr>Pernos</vt:lpstr>
      <vt:lpstr>'Armaduras y anclajes'!Print_Area</vt:lpstr>
      <vt:lpstr>'Cálculo de cargas'!Print_Area</vt:lpstr>
      <vt:lpstr>'Cálculo de estructura'!Print_Area</vt:lpstr>
      <vt:lpstr>'MC ESTRUCTURAS'!Print_Area</vt:lpstr>
      <vt:lpstr>'Zapata Método X - Y'!Print_Area</vt:lpstr>
      <vt:lpstr>Tipos_suelos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sdihur</dc:creator>
  <cp:lastModifiedBy>USER-PC</cp:lastModifiedBy>
  <cp:lastPrinted>2010-03-29T20:26:32Z</cp:lastPrinted>
  <dcterms:created xsi:type="dcterms:W3CDTF">2010-03-04T14:05:48Z</dcterms:created>
  <dcterms:modified xsi:type="dcterms:W3CDTF">2020-05-21T02:59:18Z</dcterms:modified>
</cp:coreProperties>
</file>