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C6AF9366-7009-4FEE-A36F-DDAC77FEBB60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47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" i="26" l="1"/>
  <c r="AC6" i="26"/>
  <c r="U6" i="26"/>
  <c r="M6" i="26"/>
  <c r="E6" i="26"/>
  <c r="AG6" i="26"/>
  <c r="T6" i="26"/>
  <c r="O6" i="26"/>
  <c r="W6" i="26"/>
  <c r="AE6" i="26"/>
  <c r="AD6" i="26"/>
  <c r="N6" i="26"/>
  <c r="AG6" i="9"/>
  <c r="G6" i="26"/>
  <c r="F6" i="26"/>
  <c r="D18" i="24"/>
  <c r="X6" i="9"/>
  <c r="AW6" i="26"/>
  <c r="L6" i="26"/>
  <c r="I6" i="26"/>
  <c r="Q6" i="26"/>
  <c r="AI6" i="9"/>
  <c r="D6" i="26"/>
  <c r="V6" i="9"/>
  <c r="T6" i="9"/>
  <c r="AU6" i="26"/>
  <c r="AB6" i="26"/>
  <c r="C18" i="24"/>
  <c r="Y6" i="26"/>
  <c r="AT6" i="26"/>
  <c r="AR6" i="26"/>
  <c r="V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R6" i="9"/>
  <c r="AS5" i="26" l="1"/>
  <c r="AC5" i="26"/>
  <c r="U5" i="26"/>
  <c r="M5" i="26"/>
  <c r="E5" i="26"/>
  <c r="P6" i="9"/>
  <c r="M6" i="9"/>
  <c r="O6" i="9"/>
  <c r="N6" i="9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U7" i="26"/>
  <c r="U8" i="26"/>
  <c r="AX4" i="26" l="1"/>
  <c r="AV4" i="26"/>
  <c r="AY4" i="26" s="1"/>
  <c r="AH7" i="9"/>
  <c r="AH6" i="9"/>
  <c r="AH5" i="9"/>
  <c r="AH4" i="9"/>
  <c r="AH3" i="9"/>
  <c r="AF8" i="9"/>
  <c r="AF7" i="9"/>
  <c r="AF6" i="9"/>
  <c r="AF5" i="9"/>
  <c r="AF4" i="9"/>
  <c r="L8" i="9"/>
  <c r="L7" i="9"/>
  <c r="L6" i="9"/>
  <c r="L5" i="9"/>
  <c r="L4" i="9"/>
  <c r="K8" i="9"/>
  <c r="K7" i="9"/>
  <c r="K5" i="9"/>
  <c r="K4" i="9"/>
  <c r="K6" i="9"/>
  <c r="B18" i="9"/>
  <c r="B14" i="9"/>
  <c r="AG21" i="9"/>
  <c r="AS8" i="26" l="1"/>
  <c r="AC8" i="26"/>
  <c r="M8" i="26"/>
  <c r="E8" i="26"/>
  <c r="H50" i="14" l="1"/>
  <c r="G50" i="14"/>
  <c r="F50" i="14"/>
  <c r="E50" i="14"/>
  <c r="D50" i="14"/>
  <c r="C50" i="14"/>
  <c r="B6" i="9"/>
  <c r="AS7" i="26" l="1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7" i="26" l="1"/>
  <c r="M7" i="26"/>
  <c r="E7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Q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<sst xmlns="http://schemas.openxmlformats.org/spreadsheetml/2006/main" count="1129" uniqueCount="279">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</sst>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0.52083333333333337</c:v>
                </c:pt>
                <c:pt idx="1">
                  <c:v>0.47916666666666663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_ReleaseData!$N$3:$N$8</c:f>
              <c:numCache>
                <c:formatCode>0%</c:formatCode>
                <c:ptCount val="6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_ReleaseData!$S$3:$S$8</c:f>
              <c:numCache>
                <c:formatCode>0.0</c:formatCode>
                <c:ptCount val="6"/>
                <c:pt idx="0">
                  <c:v>50</c:v>
                </c:pt>
                <c:pt idx="1">
                  <c:v>39.583333333333329</c:v>
                </c:pt>
                <c:pt idx="2">
                  <c:v>29.166666666666664</c:v>
                </c:pt>
                <c:pt idx="3">
                  <c:v>19.791666666666668</c:v>
                </c:pt>
                <c:pt idx="4">
                  <c:v>9.375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_ReleaseData!$T$3:$T$8</c:f>
              <c:numCache>
                <c:formatCode>0.0</c:formatCode>
                <c:ptCount val="6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'!$L$3:$L$8</c:f>
              <c:numCache>
                <c:formatCode>0.0</c:formatCode>
                <c:ptCount val="6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'!$N$3:$N$8</c:f>
              <c:numCache>
                <c:formatCode>0.0</c:formatCode>
                <c:ptCount val="6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'!$O$3:$O$8</c:f>
              <c:numCache>
                <c:formatCode>0.0</c:formatCode>
                <c:ptCount val="6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'!$P$3:$P$8</c:f>
              <c:numCache>
                <c:formatCode>0.0</c:formatCode>
                <c:ptCount val="6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'!$M$3:$M$8</c:f>
              <c:numCache>
                <c:formatCode>0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0.52083333333333337</c:v>
                </c:pt>
                <c:pt idx="1">
                  <c:v>0.47916666666666663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_ReleaseData!$L$3:$L$8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_ReleaseData!$O$3:$O$8</c:f>
              <c:numCache>
                <c:formatCode>0%</c:formatCode>
                <c:ptCount val="6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_ReleaseData!$U$3:$U$8</c:f>
              <c:numCache>
                <c:formatCode>0.0</c:formatCode>
                <c:ptCount val="6"/>
                <c:pt idx="0">
                  <c:v>30</c:v>
                </c:pt>
                <c:pt idx="1">
                  <c:v>23.75</c:v>
                </c:pt>
                <c:pt idx="2">
                  <c:v>17.499999999999996</c:v>
                </c:pt>
                <c:pt idx="3">
                  <c:v>11.875000000000002</c:v>
                </c:pt>
                <c:pt idx="4">
                  <c:v>5.625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_ReleaseData!$V$3:$V$8</c:f>
              <c:numCache>
                <c:formatCode>0.0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'!$T$3:$T$8</c:f>
              <c:numCache>
                <c:formatCode>0.0</c:formatCode>
                <c:ptCount val="6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'!$V$3:$V$8</c:f>
              <c:numCache>
                <c:formatCode>0.0</c:formatCode>
                <c:ptCount val="6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'!$W$3:$W$8</c:f>
              <c:numCache>
                <c:formatCode>0.0</c:formatCode>
                <c:ptCount val="6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'!$X$3:$X$8</c:f>
              <c:numCache>
                <c:formatCode>0.0</c:formatCode>
                <c:ptCount val="6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'!$U$3:$U$8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0.52083333333333337</c:v>
                </c:pt>
                <c:pt idx="1">
                  <c:v>0.47916666666666663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_ReleaseData!$P$3:$P$8</c:f>
              <c:numCache>
                <c:formatCode>0%</c:formatCode>
                <c:ptCount val="6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_ReleaseData!$W$3:$W$8</c:f>
              <c:numCache>
                <c:formatCode>0.0</c:formatCode>
                <c:ptCount val="6"/>
                <c:pt idx="0">
                  <c:v>80</c:v>
                </c:pt>
                <c:pt idx="1">
                  <c:v>63.333333333333329</c:v>
                </c:pt>
                <c:pt idx="2">
                  <c:v>46.666666666666657</c:v>
                </c:pt>
                <c:pt idx="3">
                  <c:v>31.666666666666671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_ReleaseData!$X$3:$X$8</c:f>
              <c:numCache>
                <c:formatCode>0.0</c:formatCode>
                <c:ptCount val="6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'!$AB$3:$AB$8</c:f>
              <c:numCache>
                <c:formatCode>0.0</c:formatCode>
                <c:ptCount val="6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'!$AD$3:$AD$8</c:f>
              <c:numCache>
                <c:formatCode>0.0</c:formatCode>
                <c:ptCount val="6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'!$AE$3:$AE$8</c:f>
              <c:numCache>
                <c:formatCode>0.0</c:formatCode>
                <c:ptCount val="6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'!$AF$3:$AF$8</c:f>
              <c:numCache>
                <c:formatCode>0.0</c:formatCode>
                <c:ptCount val="6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'!$AC$3:$AC$8</c:f>
              <c:numCache>
                <c:formatCode>0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'!$AR$3:$AR$8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'!$AT$3:$AT$8</c:f>
              <c:numCache>
                <c:formatCode>0.0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'!$AU$3:$AU$8</c:f>
              <c:numCache>
                <c:formatCode>0.0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'!$AV$3:$AV$8</c:f>
              <c:numCache>
                <c:formatCode>0.0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'!$AS$3:$AS$8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0.52083333333333337</c:v>
                </c:pt>
                <c:pt idx="1">
                  <c:v>0.47916666666666663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_ReleaseData!$M$3:$M$8</c:f>
              <c:numCache>
                <c:formatCode>0%</c:formatCode>
                <c:ptCount val="6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_ReleaseData!$AF$3:$AF$8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_ReleaseData!$AG$3:$AG$8</c:f>
              <c:numCache>
                <c:formatCode>0%</c:formatCode>
                <c:ptCount val="6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_ReleaseData!$AH$3:$AH$8</c:f>
              <c:numCache>
                <c:formatCode>0.0</c:formatCode>
                <c:ptCount val="6"/>
                <c:pt idx="0">
                  <c:v>100</c:v>
                </c:pt>
                <c:pt idx="1">
                  <c:v>79.166666666666657</c:v>
                </c:pt>
                <c:pt idx="2">
                  <c:v>58.333333333333329</c:v>
                </c:pt>
                <c:pt idx="3">
                  <c:v>39.583333333333336</c:v>
                </c:pt>
                <c:pt idx="4">
                  <c:v>18.75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_ReleaseData!$AI$3:$AI$8</c:f>
              <c:numCache>
                <c:formatCode>0.0</c:formatCode>
                <c:ptCount val="6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_ReadinessData!$C$16:$C$20</c:f>
              <c:numCache>
                <c:formatCode>General</c:formatCode>
                <c:ptCount val="5"/>
                <c:pt idx="0">
                  <c:v>114.5</c:v>
                </c:pt>
                <c:pt idx="1">
                  <c:v>31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_ReadinessData!$D$16:$D$20</c:f>
              <c:numCache>
                <c:formatCode>General</c:formatCode>
                <c:ptCount val="5"/>
                <c:pt idx="0">
                  <c:v>157.5</c:v>
                </c:pt>
                <c:pt idx="1">
                  <c:v>86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_TeamVelocityData!$B$6:$B$11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_TeamVelocityData!$C$6:$C$11</c:f>
              <c:numCache>
                <c:formatCode>General</c:formatCode>
                <c:ptCount val="5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(_BugsData!$B$43:$B$47,_BugsData!$B$49:$B$50)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_BugsData!$H$43:$H$47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_ReleaseData!$Q$3:$Q$8</c:f>
              <c:numCache>
                <c:formatCode>0.0</c:formatCode>
                <c:ptCount val="6"/>
                <c:pt idx="0">
                  <c:v>400</c:v>
                </c:pt>
                <c:pt idx="1">
                  <c:v>316.66666666666663</c:v>
                </c:pt>
                <c:pt idx="2">
                  <c:v>233.33333333333331</c:v>
                </c:pt>
                <c:pt idx="3">
                  <c:v>158.33333333333334</c:v>
                </c:pt>
                <c:pt idx="4">
                  <c:v>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_ReleaseData!$R$3:$R$8</c:f>
              <c:numCache>
                <c:formatCode>0.0</c:formatCode>
                <c:ptCount val="6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'!$D$3:$D$8</c:f>
              <c:numCache>
                <c:formatCode>0.0</c:formatCode>
                <c:ptCount val="6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'!$F$3:$F$8</c:f>
              <c:numCache>
                <c:formatCode>0.0</c:formatCode>
                <c:ptCount val="6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'!$G$3:$G$8</c:f>
              <c:numCache>
                <c:formatCode>0.0</c:formatCode>
                <c:ptCount val="6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'!$H$3:$H$8</c:f>
              <c:numCache>
                <c:formatCode>0.0</c:formatCode>
                <c:ptCount val="6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'!$E$3:$E$8</c:f>
              <c:numCache>
                <c:formatCode>0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0.52083333333333337</c:v>
                </c:pt>
                <c:pt idx="1">
                  <c:v>0.47916666666666663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020.642208912039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81">
        <s v="$[SUBSTITUTE(SUBSTITUTE(AE2, &quot;-Ray&quot;, &quot;&quot;), &quot;enus&quot;, &quot;&quot;)]"/>
        <m/>
        <s v="X1"/>
        <s v="X2"/>
        <s v="X3"/>
        <s v="X4"/>
        <s v="X5"/>
        <s v="U1" u="1"/>
        <s v="R6" u="1"/>
        <s v="Q1" u="1"/>
        <s v="W4" u="1"/>
        <s v="S4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W6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W5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1">
        <s v="${issue.fixVersions.name}"/>
        <m/>
        <s v="Wavelength"/>
        <s v="X-Ray"/>
        <s v="Titan" u="1"/>
        <s v="Ursa" u="1"/>
        <s v="Rocket" u="1"/>
        <s v="Venus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6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4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9"/>
        <item m="1" x="10"/>
        <item m="1" x="6"/>
        <item m="1" x="8"/>
        <item m="1" x="4"/>
        <item m="1" x="5"/>
        <item m="1" x="7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1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2">
        <item h="1" m="1" x="58"/>
        <item h="1" m="1" x="51"/>
        <item h="1" m="1" x="9"/>
        <item h="1" m="1" x="73"/>
        <item h="1" m="1" x="62"/>
        <item h="1" m="1" x="52"/>
        <item h="1" m="1" x="41"/>
        <item h="1" m="1" x="24"/>
        <item h="1" m="1" x="14"/>
        <item h="1" m="1" x="78"/>
        <item h="1" m="1" x="68"/>
        <item h="1" x="1"/>
        <item h="1" m="1" x="26"/>
        <item h="1" m="1" x="27"/>
        <item h="1" m="1" x="29"/>
        <item h="1" m="1" x="31"/>
        <item h="1" m="1" x="32"/>
        <item h="1" m="1" x="40"/>
        <item h="1" m="1" x="38"/>
        <item h="1" m="1" x="37"/>
        <item h="1" m="1" x="25"/>
        <item h="1" m="1" x="15"/>
        <item h="1" m="1" x="79"/>
        <item h="1" m="1" x="69"/>
        <item h="1" m="1" x="60"/>
        <item h="1" m="1" x="48"/>
        <item h="1" m="1" x="66"/>
        <item h="1" m="1" x="57"/>
        <item h="1" m="1" x="44"/>
        <item h="1" m="1" x="33"/>
        <item h="1" m="1" x="17"/>
        <item h="1" m="1" x="8"/>
        <item h="1" m="1" x="72"/>
        <item h="1" m="1" x="47"/>
        <item h="1" m="1" x="36"/>
        <item h="1" m="1" x="19"/>
        <item h="1" m="1" x="11"/>
        <item h="1" m="1" x="75"/>
        <item h="1" m="1" x="65"/>
        <item h="1" m="1" x="55"/>
        <item h="1" m="1" x="23"/>
        <item h="1" m="1" x="56"/>
        <item h="1" m="1" x="22"/>
        <item h="1" m="1" x="13"/>
        <item h="1" m="1" x="76"/>
        <item h="1" m="1" x="67"/>
        <item h="1" m="1" x="59"/>
        <item h="1" m="1" x="46"/>
        <item h="1" m="1" x="35"/>
        <item h="1" m="1" x="7"/>
        <item h="1" m="1" x="71"/>
        <item h="1" m="1" x="61"/>
        <item h="1" m="1" x="50"/>
        <item h="1" m="1" x="39"/>
        <item h="1" m="1" x="21"/>
        <item h="1" m="1" x="12"/>
        <item h="1" m="1" x="20"/>
        <item h="1" m="1" x="77"/>
        <item h="1" m="1" x="64"/>
        <item h="1" m="1" x="54"/>
        <item h="1" m="1" x="43"/>
        <item h="1" m="1" x="30"/>
        <item h="1" m="1" x="16"/>
        <item h="1" m="1" x="80"/>
        <item h="1" m="1" x="70"/>
        <item h="1" m="1" x="49"/>
        <item h="1" m="1" x="45"/>
        <item h="1" m="1" x="34"/>
        <item h="1" m="1" x="18"/>
        <item h="1" m="1" x="10"/>
        <item h="1" m="1" x="74"/>
        <item h="1" m="1" x="63"/>
        <item h="1" m="1" x="53"/>
        <item h="1" m="1" x="42"/>
        <item h="1" m="1" x="28"/>
        <item h="1" x="0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64"/>
        <item m="1" x="15"/>
        <item m="1" x="29"/>
        <item m="1" x="65"/>
        <item m="1" x="19"/>
        <item m="1" x="31"/>
        <item m="1" x="67"/>
        <item m="1" x="20"/>
        <item m="1" x="8"/>
        <item m="1" x="36"/>
        <item m="1" x="69"/>
        <item m="1" x="24"/>
        <item m="1" x="41"/>
        <item m="1" x="70"/>
        <item m="1" x="10"/>
        <item m="1" x="11"/>
        <item m="1" x="12"/>
        <item m="1" x="13"/>
        <item m="1" x="14"/>
        <item m="1" x="16"/>
        <item m="1" x="17"/>
        <item m="1" x="18"/>
        <item x="1"/>
        <item m="1" x="55"/>
        <item m="1" x="56"/>
        <item m="1" x="58"/>
        <item m="1" x="59"/>
        <item m="1" x="61"/>
        <item m="1" x="62"/>
        <item m="1" x="63"/>
        <item m="1" x="37"/>
        <item m="1" x="38"/>
        <item m="1" x="40"/>
        <item m="1" x="43"/>
        <item m="1" x="45"/>
        <item m="1" x="46"/>
        <item m="1" x="48"/>
        <item m="1" x="68"/>
        <item m="1" x="42"/>
        <item m="1" x="26"/>
        <item m="1" x="72"/>
        <item m="1" x="52"/>
        <item m="1" x="28"/>
        <item m="1" x="9"/>
        <item m="1" x="60"/>
        <item m="1" x="25"/>
        <item m="1" x="57"/>
        <item m="1" x="22"/>
        <item m="1" x="54"/>
        <item m="1" x="21"/>
        <item m="1" x="53"/>
        <item m="1" x="66"/>
        <item m="1" x="34"/>
        <item m="1" x="23"/>
        <item m="1" x="71"/>
        <item m="1" x="49"/>
        <item m="1" x="27"/>
        <item m="1" x="73"/>
        <item m="1" x="30"/>
        <item m="1" x="32"/>
        <item m="1" x="33"/>
        <item m="1" x="35"/>
        <item m="1" x="39"/>
        <item m="1" x="44"/>
        <item m="1" x="47"/>
        <item m="1" x="50"/>
        <item m="1" x="5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7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6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2">
        <item h="1" m="1" x="58"/>
        <item h="1" m="1" x="9"/>
        <item h="1" m="1" x="73"/>
        <item h="1" m="1" x="62"/>
        <item h="1" m="1" x="52"/>
        <item h="1" m="1" x="41"/>
        <item h="1" m="1" x="24"/>
        <item h="1" m="1" x="14"/>
        <item h="1" m="1" x="78"/>
        <item h="1" m="1" x="68"/>
        <item h="1" x="1"/>
        <item h="1" m="1" x="26"/>
        <item h="1" m="1" x="27"/>
        <item h="1" m="1" x="29"/>
        <item h="1" m="1" x="31"/>
        <item h="1" m="1" x="32"/>
        <item h="1" m="1" x="51"/>
        <item h="1" m="1" x="40"/>
        <item h="1" m="1" x="38"/>
        <item h="1" m="1" x="37"/>
        <item h="1" m="1" x="25"/>
        <item h="1" m="1" x="15"/>
        <item h="1" m="1" x="79"/>
        <item h="1" m="1" x="69"/>
        <item h="1" m="1" x="60"/>
        <item h="1" m="1" x="48"/>
        <item h="1" m="1" x="66"/>
        <item h="1" m="1" x="57"/>
        <item h="1" m="1" x="44"/>
        <item h="1" m="1" x="33"/>
        <item h="1" m="1" x="17"/>
        <item h="1" m="1" x="8"/>
        <item h="1" m="1" x="72"/>
        <item h="1" m="1" x="47"/>
        <item h="1" m="1" x="36"/>
        <item h="1" m="1" x="19"/>
        <item h="1" m="1" x="11"/>
        <item h="1" m="1" x="75"/>
        <item h="1" m="1" x="65"/>
        <item h="1" m="1" x="55"/>
        <item h="1" m="1" x="23"/>
        <item h="1" m="1" x="56"/>
        <item h="1" m="1" x="22"/>
        <item h="1" m="1" x="13"/>
        <item h="1" m="1" x="76"/>
        <item h="1" m="1" x="67"/>
        <item h="1" m="1" x="59"/>
        <item h="1" m="1" x="46"/>
        <item h="1" m="1" x="35"/>
        <item h="1" m="1" x="7"/>
        <item h="1" m="1" x="71"/>
        <item h="1" m="1" x="61"/>
        <item h="1" m="1" x="50"/>
        <item h="1" m="1" x="39"/>
        <item h="1" m="1" x="21"/>
        <item h="1" m="1" x="12"/>
        <item h="1" m="1" x="20"/>
        <item h="1" m="1" x="77"/>
        <item h="1" m="1" x="64"/>
        <item h="1" m="1" x="54"/>
        <item h="1" m="1" x="43"/>
        <item h="1" m="1" x="30"/>
        <item h="1" m="1" x="16"/>
        <item h="1" m="1" x="80"/>
        <item h="1" m="1" x="70"/>
        <item h="1" m="1" x="49"/>
        <item h="1" m="1" x="45"/>
        <item h="1" m="1" x="34"/>
        <item h="1" m="1" x="18"/>
        <item h="1" m="1" x="10"/>
        <item h="1" m="1" x="74"/>
        <item h="1" m="1" x="63"/>
        <item h="1" m="1" x="53"/>
        <item h="1" m="1" x="42"/>
        <item h="1" m="1" x="28"/>
        <item h="1" x="0"/>
        <item x="2"/>
        <item x="3"/>
        <item x="4"/>
        <item x="5"/>
        <item x="6"/>
        <item t="default"/>
      </items>
    </pivotField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9"/>
        <item m="1" x="10"/>
        <item h="1" x="1"/>
        <item m="1" x="6"/>
        <item m="1" x="8"/>
        <item h="1" m="1" x="4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4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77734375" bestFit="1" customWidth="1"/>
    <col min="2" max="2" width="17.886718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77734375" bestFit="1" customWidth="1"/>
    <col min="3" max="3" width="17.886718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  <c r="L7">
        <v>118</v>
      </c>
    </row>
    <row r="8" spans="2:13" x14ac:dyDescent="0.3">
      <c r="B8" s="17" t="s">
        <v>260</v>
      </c>
      <c r="C8" s="20">
        <v>30</v>
      </c>
      <c r="K8" t="s">
        <v>259</v>
      </c>
      <c r="L8">
        <v>71.5</v>
      </c>
    </row>
    <row r="9" spans="2:13" x14ac:dyDescent="0.3">
      <c r="B9" s="17" t="s">
        <v>261</v>
      </c>
      <c r="C9" s="20">
        <v>60</v>
      </c>
      <c r="K9" t="s">
        <v>260</v>
      </c>
    </row>
    <row r="10" spans="2:13" x14ac:dyDescent="0.3">
      <c r="B10" s="17" t="s">
        <v>262</v>
      </c>
      <c r="C10" s="20">
        <v>90</v>
      </c>
      <c r="K10" t="s">
        <v>261</v>
      </c>
    </row>
    <row r="11" spans="2:13" x14ac:dyDescent="0.3">
      <c r="B11" s="17" t="s">
        <v>50</v>
      </c>
      <c r="C11" s="20">
        <v>370</v>
      </c>
      <c r="K11" t="s">
        <v>262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189.5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77734375" bestFit="1" customWidth="1"/>
    <col min="5" max="5" width="17.88671875" bestFit="1" customWidth="1"/>
  </cols>
  <sheetData>
    <row r="1" spans="1:5" x14ac:dyDescent="0.3">
      <c r="A1" s="31" t="s">
        <v>142</v>
      </c>
      <c r="B1" t="str">
        <f>$E$2</f>
        <v>X-Ray3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265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251</v>
      </c>
      <c r="E16" t="str">
        <f>"Sprint " &amp; SUBSTITUTE($B$1,"Venus", "") &amp; " Progress"</f>
        <v>Sprint X-Ray3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77734375" bestFit="1" customWidth="1"/>
    <col min="3" max="3" width="17.33203125" bestFit="1" customWidth="1"/>
    <col min="4" max="4" width="4.88671875" bestFit="1" customWidth="1"/>
    <col min="5" max="5" width="8.33203125" bestFit="1" customWidth="1"/>
    <col min="6" max="6" width="4.44140625" bestFit="1" customWidth="1"/>
    <col min="7" max="7" width="7.109375" bestFit="1" customWidth="1"/>
    <col min="8" max="8" width="11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50</v>
      </c>
      <c r="C36" s="20">
        <v>2</v>
      </c>
      <c r="D36" s="20">
        <v>1</v>
      </c>
      <c r="E36" s="20">
        <v>1</v>
      </c>
      <c r="F36" s="20">
        <v>2</v>
      </c>
      <c r="G36" s="20">
        <v>1</v>
      </c>
      <c r="H36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Grand Total</v>
      </c>
      <c r="C48" s="20">
        <f t="shared" si="2"/>
        <v>2</v>
      </c>
      <c r="D48" s="20">
        <f t="shared" si="2"/>
        <v>1</v>
      </c>
      <c r="E48" s="20">
        <f t="shared" si="2"/>
        <v>1</v>
      </c>
      <c r="F48" s="20">
        <f t="shared" si="2"/>
        <v>2</v>
      </c>
      <c r="G48" s="20">
        <f t="shared" si="2"/>
        <v>1</v>
      </c>
      <c r="H48" s="20">
        <f t="shared" si="2"/>
        <v>7</v>
      </c>
    </row>
    <row r="49" spans="2:11" x14ac:dyDescent="0.3">
      <c r="B49" s="17"/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6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267</v>
      </c>
      <c r="AF17" s="5" t="s">
        <v>262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264</v>
      </c>
      <c r="AF23" s="5" t="s">
        <v>262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258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258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265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265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265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265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265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265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265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265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3.5546875" bestFit="1" customWidth="1"/>
    <col min="2" max="2" width="8.33203125" bestFit="1" customWidth="1"/>
    <col min="3" max="3" width="10.21875" bestFit="1" customWidth="1"/>
    <col min="4" max="4" width="23.5546875" bestFit="1" customWidth="1"/>
    <col min="5" max="5" width="8.88671875" bestFit="1" customWidth="1"/>
    <col min="6" max="6" width="17.77734375" bestFit="1" customWidth="1"/>
    <col min="7" max="7" width="23.5546875" bestFit="1" customWidth="1"/>
    <col min="8" max="8" width="22.33203125" bestFit="1" customWidth="1"/>
    <col min="9" max="9" width="12" customWidth="1"/>
    <col min="10" max="10" width="23.5546875" bestFit="1" customWidth="1"/>
    <col min="11" max="11" width="32.44140625" bestFit="1" customWidth="1"/>
    <col min="12" max="12" width="14.5546875" customWidth="1"/>
    <col min="13" max="13" width="15.44140625" bestFit="1" customWidth="1"/>
    <col min="14" max="14" width="36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4.33203125" bestFit="1" customWidth="1"/>
    <col min="29" max="29" width="23.5546875" bestFit="1" customWidth="1"/>
    <col min="30" max="30" width="28.332031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0.52083333333333337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0.47916666666666663</v>
      </c>
      <c r="D3" s="26">
        <v>43985</v>
      </c>
      <c r="E3" s="27">
        <v>44054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400</v>
      </c>
      <c r="R3" s="42">
        <v>287</v>
      </c>
      <c r="S3" s="40">
        <f>$Q$26*(100%-K3)</f>
        <v>50</v>
      </c>
      <c r="T3" s="42">
        <v>82</v>
      </c>
      <c r="U3" s="40">
        <f>$Q$27*(100%-L3)</f>
        <v>30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44054</v>
      </c>
      <c r="G4" s="23" t="s">
        <v>258</v>
      </c>
      <c r="H4" s="24">
        <v>43985</v>
      </c>
      <c r="I4" s="24">
        <f>H4+13</f>
        <v>43998</v>
      </c>
      <c r="J4" s="35">
        <f t="shared" ref="J4:J8" si="1">NETWORKDAYS(H4,I4,$Z$3:$Z$9)</f>
        <v>10</v>
      </c>
      <c r="K4" s="36">
        <f>SUM($J$4:J4)/SUM($J$4:$J$8)</f>
        <v>0.20833333333333334</v>
      </c>
      <c r="L4" s="36">
        <f>SUM($J$4:J4)/SUM($J$4:$J$8)</f>
        <v>0.20833333333333334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316.66666666666663</v>
      </c>
      <c r="R4" s="42">
        <v>361</v>
      </c>
      <c r="S4" s="42">
        <f>$Q$26*(100%-K4)</f>
        <v>39.583333333333329</v>
      </c>
      <c r="T4" s="42">
        <v>47</v>
      </c>
      <c r="U4" s="40">
        <f>$Q$27*(100%-L4)</f>
        <v>23.75</v>
      </c>
      <c r="V4" s="42">
        <v>0</v>
      </c>
      <c r="W4" s="40">
        <f>$Q$28*(100%-K4)</f>
        <v>63.333333333333329</v>
      </c>
      <c r="X4" s="42">
        <v>79</v>
      </c>
      <c r="Z4" s="32">
        <v>44046</v>
      </c>
      <c r="AF4" s="36">
        <f>SUM($J$4:J4)/SUM($J$4:$J$8)</f>
        <v>0.20833333333333334</v>
      </c>
      <c r="AG4" s="76">
        <v>0.17</v>
      </c>
      <c r="AH4" s="40">
        <f t="shared" si="0"/>
        <v>79.166666666666657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SUM($J$4:J5)/SUM($J$4:$J$8)</f>
        <v>0.41666666666666669</v>
      </c>
      <c r="L5" s="36">
        <f>SUM($J$4:J5)/SUM($J$4:$J$8)</f>
        <v>0.41666666666666669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8" si="2">$Q$25*(100%-K5)</f>
        <v>233.33333333333331</v>
      </c>
      <c r="R5" s="42">
        <v>220.5</v>
      </c>
      <c r="S5" s="42">
        <f t="shared" ref="S5:S8" si="3">$Q$26*(100%-K5)</f>
        <v>29.166666666666664</v>
      </c>
      <c r="T5" s="42">
        <v>10.5</v>
      </c>
      <c r="U5" s="40">
        <f t="shared" ref="U5:U8" si="4">$Q$27*(100%-L5)</f>
        <v>17.499999999999996</v>
      </c>
      <c r="V5" s="42">
        <v>1</v>
      </c>
      <c r="W5" s="40">
        <f t="shared" ref="W5:W8" si="5">$Q$28*(100%-K5)</f>
        <v>46.666666666666657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SUM($J$4:J5)/SUM($J$4:$J$8)</f>
        <v>0.41666666666666669</v>
      </c>
      <c r="AG5" s="76">
        <v>0.53</v>
      </c>
      <c r="AH5" s="40">
        <f t="shared" si="0"/>
        <v>58.333333333333329</v>
      </c>
      <c r="AI5" s="42">
        <v>21</v>
      </c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44020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SUM($J$4:J6)/SUM($J$4:$J$8)</f>
        <v>0.60416666666666663</v>
      </c>
      <c r="L6" s="36">
        <f>SUM($J$4:J6)/SUM($J$4:$J$8)</f>
        <v>0.60416666666666663</v>
      </c>
      <c r="M6" s="70">
        <f>100%-GETPIVOTDATA("Epic Remaining Estimate",$AB$4)/GETPIVOTDATA("Epic Total Estimate",$AB$4)</f>
        <v>0.25</v>
      </c>
      <c r="N6" s="76">
        <f>100%-GETPIVOTDATA("Epic Remaining Estimate",$AB$4,"ST:Components","Admin")/GETPIVOTDATA("Epic Total Estimate",$AB$4,"ST:Components","Admin")</f>
        <v>1</v>
      </c>
      <c r="O6" s="76">
        <f>100%-GETPIVOTDATA("Epic Remaining Estimate",$AB$4,"ST:Components","BluePrism Integration")/GETPIVOTDATA("Epic Total Estimate",$AB$4,"ST:Components","BluePrism Integration")</f>
        <v>-2</v>
      </c>
      <c r="P6" s="76">
        <f>100%-GETPIVOTDATA("Epic Remaining Estimate",$AB$4,"ST:Components","Automation Anywhere Integration")/GETPIVOTDATA("Epic Total Estimate",$AB$4,"ST:Components","Automation Anywhere Integration")</f>
        <v>-2</v>
      </c>
      <c r="Q6" s="40">
        <f t="shared" ref="Q6" si="6">$Q$25*(100%-K6)</f>
        <v>158.33333333333334</v>
      </c>
      <c r="R6" s="42">
        <f>GETPIVOTDATA("Epic Remaining Estimate",$AB$4)</f>
        <v>450</v>
      </c>
      <c r="S6" s="42">
        <f t="shared" ref="S6" si="7">$Q$26*(100%-K6)</f>
        <v>19.791666666666668</v>
      </c>
      <c r="T6" s="42">
        <f>GETPIVOTDATA("Epic Remaining Estimate",$AB$4,"ST:Components","Admin")</f>
        <v>0</v>
      </c>
      <c r="U6" s="40">
        <f t="shared" ref="U6" si="8">$Q$27*(100%-L6)</f>
        <v>11.875000000000002</v>
      </c>
      <c r="V6" s="42">
        <f>GETPIVOTDATA("Epic Remaining Estimate",$AB$4,"ST:Components","BluePrism Integration")</f>
        <v>150</v>
      </c>
      <c r="W6" s="40">
        <f t="shared" ref="W6" si="9">$Q$28*(100%-K6)</f>
        <v>31.666666666666671</v>
      </c>
      <c r="X6" s="42">
        <f>GETPIVOTDATA("Epic Remaining Estimate",$AB$4,"ST:Components","Automation Anywhere Integration")</f>
        <v>150</v>
      </c>
      <c r="Z6" s="32">
        <v>44116</v>
      </c>
      <c r="AB6" s="17" t="s">
        <v>183</v>
      </c>
      <c r="AC6" s="20">
        <v>300</v>
      </c>
      <c r="AD6" s="20"/>
      <c r="AF6" s="36">
        <f>SUM($J$4:J6)/SUM($J$4:$J$8)</f>
        <v>0.60416666666666663</v>
      </c>
      <c r="AG6" s="76">
        <f>100%-GETPIVOTDATA("Epic Remaining Estimate",$AB$4,"ST:Components","Microsoft Power Automate Integration")/GETPIVOTDATA("Epic Total Estimate",$AB$4,"ST:Components","Microsoft Power Automate Integration")</f>
        <v>-0.5</v>
      </c>
      <c r="AH6" s="40">
        <f t="shared" si="0"/>
        <v>39.583333333333336</v>
      </c>
      <c r="AI6" s="42">
        <f>GETPIVOTDATA("Epic Remaining Estimate",$AB$4,"ST:Components","Microsoft Power Automate Integration")</f>
        <v>150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8" si="10">I6+1</f>
        <v>44027</v>
      </c>
      <c r="I7" s="24">
        <f t="shared" ref="I7:I8" si="11">I6+14</f>
        <v>44040</v>
      </c>
      <c r="J7" s="35">
        <f t="shared" si="1"/>
        <v>10</v>
      </c>
      <c r="K7" s="36">
        <f>SUM($J$4:J7)/SUM($J$4:$J$8)</f>
        <v>0.8125</v>
      </c>
      <c r="L7" s="36">
        <f>SUM($J$4:J7)/SUM($J$4:$J$8)</f>
        <v>0.8125</v>
      </c>
      <c r="M7" s="70"/>
      <c r="N7" s="76"/>
      <c r="O7" s="76"/>
      <c r="P7" s="76"/>
      <c r="Q7" s="40">
        <f t="shared" si="2"/>
        <v>75</v>
      </c>
      <c r="R7" s="42"/>
      <c r="S7" s="42">
        <f t="shared" si="3"/>
        <v>9.375</v>
      </c>
      <c r="T7" s="42"/>
      <c r="U7" s="40">
        <f t="shared" si="4"/>
        <v>5.625</v>
      </c>
      <c r="V7" s="42"/>
      <c r="W7" s="40">
        <f t="shared" si="5"/>
        <v>15</v>
      </c>
      <c r="X7" s="42"/>
      <c r="Z7" s="32"/>
      <c r="AB7" s="17" t="s">
        <v>254</v>
      </c>
      <c r="AC7" s="20">
        <v>100</v>
      </c>
      <c r="AD7" s="20"/>
      <c r="AF7" s="36">
        <f>SUM($J$4:J7)/SUM($J$4:$J$8)</f>
        <v>0.8125</v>
      </c>
      <c r="AG7" s="76"/>
      <c r="AH7" s="40">
        <f t="shared" si="0"/>
        <v>18.75</v>
      </c>
      <c r="AI7" s="42"/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SUM($J$4:J8)/SUM($J$4:$J$8)</f>
        <v>1</v>
      </c>
      <c r="L8" s="36">
        <f>SUM($J$4:J8)/SUM($J$4:$J$8)</f>
        <v>1</v>
      </c>
      <c r="M8" s="70"/>
      <c r="N8" s="76"/>
      <c r="O8" s="76"/>
      <c r="P8" s="76"/>
      <c r="Q8" s="40">
        <f t="shared" si="2"/>
        <v>0</v>
      </c>
      <c r="R8" s="42"/>
      <c r="S8" s="42">
        <f t="shared" si="3"/>
        <v>0</v>
      </c>
      <c r="T8" s="42"/>
      <c r="U8" s="40">
        <f t="shared" si="4"/>
        <v>0</v>
      </c>
      <c r="V8" s="42"/>
      <c r="W8" s="40">
        <f t="shared" si="5"/>
        <v>0</v>
      </c>
      <c r="X8" s="42"/>
      <c r="Z8" s="32"/>
      <c r="AB8" s="17" t="s">
        <v>276</v>
      </c>
      <c r="AC8" s="20">
        <v>100</v>
      </c>
      <c r="AD8" s="20">
        <v>150</v>
      </c>
      <c r="AF8" s="36">
        <f>SUM($J$4:J8)/SUM($J$4:$J$8)</f>
        <v>1</v>
      </c>
      <c r="AG8" s="76"/>
      <c r="AH8" s="40">
        <f t="shared" ref="AH8" si="12">$Q$29*(100%-AF8)</f>
        <v>0</v>
      </c>
      <c r="AI8" s="42"/>
    </row>
    <row r="9" spans="1:35" x14ac:dyDescent="0.3">
      <c r="A9" s="39" t="s">
        <v>254</v>
      </c>
      <c r="B9" s="21"/>
      <c r="C9" s="21"/>
      <c r="D9" s="21"/>
      <c r="G9" s="67"/>
      <c r="H9" s="68"/>
      <c r="I9" s="68"/>
      <c r="J9" s="69"/>
      <c r="K9" s="36"/>
      <c r="L9" s="36"/>
      <c r="M9" s="70"/>
      <c r="N9" s="76"/>
      <c r="O9" s="76"/>
      <c r="P9" s="76"/>
      <c r="Q9" s="42"/>
      <c r="R9" s="42"/>
      <c r="S9" s="42"/>
      <c r="T9" s="42"/>
      <c r="U9" s="42"/>
      <c r="V9" s="42"/>
      <c r="W9" s="42"/>
      <c r="X9" s="42"/>
      <c r="Z9" s="32"/>
      <c r="AB9" s="17" t="s">
        <v>275</v>
      </c>
      <c r="AC9" s="20">
        <v>50</v>
      </c>
      <c r="AD9" s="20">
        <v>150</v>
      </c>
      <c r="AF9" s="36"/>
      <c r="AG9" s="76"/>
      <c r="AH9" s="40"/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0.52083333333333337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0.47916666666666663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0.52083333333333337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0.47916666666666663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30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5" bestFit="1" customWidth="1"/>
    <col min="39" max="39" width="23.88671875" bestFit="1" customWidth="1"/>
    <col min="40" max="40" width="21.6640625" bestFit="1" customWidth="1"/>
    <col min="41" max="41" width="22.88671875" bestFit="1" customWidth="1"/>
    <col min="42" max="42" width="29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400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30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v>515.6</v>
      </c>
      <c r="E4" s="58">
        <f>_ReleaseData!$Q$25</f>
        <v>400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30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259</v>
      </c>
      <c r="B5" s="60">
        <v>43999</v>
      </c>
      <c r="C5" s="60">
        <v>44012</v>
      </c>
      <c r="D5" s="57">
        <v>444.6</v>
      </c>
      <c r="E5" s="58">
        <f>_ReleaseData!$Q$25</f>
        <v>400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30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260</v>
      </c>
      <c r="B6" s="60">
        <v>44013</v>
      </c>
      <c r="C6" s="60">
        <v>44026</v>
      </c>
      <c r="D6" s="57">
        <f>GETPIVOTDATA("Epic Total Estimate", $AL$8, "Type", "Epic")</f>
        <v>600</v>
      </c>
      <c r="E6" s="58">
        <f>_ReleaseData!$Q$25</f>
        <v>400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31">D6-I6</f>
        <v>150</v>
      </c>
      <c r="I6" s="40">
        <f>GETPIVOTDATA("Epic Remaining Estimate", $AL$8, "Type", "Epic")</f>
        <v>450</v>
      </c>
      <c r="J6" s="33">
        <f t="shared" ref="J6" si="32" xml:space="preserve"> G6/D6</f>
        <v>0.9</v>
      </c>
      <c r="K6" s="33">
        <f t="shared" ref="K6" si="33" xml:space="preserve"> H6/D6</f>
        <v>0.25</v>
      </c>
      <c r="L6" s="59">
        <f>GETPIVOTDATA("Epic Total Estimate", $AL$8, "Type", "Epic", "ST:Components", "Admin")</f>
        <v>100</v>
      </c>
      <c r="M6" s="58">
        <f>_ReleaseData!$Q$26</f>
        <v>50</v>
      </c>
      <c r="N6" s="40">
        <f>GETPIVOTDATA("Stories Estimate", $AL$8, "Type", "Epic", "ST:Components", "Admin")</f>
        <v>0</v>
      </c>
      <c r="O6" s="40">
        <f>GETPIVOTDATA("Epic Decomposed", $AL$8, "Type", "Epic", "ST:Components", "Admin")</f>
        <v>0</v>
      </c>
      <c r="P6" s="40">
        <f t="shared" ref="P6" si="34">L6-Q6</f>
        <v>100</v>
      </c>
      <c r="Q6" s="40">
        <f>GETPIVOTDATA("Epic Remaining Estimate", $AL$8, "Type", "Epic", "ST:Components", "Admin")</f>
        <v>0</v>
      </c>
      <c r="R6" s="33">
        <f t="shared" ref="R6" si="35" xml:space="preserve"> O6/L6</f>
        <v>0</v>
      </c>
      <c r="S6" s="33">
        <f t="shared" ref="S6" si="36" xml:space="preserve"> P6/L6</f>
        <v>1</v>
      </c>
      <c r="T6" s="57">
        <f>GETPIVOTDATA("Epic Total Estimate", $AL$8, "Type", "Epic", "ST:Components", "BluePrism Integration")</f>
        <v>50</v>
      </c>
      <c r="U6" s="58">
        <f>_ReleaseData!$Q$27</f>
        <v>30</v>
      </c>
      <c r="V6" s="40">
        <f>GETPIVOTDATA("Stories Estimate", $AL$8, "Type", "Epic", "ST:Components", "BluePrism Integration")</f>
        <v>0</v>
      </c>
      <c r="W6" s="40">
        <f>GETPIVOTDATA("Epic Decomposed", $AL$8, "Type", "Epic", "ST:Components", "BluePrism Integration")</f>
        <v>180</v>
      </c>
      <c r="X6" s="40">
        <f t="shared" ref="X6" si="37">T6-Y6</f>
        <v>-100</v>
      </c>
      <c r="Y6" s="40">
        <f>GETPIVOTDATA("Epic Remaining Estimate", $AL$8, "Type", "Epic", "ST:Components", "BluePrism Integration")</f>
        <v>150</v>
      </c>
      <c r="Z6" s="33">
        <f t="shared" ref="Z6" si="38" xml:space="preserve"> W6/T6</f>
        <v>3.6</v>
      </c>
      <c r="AA6" s="33">
        <f t="shared" ref="AA6" si="39">X6/T6</f>
        <v>-2</v>
      </c>
      <c r="AB6" s="57">
        <f>GETPIVOTDATA("Epic Total Estimate", $AL$8, "Type", "Epic", "ST:Components", "Automation Anywhere Integration")</f>
        <v>50</v>
      </c>
      <c r="AC6" s="58">
        <f>_ReleaseData!$Q$28</f>
        <v>80</v>
      </c>
      <c r="AD6" s="40">
        <f>GETPIVOTDATA("Stories Estimate", $AL$8, "Type", "Epic", "ST:Components", "Automation Anywhere Integration")</f>
        <v>0</v>
      </c>
      <c r="AE6" s="40">
        <f>GETPIVOTDATA("Epic Decomposed", $AL$8, "Type", "Epic", "ST:Components", "Automation Anywhere Integration")</f>
        <v>180</v>
      </c>
      <c r="AF6" s="40">
        <f t="shared" ref="AF6" si="40">AB6-AG6</f>
        <v>-100</v>
      </c>
      <c r="AG6" s="40">
        <f>GETPIVOTDATA("Epic Remaining Estimate", $AL$8, "Type", "Epic", "ST:Components", "Automation Anywhere Integration")</f>
        <v>150</v>
      </c>
      <c r="AH6" s="33">
        <f t="shared" ref="AH6" si="41" xml:space="preserve"> AE6/AB6</f>
        <v>3.6</v>
      </c>
      <c r="AI6" s="33">
        <f t="shared" ref="AI6" si="42">AF6/AB6</f>
        <v>-2</v>
      </c>
      <c r="AR6" s="57">
        <f>GETPIVOTDATA("Epic Total Estimate", $AL$8, "Type", "Epic", "ST:Components", "Microsoft Power Automate Integration")</f>
        <v>100</v>
      </c>
      <c r="AS6" s="58">
        <f>_ReleaseData!$Q$29</f>
        <v>100</v>
      </c>
      <c r="AT6" s="40">
        <f>GETPIVOTDATA("Stories Estimate", $AL$8, "Type", "Epic", "ST:Components", "Microsoft Power Automate Integration")</f>
        <v>0</v>
      </c>
      <c r="AU6" s="40">
        <f>GETPIVOTDATA("Epic Decomposed", $AL$8, "Type", "Epic", "ST:Components", "Microsoft Power Automate Integration")</f>
        <v>180</v>
      </c>
      <c r="AV6" s="40">
        <f t="shared" ref="AV6" si="43">AR6-AW6</f>
        <v>-50</v>
      </c>
      <c r="AW6" s="40">
        <f>GETPIVOTDATA("Epic Remaining Estimate", $AL$8, "Type", "Epic", "ST:Components", "Microsoft Power Automate Integration")</f>
        <v>150</v>
      </c>
      <c r="AX6" s="33">
        <f t="shared" ref="AX6" si="44" xml:space="preserve"> AU6/AR6</f>
        <v>1.8</v>
      </c>
      <c r="AY6" s="33">
        <f t="shared" ref="AY6" si="45">AV6/AR6</f>
        <v>-0.5</v>
      </c>
    </row>
    <row r="7" spans="1:51" x14ac:dyDescent="0.3">
      <c r="A7" t="s">
        <v>261</v>
      </c>
      <c r="B7" s="60">
        <v>44027</v>
      </c>
      <c r="C7" s="60">
        <v>44040</v>
      </c>
      <c r="D7" s="57"/>
      <c r="E7" s="58">
        <f>_ReleaseData!$Q$25</f>
        <v>400</v>
      </c>
      <c r="F7" s="40"/>
      <c r="G7" s="40"/>
      <c r="H7" s="40"/>
      <c r="I7" s="40"/>
      <c r="J7" s="33"/>
      <c r="K7" s="33"/>
      <c r="L7" s="59"/>
      <c r="M7" s="58">
        <f>_ReleaseData!$Q$26</f>
        <v>50</v>
      </c>
      <c r="N7" s="40"/>
      <c r="O7" s="40"/>
      <c r="P7" s="40"/>
      <c r="Q7" s="40"/>
      <c r="R7" s="33"/>
      <c r="S7" s="33"/>
      <c r="T7" s="57"/>
      <c r="U7" s="58">
        <f>_ReleaseData!$Q$27</f>
        <v>30</v>
      </c>
      <c r="V7" s="40"/>
      <c r="W7" s="40"/>
      <c r="X7" s="40"/>
      <c r="Y7" s="40"/>
      <c r="Z7" s="33"/>
      <c r="AA7" s="33"/>
      <c r="AB7" s="57"/>
      <c r="AC7" s="58">
        <f>_ReleaseData!$Q$28</f>
        <v>80</v>
      </c>
      <c r="AD7" s="40"/>
      <c r="AE7" s="40"/>
      <c r="AF7" s="40"/>
      <c r="AG7" s="40"/>
      <c r="AH7" s="33"/>
      <c r="AI7" s="33"/>
      <c r="AL7" s="16" t="s">
        <v>134</v>
      </c>
      <c r="AM7" t="s">
        <v>257</v>
      </c>
      <c r="AR7" s="57"/>
      <c r="AS7" s="58">
        <f>_ReleaseData!$Q$29</f>
        <v>100</v>
      </c>
      <c r="AT7" s="40"/>
      <c r="AU7" s="40"/>
      <c r="AV7" s="40"/>
      <c r="AW7" s="40"/>
      <c r="AX7" s="33"/>
      <c r="AY7" s="33"/>
    </row>
    <row r="8" spans="1:51" x14ac:dyDescent="0.3">
      <c r="A8" t="s">
        <v>262</v>
      </c>
      <c r="B8" s="60">
        <v>44041</v>
      </c>
      <c r="C8" s="60">
        <v>44054</v>
      </c>
      <c r="D8" s="57"/>
      <c r="E8" s="58">
        <f>_ReleaseData!$Q$25</f>
        <v>400</v>
      </c>
      <c r="F8" s="40"/>
      <c r="G8" s="40"/>
      <c r="H8" s="40"/>
      <c r="I8" s="40"/>
      <c r="J8" s="33"/>
      <c r="K8" s="33"/>
      <c r="L8" s="59"/>
      <c r="M8" s="58">
        <f>_ReleaseData!$Q$26</f>
        <v>50</v>
      </c>
      <c r="N8" s="40"/>
      <c r="O8" s="40"/>
      <c r="P8" s="40"/>
      <c r="Q8" s="40"/>
      <c r="R8" s="33"/>
      <c r="S8" s="33"/>
      <c r="T8" s="57"/>
      <c r="U8" s="58">
        <f>_ReleaseData!$Q$27</f>
        <v>30</v>
      </c>
      <c r="V8" s="40"/>
      <c r="W8" s="40"/>
      <c r="X8" s="40"/>
      <c r="Y8" s="40"/>
      <c r="Z8" s="33"/>
      <c r="AA8" s="33"/>
      <c r="AB8" s="57"/>
      <c r="AC8" s="58">
        <f>_ReleaseData!$Q$28</f>
        <v>80</v>
      </c>
      <c r="AD8" s="40"/>
      <c r="AE8" s="40"/>
      <c r="AF8" s="40"/>
      <c r="AG8" s="40"/>
      <c r="AH8" s="33"/>
      <c r="AI8" s="33"/>
      <c r="AL8" s="16" t="s">
        <v>246</v>
      </c>
      <c r="AM8" t="s">
        <v>217</v>
      </c>
      <c r="AR8" s="57"/>
      <c r="AS8" s="58">
        <f>_ReleaseData!$Q$29</f>
        <v>100</v>
      </c>
      <c r="AT8" s="40"/>
      <c r="AU8" s="40"/>
      <c r="AV8" s="40"/>
      <c r="AW8" s="40"/>
      <c r="AX8" s="33"/>
      <c r="AY8" s="33"/>
    </row>
    <row r="9" spans="1:51" x14ac:dyDescent="0.3">
      <c r="B9" s="60"/>
      <c r="C9" s="60"/>
      <c r="D9" s="57"/>
      <c r="E9" s="58"/>
      <c r="F9" s="40"/>
      <c r="G9" s="40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  <c r="AR9" s="57"/>
      <c r="AS9" s="58"/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77734375" bestFit="1" customWidth="1"/>
    <col min="3" max="3" width="34.88671875" bestFit="1" customWidth="1"/>
    <col min="4" max="4" width="14.33203125" customWidth="1"/>
    <col min="5" max="5" width="9.44140625" customWidth="1"/>
    <col min="6" max="6" width="8.21875" bestFit="1" customWidth="1"/>
    <col min="7" max="7" width="13.77734375" bestFit="1" customWidth="1"/>
    <col min="8" max="8" width="17.886718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v>114.5</v>
      </c>
      <c r="D16" s="20">
        <v>157.5</v>
      </c>
    </row>
    <row r="17" spans="2:4" x14ac:dyDescent="0.3">
      <c r="B17" t="s">
        <v>259</v>
      </c>
      <c r="C17" s="20">
        <v>31</v>
      </c>
      <c r="D17" s="20">
        <v>86</v>
      </c>
    </row>
    <row r="18" spans="2:4" x14ac:dyDescent="0.3">
      <c r="B18" t="s">
        <v>260</v>
      </c>
      <c r="C18" s="20">
        <f>GETPIVOTDATA("Epic Not Decomposed Estimate",$B$3)</f>
        <v>60</v>
      </c>
      <c r="D18" s="20">
        <f>GETPIVOTDATA("Story Points",$G$5)</f>
        <v>35</v>
      </c>
    </row>
    <row r="19" spans="2:4" x14ac:dyDescent="0.3">
      <c r="B19" t="s">
        <v>261</v>
      </c>
      <c r="C19" s="20"/>
      <c r="D19" s="20"/>
    </row>
    <row r="20" spans="2:4" x14ac:dyDescent="0.3">
      <c r="B20" t="s">
        <v>262</v>
      </c>
      <c r="C20" s="20"/>
      <c r="D20" s="20"/>
    </row>
    <row r="21" spans="2:4" x14ac:dyDescent="0.3"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2020-07-08T19:25:17Z</dcterms:modified>
</cp:coreProperties>
</file>