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CD8FA487-C82D-46D9-A195-F5E91FF70730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15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4" l="1"/>
  <c r="G51" i="14"/>
  <c r="F51" i="14"/>
  <c r="E51" i="14"/>
  <c r="D51" i="14"/>
  <c r="C51" i="14"/>
  <c r="H50" i="14"/>
  <c r="G50" i="14"/>
  <c r="F50" i="14"/>
  <c r="E50" i="14"/>
  <c r="D50" i="14"/>
  <c r="C50" i="14"/>
  <c r="B51" i="14"/>
  <c r="B50" i="14"/>
  <c r="H52" i="14"/>
  <c r="G52" i="14"/>
  <c r="F52" i="14"/>
  <c r="E52" i="14"/>
  <c r="D52" i="14"/>
  <c r="C52" i="14"/>
  <c r="AF9" i="9" l="1"/>
  <c r="AF7" i="9"/>
  <c r="AF8" i="9"/>
  <c r="AF11" i="9"/>
  <c r="AF12" i="9"/>
  <c r="AS12" i="26" l="1"/>
  <c r="AS11" i="26"/>
  <c r="AC12" i="26"/>
  <c r="AC11" i="26"/>
  <c r="U12" i="26"/>
  <c r="U11" i="26"/>
  <c r="M12" i="26"/>
  <c r="M11" i="26"/>
  <c r="E12" i="26"/>
  <c r="E11" i="26"/>
  <c r="AH12" i="9"/>
  <c r="AH11" i="9"/>
  <c r="AF10" i="9"/>
  <c r="W12" i="9"/>
  <c r="W11" i="9"/>
  <c r="U12" i="9"/>
  <c r="U11" i="9"/>
  <c r="S12" i="9"/>
  <c r="S11" i="9"/>
  <c r="Q12" i="9"/>
  <c r="Q11" i="9"/>
  <c r="L12" i="9"/>
  <c r="L11" i="9"/>
  <c r="L10" i="9"/>
  <c r="L9" i="9"/>
  <c r="L8" i="9"/>
  <c r="L7" i="9"/>
  <c r="L6" i="9"/>
  <c r="L5" i="9"/>
  <c r="L4" i="9"/>
  <c r="K12" i="9"/>
  <c r="K11" i="9"/>
  <c r="K10" i="9"/>
  <c r="K9" i="9"/>
  <c r="K8" i="9"/>
  <c r="K7" i="9"/>
  <c r="K6" i="9"/>
  <c r="K5" i="9"/>
  <c r="K4" i="9"/>
  <c r="J12" i="9"/>
  <c r="J11" i="9"/>
  <c r="I12" i="9"/>
  <c r="H12" i="9"/>
  <c r="I11" i="9"/>
  <c r="H11" i="9"/>
  <c r="B6" i="9"/>
  <c r="AS10" i="26" l="1"/>
  <c r="AS9" i="26"/>
  <c r="AS8" i="26"/>
  <c r="AS7" i="26"/>
  <c r="AS6" i="26"/>
  <c r="AY10" i="26"/>
  <c r="AX10" i="26"/>
  <c r="AY9" i="26"/>
  <c r="AX9" i="26"/>
  <c r="AY8" i="26"/>
  <c r="AX8" i="26"/>
  <c r="AX6" i="26"/>
  <c r="AV6" i="26"/>
  <c r="AY6" i="26" s="1"/>
  <c r="AT7" i="26"/>
  <c r="AU7" i="26"/>
  <c r="AR7" i="26"/>
  <c r="AW7" i="26"/>
  <c r="AV7" i="26" l="1"/>
  <c r="AY7" i="26" s="1"/>
  <c r="AX7" i="26"/>
  <c r="N42" i="9" l="1"/>
  <c r="AH10" i="9" l="1"/>
  <c r="AH9" i="9"/>
  <c r="AH8" i="9"/>
  <c r="AH7" i="9"/>
  <c r="AH6" i="9"/>
  <c r="AG21" i="9"/>
  <c r="AI7" i="9"/>
  <c r="AG7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Q7" i="26"/>
  <c r="C19" i="24"/>
  <c r="AG7" i="26"/>
  <c r="AD7" i="26"/>
  <c r="AE7" i="26"/>
  <c r="Y7" i="26"/>
  <c r="T7" i="26"/>
  <c r="G7" i="26"/>
  <c r="W7" i="26"/>
  <c r="I7" i="26"/>
  <c r="O7" i="26"/>
  <c r="N7" i="26"/>
  <c r="D19" i="24"/>
  <c r="D7" i="26"/>
  <c r="AB7" i="26"/>
  <c r="V7" i="26"/>
  <c r="F7" i="26"/>
  <c r="L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T7" i="9"/>
  <c r="O7" i="9"/>
  <c r="N7" i="9"/>
  <c r="R7" i="9"/>
  <c r="X7" i="9"/>
  <c r="M7" i="9"/>
  <c r="V7" i="9"/>
  <c r="P7" i="9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U10" i="26"/>
  <c r="U9" i="26"/>
  <c r="U8" i="26"/>
  <c r="M10" i="26"/>
  <c r="M9" i="26"/>
  <c r="M8" i="26"/>
  <c r="E10" i="26"/>
  <c r="E9" i="26"/>
  <c r="E8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9" i="14"/>
  <c r="B48" i="14"/>
  <c r="B47" i="14"/>
  <c r="B46" i="14"/>
  <c r="B45" i="14"/>
  <c r="B44" i="14"/>
  <c r="B43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6" i="22" l="1"/>
  <c r="L16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<sst xmlns="http://schemas.openxmlformats.org/spreadsheetml/2006/main" count="1144" uniqueCount="284">
  <si>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</si>
  <si>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</si>
  <si>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</si>
  <si>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</si>
  <si>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</si>
  <si>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</si>
  <si>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</si>
  <si>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</si>
  <si>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</si>
  <si>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</si>
  <si>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</si>
  <si>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</si>
  <si>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</si>
  <si>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</si>
  <si>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</si>
  <si>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</si>
  <si>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</si>
  <si>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</si>
  <si>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</si>
  <si>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</si>
  <si>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</si>
  <si>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</si>
  <si>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</si>
  <si>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</si>
  <si>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</si>
  <si>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</si>
  <si>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</si>
  <si>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</si>
  <si>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</si>
  <si>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</si>
  <si>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</si>
  <si>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</si>
  <si>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</si>
  <si>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</si>
  <si>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</si>
  <si>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</si>
  <si>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</si>
  <si>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</si>
  <si>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</si>
  <si>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</si>
  <si>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</si>
  <si>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</si>
  <si>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</si>
  <si>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</si>
  <si>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</si>
  <si>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</si>
  <si>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</si>
  <si>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</si>
  <si>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</si>
  <si>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</si>
  <si>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</si>
  <si>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</si>
  <si>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</si>
  <si>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</si>
  <si>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</si>
  <si>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</si>
  <si>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</si>
  <si>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</si>
  <si>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</si>
  <si>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</si>
  <si>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</si>
  <si>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</si>
  <si>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</si>
  <si>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</si>
  <si>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</si>
  <si>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</si>
  <si>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</si>
  <si>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</si>
  <si>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</si>
  <si>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</si>
  <si>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</si>
  <si>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</si>
  <si>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</si>
  <si>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</si>
  <si>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</si>
  <si>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</si>
  <si>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</si>
  <si>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</si>
  <si>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</si>
  <si>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</si>
  <si>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</si>
  <si>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</si>
  <si>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</si>
  <si>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</si>
  <si>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</si>
  <si>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</si>
  <si>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</si>
  <si>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</si>
  <si>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</si>
  <si>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</si>
  <si>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</si>
  <si>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</si>
  <si>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</si>
  <si>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</si>
  <si>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</si>
  <si>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</si>
  <si>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</si>
  <si>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</si>
  <si>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</si>
  <si>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</si>
  <si>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</si>
  <si>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</si>
  <si>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</si>
  <si>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</si>
  <si>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</si>
  <si>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</si>
  <si>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</si>
  <si>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</si>
  <si>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</si>
  <si>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</si>
  <si>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</si>
  <si>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</si>
  <si>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</si>
  <si>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</si>
  <si>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</si>
  <si>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</si>
  <si>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</si>
  <si>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</si>
  <si>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</si>
  <si>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</si>
  <si>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</si>
  <si>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</si>
  <si>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</si>
  <si>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</si>
  <si>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</si>
  <si>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</si>
  <si>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</si>
  <si>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</si>
  <si>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</si>
  <si>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</si>
  <si>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</si>
  <si>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</si>
  <si>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</si>
  <si>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</si>
  <si>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</si>
  <si>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</si>
  <si>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</si>
  <si>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</si>
  <si>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</si>
  <si>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</si>
  <si>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</si>
  <si>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</si>
  <si>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</si>
  <si>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</si>
  <si>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</si>
  <si>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</si>
  <si>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</si>
  <si>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</si>
  <si>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</si>
  <si>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</si>
  <si>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</si>
  <si>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</si>
  <si>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</si>
  <si>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</si>
  <si>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</si>
  <si>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</si>
  <si>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</si>
  <si>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</si>
  <si>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</si>
  <si>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</si>
  <si>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</si>
  <si>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</si>
  <si>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</si>
  <si>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</si>
  <si>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</si>
  <si>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</si>
  <si>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</si>
  <si>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</si>
  <si>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</si>
  <si>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</si>
  <si>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</si>
  <si>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</si>
  <si>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</si>
  <si>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</si>
  <si>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</si>
  <si>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</si>
  <si>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</si>
  <si>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</si>
  <si>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</si>
  <si>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</si>
  <si>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</si>
  <si>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</si>
  <si>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</si>
  <si>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</si>
  <si>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</si>
  <si>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</si>
  <si>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</si>
  <si>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</si>
  <si>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</si>
  <si>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</si>
  <si>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</si>
  <si>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</si>
  <si>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</si>
  <si>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</si>
  <si>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</si>
  <si>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</si>
  <si>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</si>
  <si>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</si>
  <si>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</si>
  <si>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</si>
  <si>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</si>
  <si>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</si>
  <si>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</si>
  <si>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</si>
  <si>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</si>
  <si>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</si>
  <si>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</si>
  <si>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</si>
  <si>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</si>
  <si>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</si>
  <si>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</si>
  <si>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</si>
  <si>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</si>
  <si>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</si>
  <si>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</si>
  <si>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</si>
  <si>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</si>
  <si>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</si>
  <si>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</si>
  <si>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</si>
  <si>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</si>
  <si>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</si>
  <si>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</si>
  <si>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</si>
  <si>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</si>
  <si>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</si>
  <si>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</si>
  <si>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</si>
  <si>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</si>
  <si>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</si>
  <si>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</si>
  <si>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</si>
  <si>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</si>
  <si>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</si>
  <si>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</si>
  <si>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</si>
  <si>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</si>
  <si>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</si>
  <si>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</si>
  <si>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</si>
  <si>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</si>
  <si>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</si>
  <si>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</si>
  <si>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</si>
  <si>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</si>
  <si>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</si>
  <si>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</si>
  <si>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</si>
  <si>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</si>
  <si>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</si>
  <si>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</si>
  <si>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</si>
  <si>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</si>
  <si>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</si>
  <si>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</si>
  <si>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</si>
  <si>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</si>
  <si>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</si>
  <si>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</si>
  <si>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</si>
  <si>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</si>
  <si>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</si>
  <si>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</si>
  <si>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</si>
  <si>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</si>
  <si>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</si>
  <si>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</si>
  <si>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</si>
  <si>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</si>
  <si>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</si>
  <si>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</si>
  <si>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</si>
  <si>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</si>
  <si>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</si>
  <si>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</si>
  <si>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</si>
  <si>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</si>
  <si>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</si>
  <si>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</si>
  <si>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</si>
  <si>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</si>
  <si>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</si>
  <si>
    <t>W8</t>
  </si>
  <si>
    <t>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</si>
</sst>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0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0" fontId="0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5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6" xfId="0" applyNumberFormat="1" applyBorder="1"/>
    <xf numFmtId="9" fontId="0" fillId="0" borderId="24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0.44827586206896552</c:v>
                </c:pt>
                <c:pt idx="1">
                  <c:v>0.55172413793103448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_ReleaseData!$N$3:$N$12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_ReleaseData!$S$3:$S$12</c:f>
              <c:numCache>
                <c:formatCode>0.0</c:formatCode>
                <c:ptCount val="10"/>
                <c:pt idx="0">
                  <c:v>260</c:v>
                </c:pt>
                <c:pt idx="1">
                  <c:v>233.10344827586206</c:v>
                </c:pt>
                <c:pt idx="2">
                  <c:v>203.21839080459768</c:v>
                </c:pt>
                <c:pt idx="3">
                  <c:v>173.33333333333334</c:v>
                </c:pt>
                <c:pt idx="4">
                  <c:v>143.44827586206895</c:v>
                </c:pt>
                <c:pt idx="5">
                  <c:v>116.55172413793103</c:v>
                </c:pt>
                <c:pt idx="6">
                  <c:v>86.666666666666671</c:v>
                </c:pt>
                <c:pt idx="7">
                  <c:v>59.77011494252875</c:v>
                </c:pt>
                <c:pt idx="8">
                  <c:v>29.885057471264361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_ReleaseData!$T$3:$T$12</c:f>
              <c:numCache>
                <c:formatCode>0.0</c:formatCode>
                <c:ptCount val="10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'!$L$3:$L$12</c:f>
              <c:numCache>
                <c:formatCode>0.0</c:formatCode>
                <c:ptCount val="10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'!$N$3:$N$12</c:f>
              <c:numCache>
                <c:formatCode>0.0</c:formatCode>
                <c:ptCount val="10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'!$O$3:$O$12</c:f>
              <c:numCache>
                <c:formatCode>0.0</c:formatCode>
                <c:ptCount val="10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'!$P$3:$P$12</c:f>
              <c:numCache>
                <c:formatCode>0.0</c:formatCode>
                <c:ptCount val="10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'!$M$3:$M$12</c:f>
              <c:numCache>
                <c:formatCode>0</c:formatCode>
                <c:ptCount val="1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0.44827586206896552</c:v>
                </c:pt>
                <c:pt idx="1">
                  <c:v>0.55172413793103448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_ReleaseData!$L$3:$L$12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_ReleaseData!$O$3:$O$12</c:f>
              <c:numCache>
                <c:formatCode>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_ReleaseData!$U$3:$U$12</c:f>
              <c:numCache>
                <c:formatCode>0.0</c:formatCode>
                <c:ptCount val="10"/>
                <c:pt idx="0">
                  <c:v>200</c:v>
                </c:pt>
                <c:pt idx="1">
                  <c:v>179.31034482758622</c:v>
                </c:pt>
                <c:pt idx="2">
                  <c:v>156.32183908045977</c:v>
                </c:pt>
                <c:pt idx="3">
                  <c:v>133.33333333333334</c:v>
                </c:pt>
                <c:pt idx="4">
                  <c:v>110.34482758620689</c:v>
                </c:pt>
                <c:pt idx="5">
                  <c:v>89.65517241379311</c:v>
                </c:pt>
                <c:pt idx="6">
                  <c:v>66.666666666666671</c:v>
                </c:pt>
                <c:pt idx="7">
                  <c:v>45.977011494252885</c:v>
                </c:pt>
                <c:pt idx="8">
                  <c:v>22.988505747126432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_ReleaseData!$V$3:$V$12</c:f>
              <c:numCache>
                <c:formatCode>0.0</c:formatCode>
                <c:ptCount val="10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'!$T$3:$T$12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'!$V$3:$V$12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'!$W$3:$W$12</c:f>
              <c:numCache>
                <c:formatCode>0.0</c:formatCode>
                <c:ptCount val="10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'!$X$3:$X$12</c:f>
              <c:numCache>
                <c:formatCode>0.0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'!$U$3:$U$12</c:f>
              <c:numCache>
                <c:formatCode>0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0.17241379310344829</c:v>
                </c:pt>
                <c:pt idx="1">
                  <c:v>0.82758620689655171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_ReleaseData!$P$3:$P$12</c:f>
              <c:numCache>
                <c:formatCode>0%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_ReleaseData!$W$3:$W$12</c:f>
              <c:numCache>
                <c:formatCode>0.0</c:formatCode>
                <c:ptCount val="10"/>
                <c:pt idx="0">
                  <c:v>60</c:v>
                </c:pt>
                <c:pt idx="1">
                  <c:v>53.793103448275865</c:v>
                </c:pt>
                <c:pt idx="2">
                  <c:v>46.896551724137929</c:v>
                </c:pt>
                <c:pt idx="3">
                  <c:v>40.000000000000007</c:v>
                </c:pt>
                <c:pt idx="4">
                  <c:v>33.103448275862071</c:v>
                </c:pt>
                <c:pt idx="5">
                  <c:v>26.896551724137932</c:v>
                </c:pt>
                <c:pt idx="6">
                  <c:v>20.000000000000004</c:v>
                </c:pt>
                <c:pt idx="7">
                  <c:v>13.793103448275865</c:v>
                </c:pt>
                <c:pt idx="8">
                  <c:v>6.8965517241379288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_ReleaseData!$X$3:$X$12</c:f>
              <c:numCache>
                <c:formatCode>0.0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'!$AB$3:$AB$12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'!$AD$3:$AD$12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'!$AE$3:$AE$12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'!$AF$3:$AF$12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'!$AC$3:$AC$12</c:f>
              <c:numCache>
                <c:formatCode>0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'!$AR$3:$AR$12</c:f>
              <c:numCache>
                <c:formatCode>0.0</c:formatCode>
                <c:ptCount val="10"/>
                <c:pt idx="3">
                  <c:v>71.3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'!$AT$3:$AT$12</c:f>
              <c:numCache>
                <c:formatCode>0.0</c:formatCode>
                <c:ptCount val="10"/>
                <c:pt idx="3">
                  <c:v>53.3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'!$AU$3:$AU$12</c:f>
              <c:numCache>
                <c:formatCode>0.0</c:formatCode>
                <c:ptCount val="10"/>
                <c:pt idx="3">
                  <c:v>53.3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'!$AV$3:$AV$12</c:f>
              <c:numCache>
                <c:formatCode>0.0</c:formatCode>
                <c:ptCount val="10"/>
                <c:pt idx="3">
                  <c:v>0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'!$AS$3:$AS$12</c:f>
              <c:numCache>
                <c:formatCode>0</c:formatCode>
                <c:ptCount val="1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0.17241379310344829</c:v>
                </c:pt>
                <c:pt idx="1">
                  <c:v>0.82758620689655171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_ReleaseData!$M$3:$M$12</c:f>
              <c:numCache>
                <c:formatCode>0%</c:formatCode>
                <c:ptCount val="10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_ReleaseData!$AF$3:$AF$12</c:f>
              <c:numCache>
                <c:formatCode>0%</c:formatCode>
                <c:ptCount val="10"/>
                <c:pt idx="3">
                  <c:v>0</c:v>
                </c:pt>
                <c:pt idx="4">
                  <c:v>0.17241379310344829</c:v>
                </c:pt>
                <c:pt idx="5">
                  <c:v>0.32758620689655171</c:v>
                </c:pt>
                <c:pt idx="6">
                  <c:v>0.5</c:v>
                </c:pt>
                <c:pt idx="7">
                  <c:v>0.65517241379310343</c:v>
                </c:pt>
                <c:pt idx="8">
                  <c:v>0.82758620689655171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_ReleaseData!$AG$3:$AG$12</c:f>
              <c:numCache>
                <c:formatCode>0%</c:formatCode>
                <c:ptCount val="10"/>
                <c:pt idx="3">
                  <c:v>0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_ReleaseData!$AH$3:$AH$12</c:f>
              <c:numCache>
                <c:formatCode>0.0</c:formatCode>
                <c:ptCount val="10"/>
                <c:pt idx="3">
                  <c:v>70</c:v>
                </c:pt>
                <c:pt idx="4">
                  <c:v>57.931034482758619</c:v>
                </c:pt>
                <c:pt idx="5">
                  <c:v>47.068965517241381</c:v>
                </c:pt>
                <c:pt idx="6">
                  <c:v>35</c:v>
                </c:pt>
                <c:pt idx="7">
                  <c:v>24.137931034482762</c:v>
                </c:pt>
                <c:pt idx="8">
                  <c:v>12.068965517241381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_ReleaseData!$AI$3:$AI$12</c:f>
              <c:numCache>
                <c:formatCode>0.0</c:formatCode>
                <c:ptCount val="10"/>
                <c:pt idx="3">
                  <c:v>71.25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_ReadinessData!$C$16:$C$24</c:f>
              <c:numCache>
                <c:formatCode>General</c:formatCode>
                <c:ptCount val="9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_ReadinessData!$D$16:$D$24</c:f>
              <c:numCache>
                <c:formatCode>General</c:formatCode>
                <c:ptCount val="9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_TeamVelocityData!$B$6:$B$15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_TeamVelocityData!$C$6:$C$15</c:f>
              <c:numCache>
                <c:formatCode>General</c:formatCode>
                <c:ptCount val="9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_BugsData!$C$43:$C$51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_BugsData!$D$43:$D$49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_BugsData!$E$43:$E$49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_BugsData!$F$43:$F$49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_BugsData!$G$43:$G$49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_BugsData!$H$43:$H$51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_ReleaseData!$Q$3:$Q$12</c:f>
              <c:numCache>
                <c:formatCode>0.0</c:formatCode>
                <c:ptCount val="10"/>
                <c:pt idx="0">
                  <c:v>700</c:v>
                </c:pt>
                <c:pt idx="1">
                  <c:v>627.58620689655174</c:v>
                </c:pt>
                <c:pt idx="2">
                  <c:v>547.12643678160919</c:v>
                </c:pt>
                <c:pt idx="3">
                  <c:v>466.66666666666674</c:v>
                </c:pt>
                <c:pt idx="4">
                  <c:v>386.20689655172413</c:v>
                </c:pt>
                <c:pt idx="5">
                  <c:v>313.79310344827587</c:v>
                </c:pt>
                <c:pt idx="6">
                  <c:v>233.33333333333337</c:v>
                </c:pt>
                <c:pt idx="7">
                  <c:v>160.91954022988509</c:v>
                </c:pt>
                <c:pt idx="8">
                  <c:v>80.459770114942515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_ReleaseData!$R$3:$R$12</c:f>
              <c:numCache>
                <c:formatCode>0.0</c:formatCode>
                <c:ptCount val="10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'!$D$3:$D$12</c:f>
              <c:numCache>
                <c:formatCode>0.0</c:formatCode>
                <c:ptCount val="10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'!$F$3:$F$12</c:f>
              <c:numCache>
                <c:formatCode>0.0</c:formatCode>
                <c:ptCount val="10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'!$G$3:$G$12</c:f>
              <c:numCache>
                <c:formatCode>0.0</c:formatCode>
                <c:ptCount val="10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'!$H$3:$H$12</c:f>
              <c:numCache>
                <c:formatCode>0.0</c:formatCode>
                <c:ptCount val="10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'!$E$3:$E$12</c:f>
              <c:numCache>
                <c:formatCode>0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0.44827586206896552</c:v>
                </c:pt>
                <c:pt idx="1">
                  <c:v>0.55172413793103448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28.874694791666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5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W8"/>
        <s v="W9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8"/>
        <item m="1" x="9"/>
        <item m="1" x="6"/>
        <item m="1" x="7"/>
        <item m="1" x="4"/>
        <item m="1" x="5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5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6">
        <item h="1" m="1" x="54"/>
        <item h="1" m="1" x="48"/>
        <item h="1" m="1" x="13"/>
        <item h="1" m="1" x="68"/>
        <item h="1" m="1" x="58"/>
        <item h="1" m="1" x="49"/>
        <item h="1" m="1" x="41"/>
        <item h="1" m="1" x="26"/>
        <item h="1" m="1" x="17"/>
        <item h="1" m="1" x="72"/>
        <item h="1" m="1" x="63"/>
        <item h="1" x="1"/>
        <item h="1" m="1" x="28"/>
        <item h="1" m="1" x="29"/>
        <item h="1" m="1" x="30"/>
        <item h="1" m="1" x="32"/>
        <item h="1" m="1" x="33"/>
        <item h="1" m="1" x="40"/>
        <item h="1" m="1" x="38"/>
        <item h="1" m="1" x="37"/>
        <item h="1" m="1" x="27"/>
        <item h="1" m="1" x="18"/>
        <item h="1" m="1" x="73"/>
        <item h="1" m="1" x="64"/>
        <item h="1" m="1" x="56"/>
        <item h="1" m="1" x="46"/>
        <item h="1" m="1" x="61"/>
        <item h="1" m="1" x="53"/>
        <item h="1" m="1" x="43"/>
        <item h="1" m="1" x="34"/>
        <item h="1" m="1" x="20"/>
        <item h="1" m="1" x="12"/>
        <item h="1" m="1" x="67"/>
        <item h="1" m="1" x="45"/>
        <item h="1" m="1" x="36"/>
        <item h="1" m="1" x="21"/>
        <item h="1" m="1" x="14"/>
        <item h="1" m="1" x="69"/>
        <item h="1" m="1" x="60"/>
        <item h="1" m="1" x="51"/>
        <item h="1" m="1" x="25"/>
        <item h="1" m="1" x="52"/>
        <item h="1" m="1" x="24"/>
        <item h="1" m="1" x="16"/>
        <item h="1" m="1" x="70"/>
        <item h="1" m="1" x="62"/>
        <item h="1" m="1" x="55"/>
        <item h="1" m="1" x="44"/>
        <item h="1" m="1" x="35"/>
        <item h="1" m="1" x="11"/>
        <item h="1" m="1" x="66"/>
        <item h="1" m="1" x="57"/>
        <item h="1" m="1" x="47"/>
        <item h="1" m="1" x="39"/>
        <item h="1" m="1" x="23"/>
        <item h="1" m="1" x="15"/>
        <item h="1" m="1" x="22"/>
        <item h="1" m="1" x="71"/>
        <item h="1" m="1" x="59"/>
        <item h="1" m="1" x="50"/>
        <item h="1" m="1" x="42"/>
        <item h="1" m="1" x="31"/>
        <item h="1" m="1" x="19"/>
        <item h="1" m="1" x="74"/>
        <item h="1" m="1" x="65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40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6">
        <item h="1" m="1" x="54"/>
        <item h="1" m="1" x="13"/>
        <item h="1" m="1" x="68"/>
        <item h="1" m="1" x="58"/>
        <item h="1" m="1" x="49"/>
        <item h="1" m="1" x="41"/>
        <item h="1" m="1" x="26"/>
        <item h="1" m="1" x="17"/>
        <item h="1" m="1" x="72"/>
        <item h="1" m="1" x="63"/>
        <item h="1" x="1"/>
        <item h="1" m="1" x="28"/>
        <item h="1" m="1" x="29"/>
        <item h="1" m="1" x="30"/>
        <item h="1" m="1" x="32"/>
        <item h="1" m="1" x="33"/>
        <item h="1" m="1" x="48"/>
        <item h="1" m="1" x="40"/>
        <item h="1" m="1" x="38"/>
        <item h="1" m="1" x="37"/>
        <item h="1" m="1" x="27"/>
        <item h="1" m="1" x="18"/>
        <item h="1" m="1" x="73"/>
        <item h="1" m="1" x="64"/>
        <item h="1" m="1" x="56"/>
        <item h="1" m="1" x="46"/>
        <item h="1" m="1" x="61"/>
        <item h="1" m="1" x="53"/>
        <item h="1" m="1" x="43"/>
        <item h="1" m="1" x="34"/>
        <item h="1" m="1" x="20"/>
        <item h="1" m="1" x="12"/>
        <item h="1" m="1" x="67"/>
        <item h="1" m="1" x="45"/>
        <item h="1" m="1" x="36"/>
        <item h="1" m="1" x="21"/>
        <item h="1" m="1" x="14"/>
        <item h="1" m="1" x="69"/>
        <item h="1" m="1" x="60"/>
        <item h="1" m="1" x="51"/>
        <item h="1" m="1" x="25"/>
        <item h="1" m="1" x="52"/>
        <item h="1" m="1" x="24"/>
        <item h="1" m="1" x="16"/>
        <item h="1" m="1" x="70"/>
        <item h="1" m="1" x="62"/>
        <item h="1" m="1" x="55"/>
        <item h="1" m="1" x="44"/>
        <item h="1" m="1" x="35"/>
        <item h="1" m="1" x="11"/>
        <item h="1" m="1" x="66"/>
        <item h="1" m="1" x="57"/>
        <item h="1" m="1" x="47"/>
        <item h="1" m="1" x="39"/>
        <item h="1" m="1" x="23"/>
        <item h="1" m="1" x="15"/>
        <item h="1" m="1" x="22"/>
        <item h="1" m="1" x="71"/>
        <item h="1" m="1" x="59"/>
        <item h="1" m="1" x="50"/>
        <item h="1" m="1" x="42"/>
        <item h="1" m="1" x="31"/>
        <item h="1" m="1" x="19"/>
        <item h="1" m="1" x="74"/>
        <item h="1" m="1" x="65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4" totalsRowShown="0">
  <autoFilter ref="B15:D2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6" totalsRowCount="1">
  <autoFilter ref="K6:M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52" totalsRowShown="0" headerRowDxfId="8" headerRowBorderDxfId="7">
  <autoFilter ref="B42:H52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</row>
    <row r="11" spans="2:13" x14ac:dyDescent="0.3">
      <c r="B11" s="17" t="s">
        <v>266</v>
      </c>
      <c r="C11" s="20">
        <v>60</v>
      </c>
      <c r="K11" t="s">
        <v>265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282</v>
      </c>
      <c r="C13" s="20"/>
      <c r="K13" t="s">
        <v>267</v>
      </c>
      <c r="M13" s="20"/>
    </row>
    <row r="14" spans="2:13" x14ac:dyDescent="0.3">
      <c r="B14" s="17" t="s">
        <v>283</v>
      </c>
      <c r="C14" s="20"/>
      <c r="K14" t="s">
        <v>282</v>
      </c>
      <c r="M14" s="20"/>
    </row>
    <row r="15" spans="2:13" x14ac:dyDescent="0.3">
      <c r="B15" s="17" t="s">
        <v>50</v>
      </c>
      <c r="C15" s="20">
        <v>370</v>
      </c>
      <c r="K15" t="s">
        <v>283</v>
      </c>
      <c r="M15" s="20"/>
    </row>
    <row r="16" spans="2:13" x14ac:dyDescent="0.3">
      <c r="K16" t="s">
        <v>186</v>
      </c>
      <c r="L16">
        <f>SUBTOTAL(109,Table1[R&amp;D])</f>
        <v>283.64999999999998</v>
      </c>
      <c r="M16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Wavelength4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272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Wavelength4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topLeftCell="A28" workbookViewId="0">
      <selection activeCell="A28" sqref="A28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282</v>
      </c>
      <c r="C38" s="20"/>
      <c r="D38" s="20"/>
      <c r="E38" s="20"/>
      <c r="F38" s="20"/>
      <c r="G38" s="20"/>
      <c r="H38" s="20"/>
    </row>
    <row r="39" spans="2:8" x14ac:dyDescent="0.3">
      <c r="B39" s="17" t="s">
        <v>283</v>
      </c>
      <c r="C39" s="20"/>
      <c r="D39" s="20"/>
      <c r="E39" s="20"/>
      <c r="F39" s="20"/>
      <c r="G39" s="20"/>
      <c r="H39" s="20"/>
    </row>
    <row r="40" spans="2:8" x14ac:dyDescent="0.3">
      <c r="B40" s="17" t="s">
        <v>50</v>
      </c>
      <c r="C40" s="20">
        <v>2</v>
      </c>
      <c r="D40" s="20">
        <v>1</v>
      </c>
      <c r="E40" s="20">
        <v>1</v>
      </c>
      <c r="F40" s="20">
        <v>2</v>
      </c>
      <c r="G40" s="20">
        <v>1</v>
      </c>
      <c r="H40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3" t="s">
        <v>139</v>
      </c>
      <c r="C42" s="83" t="s">
        <v>154</v>
      </c>
      <c r="D42" s="83" t="s">
        <v>155</v>
      </c>
      <c r="E42" s="83" t="s">
        <v>156</v>
      </c>
      <c r="F42" s="83" t="s">
        <v>157</v>
      </c>
      <c r="G42" s="83" t="s">
        <v>158</v>
      </c>
      <c r="H42" s="83" t="s">
        <v>50</v>
      </c>
    </row>
    <row r="43" spans="2:8" x14ac:dyDescent="0.3">
      <c r="B43" s="17" t="str">
        <f>B31</f>
        <v>W1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51" si="1">B32</f>
        <v>W2</v>
      </c>
      <c r="C44" s="20" t="str">
        <f t="shared" ref="C44:H51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W4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W5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 t="str">
        <f t="shared" si="1"/>
        <v>W7</v>
      </c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 t="str">
        <f t="shared" si="1"/>
        <v>W8</v>
      </c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 t="str">
        <f t="shared" si="1"/>
        <v>W9</v>
      </c>
      <c r="C51" s="20" t="str">
        <f t="shared" si="2"/>
        <v/>
      </c>
      <c r="D51" s="20" t="str">
        <f t="shared" si="2"/>
        <v/>
      </c>
      <c r="E51" s="20" t="str">
        <f t="shared" si="2"/>
        <v/>
      </c>
      <c r="F51" s="20" t="str">
        <f t="shared" si="2"/>
        <v/>
      </c>
      <c r="G51" s="20" t="str">
        <f t="shared" si="2"/>
        <v/>
      </c>
      <c r="H51" s="20" t="str">
        <f t="shared" si="2"/>
        <v/>
      </c>
    </row>
    <row r="52" spans="2:11" x14ac:dyDescent="0.3">
      <c r="B52" s="80" t="s">
        <v>50</v>
      </c>
      <c r="C52" s="81">
        <f t="shared" ref="C52:G52" si="3">C40</f>
        <v>2</v>
      </c>
      <c r="D52" s="81">
        <f t="shared" si="3"/>
        <v>1</v>
      </c>
      <c r="E52" s="81">
        <f t="shared" si="3"/>
        <v>1</v>
      </c>
      <c r="F52" s="81">
        <f t="shared" si="3"/>
        <v>2</v>
      </c>
      <c r="G52" s="81">
        <f t="shared" si="3"/>
        <v>1</v>
      </c>
      <c r="H52" s="81">
        <f>H40</f>
        <v>7</v>
      </c>
    </row>
    <row r="53" spans="2:11" x14ac:dyDescent="0.3">
      <c r="K53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17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Wavelength4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Wavelength4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Wavelength4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Wavelength4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Wavelength4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Wavelength4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Wavelength4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F64" s="5" t="s">
        <v>282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F65" s="5" t="s">
        <v>283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7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13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24.44140625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7" t="s">
        <v>134</v>
      </c>
      <c r="R1" s="97"/>
      <c r="S1" s="97" t="s">
        <v>254</v>
      </c>
      <c r="T1" s="97"/>
      <c r="U1" s="97" t="s">
        <v>258</v>
      </c>
      <c r="V1" s="97"/>
      <c r="W1" s="97" t="s">
        <v>259</v>
      </c>
      <c r="X1" s="97"/>
      <c r="AB1" s="16" t="s">
        <v>134</v>
      </c>
      <c r="AC1" t="s">
        <v>260</v>
      </c>
      <c r="AF1" s="97" t="s">
        <v>281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0.44827586206896552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0.55172413793103448</v>
      </c>
      <c r="D3" s="26">
        <v>43873</v>
      </c>
      <c r="E3" s="27">
        <v>43998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43998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SUM($J$4:J4)/SUM($J$4:$J$12)</f>
        <v>0.10344827586206896</v>
      </c>
      <c r="L4" s="36">
        <f>SUM($J$4:J4)/SUM($J$4:$J$12)</f>
        <v>0.10344827586206896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627.58620689655174</v>
      </c>
      <c r="R4" s="42">
        <v>442.3</v>
      </c>
      <c r="S4" s="42">
        <f>$Q$26*(100%-K4)</f>
        <v>233.10344827586206</v>
      </c>
      <c r="T4" s="42">
        <v>138.30000000000001</v>
      </c>
      <c r="U4" s="40">
        <f>$Q$27*(100%-L4)</f>
        <v>179.31034482758622</v>
      </c>
      <c r="V4" s="42">
        <v>173</v>
      </c>
      <c r="W4" s="40">
        <f>$Q$28*(100%-K4)</f>
        <v>53.793103448275865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SUM($J$4:J5)/SUM($J$4:$J$12)</f>
        <v>0.21839080459770116</v>
      </c>
      <c r="L5" s="36">
        <f>SUM($J$4:J5)/SUM($J$4:$J$12)</f>
        <v>0.21839080459770116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547.12643678160919</v>
      </c>
      <c r="R5" s="40">
        <v>408.8</v>
      </c>
      <c r="S5" s="42">
        <f t="shared" ref="S5:S9" si="2">$Q$26*(100%-K5)</f>
        <v>203.21839080459768</v>
      </c>
      <c r="T5" s="42">
        <v>139.30000000000001</v>
      </c>
      <c r="U5" s="40">
        <f t="shared" ref="U5:U9" si="3">$Q$27*(100%-L5)</f>
        <v>156.32183908045977</v>
      </c>
      <c r="V5" s="42">
        <v>139</v>
      </c>
      <c r="W5" s="40">
        <f t="shared" ref="W5:W9" si="4">$Q$28*(100%-K5)</f>
        <v>46.896551724137929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43928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SUM($J$4:J6)/SUM($J$4:$J$12)</f>
        <v>0.33333333333333331</v>
      </c>
      <c r="L6" s="36">
        <f>SUM($J$4:J6)/SUM($J$4:$J$12)</f>
        <v>0.33333333333333331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466.66666666666674</v>
      </c>
      <c r="R6" s="42">
        <v>387.8</v>
      </c>
      <c r="S6" s="42">
        <f t="shared" ref="S6" si="6">$Q$26*(100%-K6)</f>
        <v>173.33333333333334</v>
      </c>
      <c r="T6" s="42">
        <v>85.3</v>
      </c>
      <c r="U6" s="40">
        <f t="shared" ref="U6" si="7">$Q$27*(100%-L6)</f>
        <v>133.33333333333334</v>
      </c>
      <c r="V6" s="42">
        <v>115</v>
      </c>
      <c r="W6" s="40">
        <f t="shared" ref="W6" si="8">$Q$28*(100%-K6)</f>
        <v>40.000000000000007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2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2" si="11">I6+14</f>
        <v>43928</v>
      </c>
      <c r="J7" s="35">
        <f t="shared" si="0"/>
        <v>10</v>
      </c>
      <c r="K7" s="36">
        <f>SUM($J$4:J7)/SUM($J$4:$J$12)</f>
        <v>0.44827586206896552</v>
      </c>
      <c r="L7" s="36">
        <f>SUM($J$4:J7)/SUM($J$4:$J$12)</f>
        <v>0.44827586206896552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1</v>
      </c>
      <c r="O7" s="76">
        <f>100%-GETPIVOTDATA("Epic Remaining Estimate",$AB$4,"ST:Components","Visio Import/Export")/GETPIVOTDATA("Epic Total Estimate",$AB$4,"ST:Components","Visio Import/Export")</f>
        <v>-2</v>
      </c>
      <c r="P7" s="76">
        <f>100%-GETPIVOTDATA("Epic Remaining Estimate",$AB$4,"ST:Components","Logging and Audit")/GETPIVOTDATA("Epic Total Estimate",$AB$4,"ST:Components","Logging and Audit")</f>
        <v>-2</v>
      </c>
      <c r="Q7" s="40">
        <f t="shared" si="1"/>
        <v>386.20689655172413</v>
      </c>
      <c r="R7" s="42">
        <f>GETPIVOTDATA("Epic Remaining Estimate",$AB$4)</f>
        <v>450</v>
      </c>
      <c r="S7" s="42">
        <f t="shared" si="2"/>
        <v>143.44827586206895</v>
      </c>
      <c r="T7" s="42">
        <f>GETPIVOTDATA("Epic Remaining Estimate",$AB$4,"ST:Components","Admin")</f>
        <v>0</v>
      </c>
      <c r="U7" s="40">
        <f t="shared" si="3"/>
        <v>110.34482758620689</v>
      </c>
      <c r="V7" s="42">
        <f>GETPIVOTDATA("Epic Remaining Estimate",$AB$4,"ST:Components","Visio Import/Export")</f>
        <v>150</v>
      </c>
      <c r="W7" s="40">
        <f t="shared" si="4"/>
        <v>33.103448275862071</v>
      </c>
      <c r="X7" s="42">
        <f>GETPIVOTDATA("Epic Remaining Estimate",$AB$4,"ST:Components","Logging and Audit")</f>
        <v>150</v>
      </c>
      <c r="Z7" s="32"/>
      <c r="AB7" s="17" t="s">
        <v>254</v>
      </c>
      <c r="AC7" s="20">
        <v>100</v>
      </c>
      <c r="AD7" s="20"/>
      <c r="AF7" s="36">
        <f>SUM($J$7:J7)/SUM($J$7:$J$12)</f>
        <v>0.17241379310344829</v>
      </c>
      <c r="AG7" s="76">
        <f>100%-GETPIVOTDATA("Epic Remaining Estimate",$AB$4,"ST:Components","UiPath Integration")/GETPIVOTDATA("Epic Total Estimate",$AB$4,"ST:Components","UiPath Integration")</f>
        <v>-0.5</v>
      </c>
      <c r="AH7" s="40">
        <f t="shared" si="9"/>
        <v>57.931034482758619</v>
      </c>
      <c r="AI7" s="42">
        <f>GETPIVOTDATA("Epic Remaining Estimate",$AB$4,"ST:Components","UiPath Integration")</f>
        <v>150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SUM($J$4:J8)/SUM($J$4:$J$12)</f>
        <v>0.55172413793103448</v>
      </c>
      <c r="L8" s="36">
        <f>SUM($J$4:J8)/SUM($J$4:$J$12)</f>
        <v>0.55172413793103448</v>
      </c>
      <c r="M8" s="70"/>
      <c r="N8" s="76"/>
      <c r="O8" s="76"/>
      <c r="P8" s="76"/>
      <c r="Q8" s="40">
        <f t="shared" si="1"/>
        <v>313.79310344827587</v>
      </c>
      <c r="R8" s="42"/>
      <c r="S8" s="42">
        <f t="shared" si="2"/>
        <v>116.55172413793103</v>
      </c>
      <c r="T8" s="42"/>
      <c r="U8" s="40">
        <f t="shared" si="3"/>
        <v>89.65517241379311</v>
      </c>
      <c r="V8" s="42"/>
      <c r="W8" s="40">
        <f t="shared" si="4"/>
        <v>26.896551724137932</v>
      </c>
      <c r="X8" s="42"/>
      <c r="Z8" s="32"/>
      <c r="AB8" s="17" t="s">
        <v>277</v>
      </c>
      <c r="AC8" s="20">
        <v>50</v>
      </c>
      <c r="AD8" s="20">
        <v>150</v>
      </c>
      <c r="AF8" s="36">
        <f>SUM($J$7:J8)/SUM($J$7:$J$12)</f>
        <v>0.32758620689655171</v>
      </c>
      <c r="AG8" s="76"/>
      <c r="AH8" s="40">
        <f t="shared" si="9"/>
        <v>47.068965517241381</v>
      </c>
      <c r="AI8" s="42"/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SUM($J$4:J9)/SUM($J$4:$J$12)</f>
        <v>0.66666666666666663</v>
      </c>
      <c r="L9" s="36">
        <f>SUM($J$4:J9)/SUM($J$4:$J$12)</f>
        <v>0.66666666666666663</v>
      </c>
      <c r="M9" s="70"/>
      <c r="N9" s="76"/>
      <c r="O9" s="76"/>
      <c r="P9" s="76"/>
      <c r="Q9" s="42">
        <f t="shared" si="1"/>
        <v>233.33333333333337</v>
      </c>
      <c r="R9" s="42"/>
      <c r="S9" s="42">
        <f t="shared" si="2"/>
        <v>86.666666666666671</v>
      </c>
      <c r="T9" s="42"/>
      <c r="U9" s="42">
        <f t="shared" si="3"/>
        <v>66.666666666666671</v>
      </c>
      <c r="V9" s="42"/>
      <c r="W9" s="42">
        <f t="shared" si="4"/>
        <v>20.000000000000004</v>
      </c>
      <c r="X9" s="42"/>
      <c r="Z9" s="32"/>
      <c r="AB9" s="17" t="s">
        <v>278</v>
      </c>
      <c r="AC9" s="20">
        <v>50</v>
      </c>
      <c r="AD9" s="20">
        <v>150</v>
      </c>
      <c r="AF9" s="36">
        <f>SUM($J$7:J9)/SUM($J$7:$J$12)</f>
        <v>0.5</v>
      </c>
      <c r="AG9" s="76"/>
      <c r="AH9" s="40">
        <f t="shared" si="9"/>
        <v>35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:H12" si="12">I9+1</f>
        <v>43957</v>
      </c>
      <c r="I10" s="73">
        <f t="shared" si="11"/>
        <v>43970</v>
      </c>
      <c r="J10" s="74">
        <f t="shared" ref="J10:J12" si="13">NETWORKDAYS(H10,I10,$Z$3:$Z$9)</f>
        <v>9</v>
      </c>
      <c r="K10" s="75">
        <f>SUM($J$4:J10)/SUM($J$4:$J$12)</f>
        <v>0.77011494252873558</v>
      </c>
      <c r="L10" s="75">
        <f>SUM($J$4:J10)/SUM($J$4:$J$12)</f>
        <v>0.77011494252873558</v>
      </c>
      <c r="M10" s="75"/>
      <c r="N10" s="77"/>
      <c r="O10" s="77"/>
      <c r="P10" s="77"/>
      <c r="Q10" s="71">
        <f t="shared" ref="Q10:Q12" si="14">$Q$25*(100%-K10)</f>
        <v>160.91954022988509</v>
      </c>
      <c r="R10" s="71"/>
      <c r="S10" s="71">
        <f t="shared" ref="S10:S12" si="15">$Q$26*(100%-K10)</f>
        <v>59.77011494252875</v>
      </c>
      <c r="T10" s="71"/>
      <c r="U10" s="71">
        <f t="shared" ref="U10:U12" si="16">$Q$27*(100%-L10)</f>
        <v>45.977011494252885</v>
      </c>
      <c r="V10" s="71"/>
      <c r="W10" s="71">
        <f t="shared" ref="W10:W12" si="17">$Q$28*(100%-K10)</f>
        <v>13.793103448275865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SUM($J$7:J10)/SUM($J$7:$J$12)</f>
        <v>0.65517241379310343</v>
      </c>
      <c r="AG10" s="77"/>
      <c r="AH10" s="71">
        <f t="shared" si="9"/>
        <v>24.137931034482762</v>
      </c>
      <c r="AI10" s="71"/>
    </row>
    <row r="11" spans="1:35" x14ac:dyDescent="0.3">
      <c r="A11" t="s">
        <v>137</v>
      </c>
      <c r="B11" s="30">
        <f>MAX(100%,B10)-B10</f>
        <v>0</v>
      </c>
      <c r="G11" s="84" t="s">
        <v>282</v>
      </c>
      <c r="H11" s="68">
        <f t="shared" si="12"/>
        <v>43971</v>
      </c>
      <c r="I11" s="68">
        <f t="shared" si="11"/>
        <v>43984</v>
      </c>
      <c r="J11" s="69">
        <f t="shared" si="13"/>
        <v>10</v>
      </c>
      <c r="K11" s="36">
        <f>SUM($J$4:J11)/SUM($J$4:$J$12)</f>
        <v>0.88505747126436785</v>
      </c>
      <c r="L11" s="36">
        <f>SUM($J$4:J11)/SUM($J$4:$J$12)</f>
        <v>0.88505747126436785</v>
      </c>
      <c r="M11" s="65"/>
      <c r="N11" s="65"/>
      <c r="O11" s="65"/>
      <c r="P11" s="65"/>
      <c r="Q11" s="42">
        <f t="shared" si="14"/>
        <v>80.459770114942515</v>
      </c>
      <c r="R11" s="66"/>
      <c r="S11" s="42">
        <f t="shared" si="15"/>
        <v>29.885057471264361</v>
      </c>
      <c r="T11" s="66"/>
      <c r="U11" s="42">
        <f t="shared" si="16"/>
        <v>22.988505747126432</v>
      </c>
      <c r="V11" s="66"/>
      <c r="W11" s="42">
        <f t="shared" si="17"/>
        <v>6.8965517241379288</v>
      </c>
      <c r="X11" s="66"/>
      <c r="Z11" s="32"/>
      <c r="AB11" s="17" t="s">
        <v>50</v>
      </c>
      <c r="AC11" s="20">
        <v>600</v>
      </c>
      <c r="AD11" s="20">
        <v>450</v>
      </c>
      <c r="AF11" s="70">
        <f>SUM($J$7:J11)/SUM($J$7:$J$12)</f>
        <v>0.82758620689655171</v>
      </c>
      <c r="AH11" s="42">
        <f t="shared" si="9"/>
        <v>12.068965517241381</v>
      </c>
    </row>
    <row r="12" spans="1:35" x14ac:dyDescent="0.3">
      <c r="G12" s="85" t="s">
        <v>283</v>
      </c>
      <c r="H12" s="73">
        <f t="shared" si="12"/>
        <v>43985</v>
      </c>
      <c r="I12" s="73">
        <f t="shared" si="11"/>
        <v>43998</v>
      </c>
      <c r="J12" s="74">
        <f t="shared" si="13"/>
        <v>10</v>
      </c>
      <c r="K12" s="75">
        <f>SUM($J$4:J12)/SUM($J$4:$J$12)</f>
        <v>1</v>
      </c>
      <c r="L12" s="75">
        <f>SUM($J$4:J12)/SUM($J$4:$J$12)</f>
        <v>1</v>
      </c>
      <c r="M12" s="86"/>
      <c r="N12" s="86"/>
      <c r="O12" s="86"/>
      <c r="P12" s="86"/>
      <c r="Q12" s="71">
        <f t="shared" si="14"/>
        <v>0</v>
      </c>
      <c r="R12" s="87"/>
      <c r="S12" s="71">
        <f t="shared" si="15"/>
        <v>0</v>
      </c>
      <c r="T12" s="87"/>
      <c r="U12" s="71">
        <f t="shared" si="16"/>
        <v>0</v>
      </c>
      <c r="V12" s="87"/>
      <c r="W12" s="71">
        <f t="shared" si="17"/>
        <v>0</v>
      </c>
      <c r="X12" s="87"/>
      <c r="Z12" s="32"/>
      <c r="AF12" s="75">
        <f>SUM($J$7:J12)/SUM($J$7:$J$12)</f>
        <v>1</v>
      </c>
      <c r="AG12" s="88"/>
      <c r="AH12" s="71">
        <f t="shared" si="9"/>
        <v>0</v>
      </c>
      <c r="AI12" s="88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0.17241379310344829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0.82758620689655171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0.44827586206896552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0.55172413793103448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254</v>
      </c>
      <c r="M1" s="98"/>
      <c r="N1" s="98"/>
      <c r="O1" s="98"/>
      <c r="P1" s="98"/>
      <c r="Q1" s="98"/>
      <c r="R1" s="98"/>
      <c r="S1" s="98"/>
      <c r="T1" s="98" t="s">
        <v>258</v>
      </c>
      <c r="U1" s="98"/>
      <c r="V1" s="98"/>
      <c r="W1" s="98"/>
      <c r="X1" s="98"/>
      <c r="Y1" s="98"/>
      <c r="Z1" s="98"/>
      <c r="AA1" s="98"/>
      <c r="AB1" s="98" t="s">
        <v>259</v>
      </c>
      <c r="AC1" s="98"/>
      <c r="AD1" s="98"/>
      <c r="AE1" s="98"/>
      <c r="AF1" s="98"/>
      <c r="AG1" s="98"/>
      <c r="AH1" s="98"/>
      <c r="AI1" s="98"/>
      <c r="AR1" s="98" t="s">
        <v>281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f>GETPIVOTDATA("Epic Total Estimate", $AL$8, "Type", "Epic")</f>
        <v>600</v>
      </c>
      <c r="E7" s="58">
        <f>_ReleaseData!$Q$25</f>
        <v>700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9">D7-I7</f>
        <v>150</v>
      </c>
      <c r="I7" s="40">
        <f>GETPIVOTDATA("Epic Remaining Estimate", $AL$8, "Type", "Epic")</f>
        <v>450</v>
      </c>
      <c r="J7" s="33">
        <f t="shared" ref="J7" si="40" xml:space="preserve"> G7/D7</f>
        <v>0.9</v>
      </c>
      <c r="K7" s="33">
        <f t="shared" ref="K7" si="41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260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0</v>
      </c>
      <c r="P7" s="40">
        <f t="shared" ref="P7" si="42">L7-Q7</f>
        <v>100</v>
      </c>
      <c r="Q7" s="40">
        <f>GETPIVOTDATA("Epic Remaining Estimate", $AL$8, "Type", "Epic", "ST:Components", "Admin")</f>
        <v>0</v>
      </c>
      <c r="R7" s="33">
        <f t="shared" ref="R7" si="43" xml:space="preserve"> O7/L7</f>
        <v>0</v>
      </c>
      <c r="S7" s="33">
        <f t="shared" ref="S7" si="44" xml:space="preserve"> P7/L7</f>
        <v>1</v>
      </c>
      <c r="T7" s="57">
        <f>GETPIVOTDATA("Epic Total Estimate", $AL$8, "Type", "Epic", "ST:Components", "Visio Import/Export")</f>
        <v>50</v>
      </c>
      <c r="U7" s="58">
        <f>_ReleaseData!$Q$27</f>
        <v>200</v>
      </c>
      <c r="V7" s="40">
        <f>GETPIVOTDATA("Stories Estimate", $AL$8, "Type", "Epic", "ST:Components", "Visio Import/Export")</f>
        <v>0</v>
      </c>
      <c r="W7" s="40">
        <f>GETPIVOTDATA("Epic Decomposed", $AL$8, "Type", "Epic", "ST:Components", "Visio Import/Export")</f>
        <v>180</v>
      </c>
      <c r="X7" s="40">
        <f t="shared" ref="X7" si="45">T7-Y7</f>
        <v>-100</v>
      </c>
      <c r="Y7" s="40">
        <f>GETPIVOTDATA("Epic Remaining Estimate", $AL$8, "Type", "Epic", "ST:Components", "Visio Import/Export")</f>
        <v>150</v>
      </c>
      <c r="Z7" s="33">
        <f t="shared" ref="Z7" si="46" xml:space="preserve"> W7/T7</f>
        <v>3.6</v>
      </c>
      <c r="AA7" s="33">
        <f t="shared" ref="AA7" si="47">X7/T7</f>
        <v>-2</v>
      </c>
      <c r="AB7" s="57">
        <f>GETPIVOTDATA("Epic Total Estimate", $AL$8, "Type", "Epic", "ST:Components", "Logging and Audit")</f>
        <v>50</v>
      </c>
      <c r="AC7" s="58">
        <f>_ReleaseData!$Q$28</f>
        <v>60</v>
      </c>
      <c r="AD7" s="40">
        <f>GETPIVOTDATA("Stories Estimate", $AL$8, "Type", "Epic", "ST:Components", "Logging and Audit")</f>
        <v>0</v>
      </c>
      <c r="AE7" s="40">
        <f>GETPIVOTDATA("Epic Decomposed", $AL$8, "Type", "Epic", "ST:Components", "Logging and Audit")</f>
        <v>180</v>
      </c>
      <c r="AF7" s="40">
        <f t="shared" ref="AF7" si="48">AB7-AG7</f>
        <v>-100</v>
      </c>
      <c r="AG7" s="40">
        <f>GETPIVOTDATA("Epic Remaining Estimate", $AL$8, "Type", "Epic", "ST:Components", "Logging and Audit")</f>
        <v>150</v>
      </c>
      <c r="AH7" s="33">
        <f t="shared" ref="AH7" si="49" xml:space="preserve"> AE7/AB7</f>
        <v>3.6</v>
      </c>
      <c r="AI7" s="33">
        <f t="shared" ref="AI7" si="50">AF7/AB7</f>
        <v>-2</v>
      </c>
      <c r="AL7" s="16" t="s">
        <v>134</v>
      </c>
      <c r="AM7" t="s">
        <v>260</v>
      </c>
      <c r="AR7" s="57">
        <f>GETPIVOTDATA("Epic Total Estimate", $AL$8, "Type", "Epic", "ST:Components", "UiPath Integration")</f>
        <v>100</v>
      </c>
      <c r="AS7" s="58">
        <f>_ReleaseData!$Q$29</f>
        <v>70</v>
      </c>
      <c r="AT7" s="40">
        <f>GETPIVOTDATA("Stories Estimate", $AL$8, "Type", "Epic", "ST:Components", "UiPath Integration")</f>
        <v>0</v>
      </c>
      <c r="AU7" s="40">
        <f>GETPIVOTDATA("Epic Decomposed", $AL$8, "Type", "Epic", "ST:Components", "UiPath Integration")</f>
        <v>180</v>
      </c>
      <c r="AV7" s="40">
        <f t="shared" si="36"/>
        <v>-50</v>
      </c>
      <c r="AW7" s="40">
        <f>GETPIVOTDATA("Epic Remaining Estimate", $AL$8, "Type", "Epic", "ST:Components", "UiPath Integration")</f>
        <v>150</v>
      </c>
      <c r="AX7" s="33">
        <f t="shared" si="37"/>
        <v>1.8</v>
      </c>
      <c r="AY7" s="33">
        <f t="shared" si="38"/>
        <v>-0.5</v>
      </c>
    </row>
    <row r="8" spans="1:51" x14ac:dyDescent="0.3">
      <c r="A8" t="s">
        <v>265</v>
      </c>
      <c r="B8" s="60">
        <v>43929</v>
      </c>
      <c r="C8" s="60">
        <v>43942</v>
      </c>
      <c r="D8" s="57"/>
      <c r="E8" s="58">
        <f>_ReleaseData!$Q$25</f>
        <v>700</v>
      </c>
      <c r="F8" s="40"/>
      <c r="G8" s="40"/>
      <c r="H8" s="40"/>
      <c r="I8" s="40"/>
      <c r="J8" s="33" t="e">
        <f t="shared" ref="J8" si="51" xml:space="preserve"> G8/D8</f>
        <v>#DIV/0!</v>
      </c>
      <c r="K8" s="33" t="e">
        <f t="shared" ref="K8" si="52" xml:space="preserve"> H8/D8</f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ref="R8" si="53" xml:space="preserve"> O8/L8</f>
        <v>#DIV/0!</v>
      </c>
      <c r="S8" s="33" t="e">
        <f t="shared" ref="S8" si="54" xml:space="preserve"> P8/L8</f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ref="Z8" si="55" xml:space="preserve"> W8/T8</f>
        <v>#DIV/0!</v>
      </c>
      <c r="AA8" s="33" t="e">
        <f t="shared" ref="AA8" si="56">X8/T8</f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ref="AH8" si="57" xml:space="preserve"> AE8/AB8</f>
        <v>#DIV/0!</v>
      </c>
      <c r="AI8" s="33" t="e">
        <f t="shared" ref="AI8" si="58">AF8/AB8</f>
        <v>#DIV/0!</v>
      </c>
      <c r="AL8" s="16" t="s">
        <v>246</v>
      </c>
      <c r="AM8" t="s">
        <v>217</v>
      </c>
      <c r="AR8" s="57"/>
      <c r="AS8" s="58">
        <f>_ReleaseData!$Q$29</f>
        <v>70</v>
      </c>
      <c r="AT8" s="40"/>
      <c r="AU8" s="40"/>
      <c r="AV8" s="40"/>
      <c r="AW8" s="40"/>
      <c r="AX8" s="33" t="e">
        <f t="shared" si="37"/>
        <v>#DIV/0!</v>
      </c>
      <c r="AY8" s="33" t="e">
        <f t="shared" si="38"/>
        <v>#DIV/0!</v>
      </c>
    </row>
    <row r="9" spans="1:51" x14ac:dyDescent="0.3">
      <c r="A9" t="s">
        <v>266</v>
      </c>
      <c r="B9" s="60">
        <v>43943</v>
      </c>
      <c r="C9" s="60">
        <v>43956</v>
      </c>
      <c r="D9" s="57"/>
      <c r="E9" s="58">
        <f>_ReleaseData!$Q$25</f>
        <v>700</v>
      </c>
      <c r="F9" s="40"/>
      <c r="G9" s="40"/>
      <c r="H9" s="40"/>
      <c r="I9" s="40"/>
      <c r="J9" s="33" t="e">
        <f t="shared" ref="J9" si="59" xml:space="preserve"> G9/D9</f>
        <v>#DIV/0!</v>
      </c>
      <c r="K9" s="33" t="e">
        <f t="shared" ref="K9" si="60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61" xml:space="preserve"> O9/L9</f>
        <v>#DIV/0!</v>
      </c>
      <c r="S9" s="33" t="e">
        <f t="shared" ref="S9" si="62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63" xml:space="preserve"> W9/T9</f>
        <v>#DIV/0!</v>
      </c>
      <c r="AA9" s="33" t="e">
        <f t="shared" ref="AA9" si="64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65" xml:space="preserve"> AE9/AB9</f>
        <v>#DIV/0!</v>
      </c>
      <c r="AI9" s="33" t="e">
        <f t="shared" ref="AI9" si="66">AF9/AB9</f>
        <v>#DIV/0!</v>
      </c>
      <c r="AR9" s="57"/>
      <c r="AS9" s="58">
        <f>_ReleaseData!$Q$29</f>
        <v>70</v>
      </c>
      <c r="AT9" s="40"/>
      <c r="AU9" s="40"/>
      <c r="AV9" s="40"/>
      <c r="AW9" s="40"/>
      <c r="AX9" s="33" t="e">
        <f t="shared" si="37"/>
        <v>#DIV/0!</v>
      </c>
      <c r="AY9" s="33" t="e">
        <f t="shared" si="38"/>
        <v>#DIV/0!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67" xml:space="preserve"> G10/D10</f>
        <v>#DIV/0!</v>
      </c>
      <c r="K10" s="33" t="e">
        <f t="shared" ref="K10" si="68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69" xml:space="preserve"> O10/L10</f>
        <v>#DIV/0!</v>
      </c>
      <c r="S10" s="33" t="e">
        <f t="shared" ref="S10" si="70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71" xml:space="preserve"> W10/T10</f>
        <v>#DIV/0!</v>
      </c>
      <c r="AA10" s="33" t="e">
        <f t="shared" ref="AA10" si="72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73" xml:space="preserve"> AE10/AB10</f>
        <v>#DIV/0!</v>
      </c>
      <c r="AI10" s="33" t="e">
        <f t="shared" ref="AI10" si="74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A11" s="89" t="s">
        <v>282</v>
      </c>
      <c r="B11" s="90">
        <v>43971</v>
      </c>
      <c r="C11" s="90">
        <v>43984</v>
      </c>
      <c r="D11" s="91"/>
      <c r="E11" s="92">
        <f>_ReleaseData!$Q$25</f>
        <v>700</v>
      </c>
      <c r="F11" s="93"/>
      <c r="G11" s="93"/>
      <c r="H11" s="93"/>
      <c r="I11" s="93"/>
      <c r="J11" s="94"/>
      <c r="K11" s="94"/>
      <c r="L11" s="95"/>
      <c r="M11" s="92">
        <f>_ReleaseData!$Q$26</f>
        <v>260</v>
      </c>
      <c r="N11" s="93"/>
      <c r="O11" s="93"/>
      <c r="P11" s="93"/>
      <c r="Q11" s="93"/>
      <c r="R11" s="94"/>
      <c r="S11" s="94"/>
      <c r="T11" s="91"/>
      <c r="U11" s="92">
        <f>_ReleaseData!$Q$27</f>
        <v>200</v>
      </c>
      <c r="V11" s="93"/>
      <c r="W11" s="93"/>
      <c r="X11" s="93"/>
      <c r="Y11" s="93"/>
      <c r="Z11" s="94"/>
      <c r="AA11" s="94"/>
      <c r="AB11" s="91"/>
      <c r="AC11" s="92">
        <f>_ReleaseData!$Q$28</f>
        <v>60</v>
      </c>
      <c r="AD11" s="93"/>
      <c r="AE11" s="93"/>
      <c r="AF11" s="93"/>
      <c r="AG11" s="93"/>
      <c r="AH11" s="94"/>
      <c r="AI11" s="96"/>
      <c r="AM11" t="s">
        <v>61</v>
      </c>
      <c r="AR11" s="91"/>
      <c r="AS11" s="92">
        <f>_ReleaseData!$Q$29</f>
        <v>70</v>
      </c>
      <c r="AT11" s="93"/>
      <c r="AU11" s="93"/>
      <c r="AV11" s="93"/>
      <c r="AW11" s="93"/>
      <c r="AX11" s="94"/>
      <c r="AY11" s="94"/>
    </row>
    <row r="12" spans="1:51" x14ac:dyDescent="0.3">
      <c r="A12" t="s">
        <v>283</v>
      </c>
      <c r="B12" s="60">
        <v>43985</v>
      </c>
      <c r="C12" s="60">
        <v>43998</v>
      </c>
      <c r="D12" s="57"/>
      <c r="E12" s="58">
        <f>_ReleaseData!$Q$25</f>
        <v>700</v>
      </c>
      <c r="F12" s="40"/>
      <c r="G12" s="40"/>
      <c r="H12" s="40"/>
      <c r="I12" s="40"/>
      <c r="J12" s="33"/>
      <c r="K12" s="33"/>
      <c r="L12" s="59"/>
      <c r="M12" s="58">
        <f>_ReleaseData!$Q$26</f>
        <v>260</v>
      </c>
      <c r="N12" s="40"/>
      <c r="O12" s="40"/>
      <c r="P12" s="40"/>
      <c r="Q12" s="40"/>
      <c r="R12" s="33"/>
      <c r="S12" s="33"/>
      <c r="T12" s="57"/>
      <c r="U12" s="58">
        <f>_ReleaseData!$Q$27</f>
        <v>200</v>
      </c>
      <c r="V12" s="40"/>
      <c r="W12" s="40"/>
      <c r="X12" s="40"/>
      <c r="Y12" s="40"/>
      <c r="Z12" s="33"/>
      <c r="AA12" s="33"/>
      <c r="AB12" s="57"/>
      <c r="AC12" s="58">
        <f>_ReleaseData!$Q$28</f>
        <v>60</v>
      </c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>
        <f>_ReleaseData!$Q$29</f>
        <v>70</v>
      </c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265</v>
      </c>
      <c r="C20" s="20"/>
      <c r="D20" s="20"/>
    </row>
    <row r="21" spans="2:4" x14ac:dyDescent="0.3">
      <c r="B21" t="s">
        <v>266</v>
      </c>
      <c r="C21" s="20"/>
      <c r="D21" s="20"/>
    </row>
    <row r="22" spans="2:4" x14ac:dyDescent="0.3">
      <c r="B22" t="s">
        <v>267</v>
      </c>
      <c r="C22" s="20"/>
      <c r="D22" s="20"/>
    </row>
    <row r="23" spans="2:4" x14ac:dyDescent="0.3">
      <c r="B23" t="s">
        <v>282</v>
      </c>
      <c r="C23" s="20"/>
      <c r="D23" s="20"/>
    </row>
    <row r="24" spans="2:4" x14ac:dyDescent="0.3">
      <c r="B24" t="s">
        <v>283</v>
      </c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2020-04-08T01:00:23Z</dcterms:modified>
</cp:coreProperties>
</file>