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AE9B300D-C5E4-418E-9279-4B73585F0CE5}" xr6:coauthVersionLast="31" xr6:coauthVersionMax="31" xr10:uidLastSave="{00000000-0000-0000-0000-000000000000}"/>
  <bookViews>
    <workbookView xWindow="0" yWindow="0" windowWidth="21600" windowHeight="9285" xr2:uid="{00000000-000D-0000-FFFF-FFFF00000000}"/>
  </bookViews>
  <sheets>
    <sheet name="Release" sheetId="10" r:id="rId1"/>
    <sheet name="Reuse" sheetId="19" r:id="rId2"/>
    <sheet name="Drag &amp; Drop" sheetId="20" r:id="rId3"/>
    <sheet name="UME v3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D17" i="24" l="1"/>
  <c r="C17" i="24"/>
  <c r="AC5" i="26" l="1"/>
  <c r="U5" i="26"/>
  <c r="M5" i="26"/>
  <c r="E5" i="26"/>
  <c r="W9" i="9"/>
  <c r="W8" i="9"/>
  <c r="W7" i="9"/>
  <c r="W6" i="9"/>
  <c r="W5" i="9"/>
  <c r="W4" i="9"/>
  <c r="W3" i="9"/>
  <c r="U9" i="9"/>
  <c r="U8" i="9"/>
  <c r="U7" i="9"/>
  <c r="U6" i="9"/>
  <c r="U5" i="9"/>
  <c r="U3" i="9"/>
  <c r="U4" i="9"/>
  <c r="S9" i="9"/>
  <c r="S8" i="9"/>
  <c r="S7" i="9"/>
  <c r="S6" i="9"/>
  <c r="S5" i="9"/>
  <c r="Q3" i="9"/>
  <c r="S3" i="9"/>
  <c r="S4" i="9"/>
  <c r="Q9" i="9"/>
  <c r="Q8" i="9"/>
  <c r="Q7" i="9"/>
  <c r="Q6" i="9"/>
  <c r="Q5" i="9"/>
  <c r="Q4" i="9"/>
  <c r="AG5" i="26"/>
  <c r="O5" i="26"/>
  <c r="X5" i="9"/>
  <c r="V5" i="26"/>
  <c r="R5" i="9"/>
  <c r="N5" i="26"/>
  <c r="Y5" i="26"/>
  <c r="G5" i="26"/>
  <c r="V5" i="9"/>
  <c r="AD5" i="26"/>
  <c r="Q5" i="26"/>
  <c r="T5" i="9"/>
  <c r="I5" i="26"/>
  <c r="T5" i="26"/>
  <c r="F5" i="26"/>
  <c r="AB5" i="26"/>
  <c r="AE5" i="26"/>
  <c r="L5" i="26"/>
  <c r="W5" i="26"/>
  <c r="D5" i="26"/>
  <c r="H5" i="26" l="1"/>
  <c r="K5" i="26" s="1"/>
  <c r="P5" i="26"/>
  <c r="S5" i="26" s="1"/>
  <c r="X5" i="26"/>
  <c r="AA5" i="26" s="1"/>
  <c r="AF5" i="26"/>
  <c r="AI5" i="26" s="1"/>
  <c r="J5" i="26"/>
  <c r="R5" i="26"/>
  <c r="Z5" i="26"/>
  <c r="AH5" i="26"/>
  <c r="M5" i="9"/>
  <c r="O5" i="9"/>
  <c r="P5" i="9"/>
  <c r="N5" i="9"/>
  <c r="AC9" i="26" l="1"/>
  <c r="AC8" i="26"/>
  <c r="AC7" i="26"/>
  <c r="AC6" i="26"/>
  <c r="U9" i="26"/>
  <c r="U8" i="26"/>
  <c r="U7" i="26"/>
  <c r="U6" i="26"/>
  <c r="M9" i="26"/>
  <c r="M8" i="26"/>
  <c r="M7" i="26"/>
  <c r="M6" i="26"/>
  <c r="E9" i="26"/>
  <c r="E8" i="26"/>
  <c r="E7" i="26"/>
  <c r="E6" i="26"/>
  <c r="AC4" i="26" l="1"/>
  <c r="X3" i="26"/>
  <c r="U4" i="26"/>
  <c r="AC3" i="26"/>
  <c r="U3" i="26"/>
  <c r="M4" i="26"/>
  <c r="E3" i="26"/>
  <c r="M3" i="26"/>
  <c r="E4" i="26"/>
  <c r="B10" i="9"/>
  <c r="B14" i="9"/>
  <c r="H4" i="26" l="1"/>
  <c r="K4" i="26" s="1"/>
  <c r="J4" i="26"/>
  <c r="AF4" i="26"/>
  <c r="AI4" i="26" s="1"/>
  <c r="AH4" i="26"/>
  <c r="X4" i="26"/>
  <c r="AA4" i="26" s="1"/>
  <c r="Z4" i="26"/>
  <c r="R4" i="26"/>
  <c r="P4" i="26"/>
  <c r="S4" i="26" s="1"/>
  <c r="L9" i="9"/>
  <c r="L8" i="9"/>
  <c r="L7" i="9"/>
  <c r="L6" i="9"/>
  <c r="L5" i="9"/>
  <c r="L4" i="9"/>
  <c r="K9" i="9"/>
  <c r="K8" i="9"/>
  <c r="K7" i="9"/>
  <c r="K6" i="9"/>
  <c r="K5" i="9"/>
  <c r="K4" i="9"/>
  <c r="B1" i="12" l="1"/>
  <c r="AE31" i="2" s="1"/>
  <c r="B66" i="9"/>
  <c r="F66" i="9"/>
  <c r="AF3" i="26" l="1"/>
  <c r="AI3" i="26" s="1"/>
  <c r="AH3" i="26"/>
  <c r="K42" i="9"/>
  <c r="B18" i="9"/>
  <c r="B19" i="9" l="1"/>
  <c r="I4" i="9" l="1"/>
  <c r="J4" i="9" s="1"/>
  <c r="Z3" i="26" l="1"/>
  <c r="AA3" i="26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s="1"/>
  <c r="H9" i="9" l="1"/>
  <c r="I9" i="9"/>
  <c r="J9" i="9" l="1"/>
  <c r="B7" i="9"/>
</calcChain>
</file>

<file path=xl/sharedStrings.xml><?xml version="1.0" encoding="utf-8"?>
<sst xmlns="http://schemas.openxmlformats.org/spreadsheetml/2006/main" count="1132" uniqueCount="281">
  <si>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</si>
  <si>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</si>
  <si>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</si>
  <si>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</si>
  <si>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</si>
  <si>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</si>
  <si>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</si>
  <si>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</si>
  <si>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</si>
  <si>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</si>
  <si>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</si>
  <si>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</si>
  <si>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</si>
  <si>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</si>
  <si>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</si>
  <si>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</si>
  <si>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</si>
  <si>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</si>
  <si>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</si>
  <si>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</si>
  <si>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</si>
  <si>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</si>
  <si>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</si>
  <si>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</si>
  <si>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</si>
  <si>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</si>
  <si>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</si>
  <si>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</si>
  <si>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</si>
  <si>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</si>
  <si>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</si>
  <si>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</si>
  <si>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</si>
  <si>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</si>
  <si>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</si>
  <si>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</si>
  <si>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</si>
  <si>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</si>
  <si>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</si>
  <si>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</si>
  <si>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</si>
  <si>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</si>
  <si>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</si>
  <si>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</si>
  <si>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</si>
  <si>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</si>
  <si>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</si>
  <si>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</si>
  <si>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</si>
  <si>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</si>
  <si>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</si>
  <si>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</si>
  <si>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</si>
  <si>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</si>
  <si>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</si>
  <si>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</si>
  <si>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</si>
  <si>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</si>
  <si>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</si>
  <si>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</si>
  <si>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</si>
  <si>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</si>
  <si>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</si>
  <si>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</si>
  <si>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</si>
  <si>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</si>
  <si>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</si>
  <si>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</si>
  <si>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</si>
  <si>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</si>
  <si>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</si>
  <si>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</si>
  <si>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</si>
  <si>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</si>
  <si>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</si>
  <si>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</si>
  <si>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</si>
  <si>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</si>
  <si>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</si>
  <si>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</si>
  <si>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</si>
  <si>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</si>
  <si>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</si>
  <si>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</si>
  <si>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</si>
  <si>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</si>
  <si>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</si>
  <si>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</si>
  <si>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</si>
  <si>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</si>
  <si>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</si>
  <si>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</si>
  <si>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</si>
  <si>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</si>
  <si>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</si>
  <si>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</si>
  <si>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</si>
  <si>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</si>
  <si>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</si>
  <si>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</si>
  <si>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</si>
  <si>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</si>
  <si>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</si>
  <si>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</si>
  <si>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</si>
  <si>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</si>
  <si>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</si>
  <si>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</si>
  <si>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</si>
  <si>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</si>
  <si>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</si>
  <si>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</si>
  <si>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</si>
  <si>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</si>
  <si>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</si>
  <si>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</si>
  <si>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</si>
  <si>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</si>
  <si>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</si>
  <si>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</si>
  <si>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</si>
  <si>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</si>
  <si>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</si>
  <si>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</si>
  <si>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</si>
  <si>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</si>
  <si>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</si>
  <si>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</si>
  <si>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</si>
  <si>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</si>
  <si>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</si>
  <si>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</si>
  <si>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</si>
  <si>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</si>
  <si>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</si>
  <si>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</si>
  <si>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</si>
  <si>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</si>
  <si>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</si>
  <si>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</si>
  <si>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</si>
  <si>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</si>
  <si>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</si>
  <si>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</si>
  <si>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</si>
  <si>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</si>
  <si>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</si>
  <si>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</si>
  <si>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</si>
  <si>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</si>
  <si>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</si>
  <si>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</si>
  <si>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</si>
  <si>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</si>
  <si>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</si>
  <si>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</si>
  <si>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</si>
  <si>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</si>
  <si>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</si>
  <si>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</si>
  <si>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</si>
  <si>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</si>
  <si>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</si>
  <si>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</si>
  <si>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</si>
  <si>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</si>
  <si>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</si>
  <si>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</si>
  <si>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</si>
  <si>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</si>
  <si>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</si>
  <si>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</si>
  <si>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</si>
  <si>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</si>
  <si>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</si>
  <si>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</si>
  <si>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</si>
  <si>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</si>
  <si>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</si>
  <si>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</si>
  <si>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</si>
  <si>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</si>
  <si>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</si>
  <si>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</si>
  <si>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</si>
  <si>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</si>
  <si>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</si>
  <si>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</si>
  <si>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</si>
  <si>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</si>
  <si>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</si>
  <si>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</si>
  <si>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</si>
  <si>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</si>
  <si>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</si>
  <si>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</si>
  <si>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</si>
  <si>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</si>
  <si>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</si>
  <si>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</si>
  <si>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</si>
  <si>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</si>
  <si>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</si>
  <si>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</si>
  <si>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</si>
  <si>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</si>
  <si>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</si>
  <si>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</si>
  <si>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</si>
  <si>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</si>
  <si>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</si>
  <si>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</si>
  <si>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</si>
  <si>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</si>
  <si>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</si>
  <si>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</si>
  <si>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</si>
  <si>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</si>
  <si>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</si>
  <si>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</si>
  <si>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</si>
  <si>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</si>
  <si>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</si>
  <si>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</si>
  <si>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</si>
  <si>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</si>
  <si>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</si>
  <si>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</si>
  <si>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</si>
  <si>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</si>
  <si>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</si>
  <si>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</si>
  <si>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</si>
  <si>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</si>
  <si>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</si>
  <si>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</si>
  <si>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</si>
  <si>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</si>
  <si>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</si>
  <si>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</si>
  <si>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</si>
  <si>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</si>
  <si>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</si>
  <si>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</si>
  <si>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</si>
  <si>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</si>
  <si>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</si>
  <si>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</si>
  <si>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</si>
  <si>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</si>
  <si>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</si>
  <si>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</si>
  <si>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</si>
  <si>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</si>
  <si>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</si>
  <si>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</si>
  <si>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</si>
  <si>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&lt;mt:execute script="field-helper-tool.groovy"/&gt;&lt;mt:execute script="blueprint-helper.groovy"/&gt;&lt;mt:execute script="blueprint-saturn-dashboard-helper.groovy"/&gt;</t>
  </si>
  <si>
    <t>Saturn Component</t>
  </si>
  <si>
    <t>UME v3</t>
  </si>
  <si>
    <t>Reuse</t>
  </si>
  <si>
    <t>Drag &amp; Drop</t>
  </si>
  <si>
    <t>S1</t>
  </si>
  <si>
    <t>S2</t>
  </si>
  <si>
    <t>S3</t>
  </si>
  <si>
    <t>S4</t>
  </si>
  <si>
    <t>S5</t>
  </si>
  <si>
    <t>S6</t>
  </si>
  <si>
    <t>Saturn1</t>
  </si>
  <si>
    <t>Saturn2</t>
  </si>
  <si>
    <t>Saturn3</t>
  </si>
  <si>
    <t>Saturn4</t>
  </si>
  <si>
    <t>Saturn5</t>
  </si>
  <si>
    <t>Saturn6</t>
  </si>
  <si>
    <t>Time Elapsed Drag &amp; Drop</t>
  </si>
  <si>
    <t>Release, Reuse, UME v3</t>
  </si>
  <si>
    <t>UML v3</t>
  </si>
  <si>
    <t>Sum of Stories Estimate</t>
  </si>
  <si>
    <t>Sum of Epic Decomposed</t>
  </si>
  <si>
    <t>$[SUBSTITUTE(SUBSTITUTE(AE2, "aturn", ""), "ocket", "")]</t>
  </si>
  <si>
    <t>${bpHelper.getSaturnComponent(issue)}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</si>
</sst>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0.1864406779661017</c:v>
                </c:pt>
                <c:pt idx="1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0.02</c:v>
                </c:pt>
                <c:pt idx="1">
                  <c:v>0.34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115</c:v>
                </c:pt>
                <c:pt idx="1">
                  <c:v>95.172413793103445</c:v>
                </c:pt>
                <c:pt idx="2">
                  <c:v>77.327586206896555</c:v>
                </c:pt>
                <c:pt idx="3">
                  <c:v>57.5</c:v>
                </c:pt>
                <c:pt idx="4">
                  <c:v>37.672413793103445</c:v>
                </c:pt>
                <c:pt idx="5">
                  <c:v>17.844827586206893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126</c:v>
                </c:pt>
                <c:pt idx="1">
                  <c:v>73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129</c:v>
                </c:pt>
                <c:pt idx="1">
                  <c:v>110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125</c:v>
                </c:pt>
                <c:pt idx="1">
                  <c:v>110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54</c:v>
                </c:pt>
                <c:pt idx="1">
                  <c:v>81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3</c:v>
                </c:pt>
                <c:pt idx="1">
                  <c:v>37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0.1864406779661017</c:v>
                </c:pt>
                <c:pt idx="1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Drag &amp; Drop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Drag &amp; Drop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0.12</c:v>
                </c:pt>
                <c:pt idx="1">
                  <c:v>0.2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60</c:v>
                </c:pt>
                <c:pt idx="1">
                  <c:v>49.655172413793103</c:v>
                </c:pt>
                <c:pt idx="2">
                  <c:v>40.344827586206897</c:v>
                </c:pt>
                <c:pt idx="3">
                  <c:v>30</c:v>
                </c:pt>
                <c:pt idx="4">
                  <c:v>19.655172413793103</c:v>
                </c:pt>
                <c:pt idx="5">
                  <c:v>9.3103448275862064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53</c:v>
                </c:pt>
                <c:pt idx="1">
                  <c:v>63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en-US" baseline="0"/>
              <a:t> &amp; Drop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57</c:v>
                </c:pt>
                <c:pt idx="1">
                  <c:v>79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7</c:v>
                </c:pt>
                <c:pt idx="1">
                  <c:v>16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0.1864406779661017</c:v>
                </c:pt>
                <c:pt idx="1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v3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30</c:v>
                </c:pt>
                <c:pt idx="1">
                  <c:v>24.827586206896552</c:v>
                </c:pt>
                <c:pt idx="2">
                  <c:v>20.172413793103448</c:v>
                </c:pt>
                <c:pt idx="3">
                  <c:v>15</c:v>
                </c:pt>
                <c:pt idx="4">
                  <c:v>9.8275862068965516</c:v>
                </c:pt>
                <c:pt idx="5">
                  <c:v>4.6551724137931032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41.5</c:v>
                </c:pt>
                <c:pt idx="1">
                  <c:v>44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[Saturn-Dashboard.xlsx]_ReleaseData!PivotTable6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55.5</c:v>
                </c:pt>
                <c:pt idx="1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146.5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0.04</c:v>
                </c:pt>
                <c:pt idx="1">
                  <c:v>0.19</c:v>
                </c:pt>
                <c:pt idx="2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Saturn2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Drag &amp; Drop</c:v>
                </c:pt>
                <c:pt idx="2">
                  <c:v>UME v3</c:v>
                </c:pt>
                <c:pt idx="3">
                  <c:v>CI/CD</c:v>
                </c:pt>
                <c:pt idx="4">
                  <c:v>R&amp;D Bucket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200.125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300</c:v>
                </c:pt>
                <c:pt idx="1">
                  <c:v>248.27586206896552</c:v>
                </c:pt>
                <c:pt idx="2">
                  <c:v>201.72413793103448</c:v>
                </c:pt>
                <c:pt idx="3">
                  <c:v>150</c:v>
                </c:pt>
                <c:pt idx="4">
                  <c:v>98.275862068965509</c:v>
                </c:pt>
                <c:pt idx="5">
                  <c:v>46.551724137931025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283.5</c:v>
                </c:pt>
                <c:pt idx="1">
                  <c:v>263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295</c:v>
                </c:pt>
                <c:pt idx="1">
                  <c:v>323</c:v>
                </c:pt>
                <c:pt idx="2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291</c:v>
                </c:pt>
                <c:pt idx="1">
                  <c:v>318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192</c:v>
                </c:pt>
                <c:pt idx="1">
                  <c:v>267.5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11.5</c:v>
                </c:pt>
                <c:pt idx="1">
                  <c:v>60</c:v>
                </c:pt>
                <c:pt idx="2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0.1864406779661017</c:v>
                </c:pt>
                <c:pt idx="1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21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509.376706249997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9">
        <s v="${fieldHelper.getFieldValueByName(issue, &quot;ST:Components&quot;)}"/>
        <m/>
        <s v="Reuse"/>
        <s v="Drag &amp; Drop"/>
        <s v="Diagram Editor"/>
        <s v="Cross Project Move" u="1"/>
        <s v="Artifact List" u="1"/>
        <s v="Excel Import" u="1"/>
        <s v="DevOps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8">
        <s v="${bpHelper.getLastSprint(issue)}"/>
        <m/>
        <s v="Saturn1"/>
        <s v="Saturn2"/>
        <s v="Saturn3"/>
        <s v="Saturn4"/>
        <s v="Saturn5"/>
        <s v="Saturn6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1">
        <s v="$[SUBSTITUTE(SUBSTITUTE(AE2, &quot;aturn&quot;, &quot;&quot;), &quot;ocket&quot;, &quot;&quot;)]"/>
        <m/>
        <s v="S1"/>
        <s v="S2"/>
        <s v="S3"/>
        <s v="S4"/>
        <s v="S5"/>
        <s v="S6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Saturn"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Saturn Component" numFmtId="0">
      <sharedItems containsBlank="1" count="10">
        <s v="${bpHelper.getSaturnComponent(issue)}"/>
        <m/>
        <s v="UME v3"/>
        <s v="Reuse"/>
        <s v="Drag &amp; Drop"/>
        <s v="DevOps"/>
        <s v="R&amp;D Bucket"/>
        <s v="Other"/>
        <s v="CI/CD"/>
        <s v="${bpHelper.getRocket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1"/>
        <item m="1" x="6"/>
        <item x="4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5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7"/>
    </i>
    <i>
      <x v="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5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2">
        <item h="1" m="1" x="39"/>
        <item h="1" m="1" x="31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9">
        <item x="0"/>
        <item m="1" x="15"/>
        <item m="1" x="8"/>
        <item m="1" x="34"/>
        <item m="1" x="27"/>
        <item m="1" x="22"/>
        <item m="1" x="16"/>
        <item m="1" x="10"/>
        <item m="1" x="35"/>
        <item m="1" x="21"/>
        <item m="1" x="37"/>
        <item m="1" x="32"/>
        <item m="1" x="25"/>
        <item m="1" x="20"/>
        <item m="1" x="13"/>
        <item m="1" x="23"/>
        <item m="1" x="24"/>
        <item m="1" x="26"/>
        <item m="1" x="28"/>
        <item m="1" x="29"/>
        <item m="1" x="31"/>
        <item m="1" x="33"/>
        <item m="1" x="36"/>
        <item x="1"/>
        <item m="1" x="9"/>
        <item m="1" x="11"/>
        <item m="1" x="12"/>
        <item m="1" x="14"/>
        <item m="1" x="17"/>
        <item m="1" x="18"/>
        <item m="1" x="19"/>
        <item x="2"/>
        <item x="3"/>
        <item x="4"/>
        <item x="5"/>
        <item x="6"/>
        <item x="7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3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42">
        <item h="1" m="1" x="39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31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axis="axisRow" showAll="0">
      <items count="11">
        <item m="1" x="9"/>
        <item x="3"/>
        <item x="4"/>
        <item x="2"/>
        <item x="8"/>
        <item x="6"/>
        <item x="5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5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5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254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179</v>
      </c>
    </row>
    <row r="4" spans="1:2" x14ac:dyDescent="0.45">
      <c r="A4" s="16" t="s">
        <v>251</v>
      </c>
      <c r="B4" t="s">
        <v>221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176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251</v>
      </c>
      <c r="C3" t="s">
        <v>221</v>
      </c>
    </row>
    <row r="5" spans="2:13" x14ac:dyDescent="0.45">
      <c r="B5" s="16" t="s">
        <v>140</v>
      </c>
      <c r="C5" t="s">
        <v>144</v>
      </c>
      <c r="K5" s="39" t="s">
        <v>191</v>
      </c>
    </row>
    <row r="6" spans="2:13" x14ac:dyDescent="0.45">
      <c r="B6" s="17" t="s">
        <v>262</v>
      </c>
      <c r="C6" s="20">
        <v>100</v>
      </c>
      <c r="K6" t="s">
        <v>190</v>
      </c>
      <c r="L6" t="s">
        <v>240</v>
      </c>
      <c r="M6" t="s">
        <v>189</v>
      </c>
    </row>
    <row r="7" spans="2:13" x14ac:dyDescent="0.45">
      <c r="B7" s="17" t="s">
        <v>263</v>
      </c>
      <c r="C7" s="20">
        <v>60</v>
      </c>
      <c r="K7" t="s">
        <v>262</v>
      </c>
      <c r="L7">
        <v>73.5</v>
      </c>
      <c r="M7">
        <f t="shared" ref="M7:M12" si="0">SUM(L7:L7)</f>
        <v>73.5</v>
      </c>
    </row>
    <row r="8" spans="2:13" x14ac:dyDescent="0.45">
      <c r="B8" s="17" t="s">
        <v>264</v>
      </c>
      <c r="C8" s="20">
        <v>30</v>
      </c>
      <c r="K8" t="s">
        <v>263</v>
      </c>
      <c r="M8">
        <f t="shared" si="0"/>
        <v>0</v>
      </c>
    </row>
    <row r="9" spans="2:13" x14ac:dyDescent="0.45">
      <c r="B9" s="17" t="s">
        <v>265</v>
      </c>
      <c r="C9" s="20">
        <v>60</v>
      </c>
      <c r="K9" t="s">
        <v>264</v>
      </c>
      <c r="M9">
        <f t="shared" si="0"/>
        <v>0</v>
      </c>
    </row>
    <row r="10" spans="2:13" x14ac:dyDescent="0.45">
      <c r="B10" s="17" t="s">
        <v>266</v>
      </c>
      <c r="C10" s="20">
        <v>60</v>
      </c>
      <c r="K10" t="s">
        <v>265</v>
      </c>
      <c r="M10">
        <f t="shared" si="0"/>
        <v>0</v>
      </c>
    </row>
    <row r="11" spans="2:13" x14ac:dyDescent="0.45">
      <c r="B11" s="17" t="s">
        <v>267</v>
      </c>
      <c r="C11" s="20">
        <v>60</v>
      </c>
      <c r="K11" t="s">
        <v>266</v>
      </c>
      <c r="M11">
        <f t="shared" si="0"/>
        <v>0</v>
      </c>
    </row>
    <row r="12" spans="2:13" x14ac:dyDescent="0.45">
      <c r="B12" s="17" t="s">
        <v>50</v>
      </c>
      <c r="C12" s="20">
        <v>370</v>
      </c>
      <c r="K12" t="s">
        <v>267</v>
      </c>
      <c r="M12">
        <f t="shared" si="0"/>
        <v>0</v>
      </c>
    </row>
    <row r="13" spans="2:13" x14ac:dyDescent="0.45">
      <c r="K13" t="s">
        <v>189</v>
      </c>
      <c r="L13">
        <f>SUBTOTAL(109,Table1[R&amp;D])</f>
        <v>73.5</v>
      </c>
      <c r="M13">
        <f>SUBTOTAL(109,Table1[Total])</f>
        <v>73.5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Saturn2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269</v>
      </c>
    </row>
    <row r="3" spans="1:5" x14ac:dyDescent="0.45">
      <c r="D3" s="16" t="s">
        <v>251</v>
      </c>
      <c r="E3" t="s">
        <v>221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176</v>
      </c>
      <c r="E9" s="20">
        <v>6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186</v>
      </c>
      <c r="E12" s="20">
        <v>10</v>
      </c>
    </row>
    <row r="13" spans="1:5" x14ac:dyDescent="0.45">
      <c r="D13" s="17" t="s">
        <v>50</v>
      </c>
      <c r="E13" s="20">
        <v>21</v>
      </c>
    </row>
    <row r="15" spans="1:5" x14ac:dyDescent="0.45">
      <c r="D15" t="s">
        <v>50</v>
      </c>
      <c r="E15">
        <f>GETPIVOTDATA("Story Points", $D$5)</f>
        <v>21</v>
      </c>
    </row>
    <row r="16" spans="1:5" x14ac:dyDescent="0.45">
      <c r="D16" t="s">
        <v>154</v>
      </c>
      <c r="E16" t="str">
        <f>"Sprint " &amp; SUBSTITUTE($B$1,"Quasar", "") &amp; " Progress"</f>
        <v>Sprint Saturn2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155</v>
      </c>
    </row>
    <row r="2" spans="1:7" x14ac:dyDescent="0.45">
      <c r="A2" t="s">
        <v>162</v>
      </c>
      <c r="G2" t="s">
        <v>256</v>
      </c>
    </row>
    <row r="3" spans="1:7" x14ac:dyDescent="0.45">
      <c r="G3" t="s">
        <v>253</v>
      </c>
    </row>
    <row r="4" spans="1:7" x14ac:dyDescent="0.45">
      <c r="B4" s="16" t="s">
        <v>135</v>
      </c>
      <c r="C4" t="s">
        <v>254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179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161</v>
      </c>
    </row>
    <row r="10" spans="1:7" x14ac:dyDescent="0.45">
      <c r="B10" s="17" t="s">
        <v>156</v>
      </c>
      <c r="C10" s="20">
        <v>1</v>
      </c>
    </row>
    <row r="11" spans="1:7" x14ac:dyDescent="0.45">
      <c r="B11" s="17" t="s">
        <v>157</v>
      </c>
      <c r="C11" s="20">
        <v>1</v>
      </c>
    </row>
    <row r="12" spans="1:7" x14ac:dyDescent="0.45">
      <c r="B12" s="17" t="s">
        <v>158</v>
      </c>
      <c r="C12" s="20">
        <v>1</v>
      </c>
    </row>
    <row r="13" spans="1:7" x14ac:dyDescent="0.45">
      <c r="B13" s="17" t="s">
        <v>159</v>
      </c>
      <c r="C13" s="20">
        <v>1</v>
      </c>
    </row>
    <row r="14" spans="1:7" x14ac:dyDescent="0.45">
      <c r="B14" s="17" t="s">
        <v>160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254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179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161</v>
      </c>
    </row>
    <row r="30" spans="2:3" x14ac:dyDescent="0.45">
      <c r="B30" s="17" t="s">
        <v>262</v>
      </c>
      <c r="C30" s="20">
        <v>1</v>
      </c>
    </row>
    <row r="31" spans="2:3" x14ac:dyDescent="0.45">
      <c r="B31" s="17" t="s">
        <v>263</v>
      </c>
      <c r="C31" s="20"/>
    </row>
    <row r="32" spans="2:3" x14ac:dyDescent="0.45">
      <c r="B32" s="17" t="s">
        <v>264</v>
      </c>
      <c r="C32" s="20"/>
    </row>
    <row r="33" spans="2:3" x14ac:dyDescent="0.45">
      <c r="B33" s="17" t="s">
        <v>265</v>
      </c>
      <c r="C33" s="20">
        <v>1</v>
      </c>
    </row>
    <row r="34" spans="2:3" x14ac:dyDescent="0.45">
      <c r="B34" s="17" t="s">
        <v>266</v>
      </c>
      <c r="C34" s="20"/>
    </row>
    <row r="35" spans="2:3" x14ac:dyDescent="0.45">
      <c r="B35" s="17" t="s">
        <v>267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164</v>
      </c>
      <c r="AG1" s="1" t="s">
        <v>135</v>
      </c>
      <c r="AH1" s="1" t="s">
        <v>43</v>
      </c>
      <c r="AI1" s="1" t="s">
        <v>145</v>
      </c>
      <c r="AJ1" s="1" t="s">
        <v>258</v>
      </c>
      <c r="AK1" s="1" t="s">
        <v>44</v>
      </c>
      <c r="AL1" s="1" t="s">
        <v>113</v>
      </c>
      <c r="AM1" s="1" t="s">
        <v>114</v>
      </c>
      <c r="AN1" s="1" t="s">
        <v>171</v>
      </c>
      <c r="AO1" s="1" t="s">
        <v>170</v>
      </c>
      <c r="AP1" s="1" t="s">
        <v>172</v>
      </c>
      <c r="AQ1" s="1" t="s">
        <v>122</v>
      </c>
      <c r="AR1" s="1" t="s">
        <v>48</v>
      </c>
      <c r="AS1" s="1" t="s">
        <v>242</v>
      </c>
      <c r="AT1" s="1" t="s">
        <v>251</v>
      </c>
      <c r="AU1" s="1" t="s">
        <v>219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279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165</v>
      </c>
      <c r="AO2" s="11" t="s">
        <v>166</v>
      </c>
      <c r="AP2" s="11" t="s">
        <v>167</v>
      </c>
      <c r="AQ2" s="15" t="s">
        <v>123</v>
      </c>
      <c r="AR2" s="15" t="s">
        <v>218</v>
      </c>
      <c r="AS2" s="15" t="s">
        <v>243</v>
      </c>
      <c r="AT2" s="15" t="s">
        <v>252</v>
      </c>
      <c r="AU2" s="15" t="s">
        <v>223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226</v>
      </c>
      <c r="E4" s="19" t="s">
        <v>86</v>
      </c>
      <c r="V4" s="4" t="s">
        <v>226</v>
      </c>
      <c r="W4" s="4"/>
      <c r="AE4" s="5" t="s">
        <v>268</v>
      </c>
      <c r="AG4" s="5" t="s">
        <v>254</v>
      </c>
      <c r="AI4" s="5" t="s">
        <v>147</v>
      </c>
      <c r="AJ4" s="10" t="s">
        <v>259</v>
      </c>
      <c r="AL4" s="4" t="s">
        <v>226</v>
      </c>
      <c r="AM4" s="4" t="s">
        <v>226</v>
      </c>
      <c r="AN4" s="4"/>
      <c r="AO4" s="4"/>
      <c r="AP4" s="4"/>
      <c r="AQ4" s="4"/>
      <c r="AT4" s="5" t="s">
        <v>221</v>
      </c>
    </row>
    <row r="5" spans="1:48" x14ac:dyDescent="0.45">
      <c r="A5" s="5" t="s">
        <v>51</v>
      </c>
      <c r="B5" s="5" t="s">
        <v>65</v>
      </c>
      <c r="D5" s="4" t="s">
        <v>226</v>
      </c>
      <c r="E5" s="19" t="s">
        <v>87</v>
      </c>
      <c r="G5" s="5"/>
      <c r="J5" s="5"/>
      <c r="N5" s="5">
        <v>5</v>
      </c>
      <c r="V5" s="4" t="s">
        <v>226</v>
      </c>
      <c r="W5" s="4"/>
      <c r="AE5" s="5" t="s">
        <v>269</v>
      </c>
      <c r="AI5" s="5" t="s">
        <v>176</v>
      </c>
      <c r="AJ5" s="10" t="s">
        <v>260</v>
      </c>
      <c r="AL5" s="4" t="s">
        <v>226</v>
      </c>
      <c r="AM5" s="4" t="s">
        <v>226</v>
      </c>
      <c r="AN5" s="4"/>
      <c r="AO5" s="4"/>
      <c r="AP5" s="4"/>
      <c r="AQ5" s="4"/>
      <c r="AT5" s="5" t="s">
        <v>221</v>
      </c>
      <c r="AU5" s="5" t="s">
        <v>221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226</v>
      </c>
      <c r="E6" s="19" t="s">
        <v>88</v>
      </c>
      <c r="N6" s="5">
        <v>10</v>
      </c>
      <c r="V6" s="4" t="s">
        <v>226</v>
      </c>
      <c r="W6" s="4"/>
      <c r="AE6" s="5" t="s">
        <v>270</v>
      </c>
      <c r="AI6" s="5" t="s">
        <v>148</v>
      </c>
      <c r="AJ6" s="5" t="s">
        <v>261</v>
      </c>
      <c r="AL6" s="4" t="s">
        <v>226</v>
      </c>
      <c r="AM6" s="4" t="s">
        <v>226</v>
      </c>
      <c r="AN6" s="4"/>
      <c r="AO6" s="4"/>
      <c r="AP6" s="4"/>
      <c r="AQ6" s="4"/>
      <c r="AT6" s="5" t="s">
        <v>221</v>
      </c>
      <c r="AU6" s="5" t="s">
        <v>221</v>
      </c>
    </row>
    <row r="7" spans="1:48" x14ac:dyDescent="0.45">
      <c r="A7" s="5" t="s">
        <v>51</v>
      </c>
      <c r="B7" s="5" t="s">
        <v>64</v>
      </c>
      <c r="D7" s="4" t="s">
        <v>226</v>
      </c>
      <c r="E7" s="19" t="s">
        <v>89</v>
      </c>
      <c r="N7" s="5">
        <v>20</v>
      </c>
      <c r="V7" s="4" t="s">
        <v>226</v>
      </c>
      <c r="W7" s="4"/>
      <c r="AE7" s="5" t="s">
        <v>271</v>
      </c>
      <c r="AI7" s="5" t="s">
        <v>149</v>
      </c>
      <c r="AJ7" s="5" t="s">
        <v>58</v>
      </c>
      <c r="AL7" s="4" t="s">
        <v>226</v>
      </c>
      <c r="AM7" s="4" t="s">
        <v>226</v>
      </c>
      <c r="AN7" s="4"/>
      <c r="AO7" s="4"/>
      <c r="AP7" s="4"/>
      <c r="AQ7" s="4"/>
      <c r="AU7" s="5" t="s">
        <v>221</v>
      </c>
    </row>
    <row r="8" spans="1:48" x14ac:dyDescent="0.45">
      <c r="A8" s="5" t="s">
        <v>51</v>
      </c>
      <c r="B8" s="5" t="s">
        <v>66</v>
      </c>
      <c r="D8" s="4" t="s">
        <v>226</v>
      </c>
      <c r="E8" s="19" t="s">
        <v>90</v>
      </c>
      <c r="V8" s="4" t="s">
        <v>226</v>
      </c>
      <c r="W8" s="4"/>
      <c r="AE8" s="5" t="s">
        <v>272</v>
      </c>
      <c r="AI8" s="5" t="s">
        <v>151</v>
      </c>
      <c r="AJ8" s="10" t="s">
        <v>187</v>
      </c>
      <c r="AL8" s="4" t="s">
        <v>226</v>
      </c>
      <c r="AM8" s="4" t="s">
        <v>226</v>
      </c>
      <c r="AN8" s="4"/>
      <c r="AO8" s="4"/>
      <c r="AP8" s="4"/>
      <c r="AQ8" s="4"/>
      <c r="AT8" s="5" t="s">
        <v>221</v>
      </c>
      <c r="AU8" s="5" t="s">
        <v>222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273</v>
      </c>
      <c r="AI9" s="5" t="s">
        <v>150</v>
      </c>
      <c r="AJ9" s="10" t="s">
        <v>188</v>
      </c>
      <c r="AL9" s="4" t="s">
        <v>57</v>
      </c>
      <c r="AM9" s="4" t="s">
        <v>57</v>
      </c>
      <c r="AN9" s="4"/>
      <c r="AO9" s="4"/>
      <c r="AP9" s="4"/>
      <c r="AQ9" s="4"/>
      <c r="AT9" s="5" t="s">
        <v>221</v>
      </c>
      <c r="AU9" s="5" t="s">
        <v>222</v>
      </c>
    </row>
    <row r="10" spans="1:48" x14ac:dyDescent="0.45">
      <c r="A10" s="5" t="s">
        <v>51</v>
      </c>
      <c r="B10" s="5" t="s">
        <v>58</v>
      </c>
      <c r="D10" s="4" t="s">
        <v>226</v>
      </c>
      <c r="E10" s="19" t="s">
        <v>92</v>
      </c>
      <c r="V10" s="4" t="s">
        <v>226</v>
      </c>
      <c r="W10" s="4"/>
      <c r="AE10" s="5" t="s">
        <v>268</v>
      </c>
      <c r="AI10" s="5" t="s">
        <v>152</v>
      </c>
      <c r="AL10" s="4" t="s">
        <v>226</v>
      </c>
      <c r="AM10" s="4" t="s">
        <v>226</v>
      </c>
      <c r="AN10" s="4"/>
      <c r="AO10" s="4"/>
      <c r="AP10" s="4"/>
      <c r="AQ10" s="4"/>
      <c r="AT10" s="5" t="s">
        <v>221</v>
      </c>
      <c r="AU10" s="5" t="s">
        <v>222</v>
      </c>
    </row>
    <row r="11" spans="1:48" x14ac:dyDescent="0.45">
      <c r="A11" s="5" t="s">
        <v>51</v>
      </c>
      <c r="B11" s="5" t="s">
        <v>58</v>
      </c>
      <c r="D11" s="4" t="s">
        <v>226</v>
      </c>
      <c r="E11" s="19" t="s">
        <v>93</v>
      </c>
      <c r="V11" s="4" t="s">
        <v>226</v>
      </c>
      <c r="W11" s="4"/>
      <c r="AE11" s="5" t="s">
        <v>269</v>
      </c>
      <c r="AL11" s="4" t="s">
        <v>226</v>
      </c>
      <c r="AM11" s="4" t="s">
        <v>226</v>
      </c>
      <c r="AN11" s="4"/>
      <c r="AO11" s="4"/>
      <c r="AP11" s="4"/>
      <c r="AQ11" s="4"/>
      <c r="AT11" s="5" t="s">
        <v>221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270</v>
      </c>
      <c r="AF12" s="5" t="s">
        <v>262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221</v>
      </c>
    </row>
    <row r="13" spans="1:48" x14ac:dyDescent="0.45">
      <c r="A13" s="5" t="s">
        <v>51</v>
      </c>
      <c r="B13" s="5"/>
      <c r="D13" s="4" t="s">
        <v>226</v>
      </c>
      <c r="E13" s="19" t="s">
        <v>95</v>
      </c>
      <c r="V13" s="4" t="s">
        <v>226</v>
      </c>
      <c r="W13" s="4"/>
      <c r="AE13" s="5" t="s">
        <v>271</v>
      </c>
      <c r="AF13" s="5" t="s">
        <v>263</v>
      </c>
      <c r="AL13" s="4"/>
      <c r="AM13" s="4"/>
      <c r="AN13" s="4"/>
      <c r="AO13" s="4"/>
      <c r="AP13" s="4"/>
      <c r="AQ13" s="4"/>
      <c r="AT13" s="5" t="s">
        <v>221</v>
      </c>
    </row>
    <row r="14" spans="1:48" x14ac:dyDescent="0.45">
      <c r="A14" s="5" t="s">
        <v>51</v>
      </c>
      <c r="B14" s="5" t="s">
        <v>65</v>
      </c>
      <c r="D14" s="4" t="s">
        <v>226</v>
      </c>
      <c r="E14" s="19" t="s">
        <v>96</v>
      </c>
      <c r="N14" s="5">
        <v>20</v>
      </c>
      <c r="V14" s="4" t="s">
        <v>226</v>
      </c>
      <c r="W14" s="4"/>
      <c r="AE14" s="5" t="s">
        <v>272</v>
      </c>
      <c r="AF14" s="5" t="s">
        <v>264</v>
      </c>
      <c r="AL14" s="4"/>
      <c r="AM14" s="4"/>
      <c r="AN14" s="4"/>
      <c r="AO14" s="4"/>
      <c r="AP14" s="4"/>
      <c r="AQ14" s="4"/>
      <c r="AT14" s="5" t="s">
        <v>221</v>
      </c>
      <c r="AU14" s="5" t="s">
        <v>221</v>
      </c>
    </row>
    <row r="15" spans="1:48" ht="26.25" x14ac:dyDescent="0.45">
      <c r="A15" s="5" t="s">
        <v>51</v>
      </c>
      <c r="B15" s="5"/>
      <c r="D15" s="4" t="s">
        <v>226</v>
      </c>
      <c r="E15" s="19" t="s">
        <v>97</v>
      </c>
      <c r="V15" s="4" t="s">
        <v>226</v>
      </c>
      <c r="W15" s="4"/>
      <c r="AE15" s="5" t="s">
        <v>273</v>
      </c>
      <c r="AF15" s="5" t="s">
        <v>265</v>
      </c>
      <c r="AL15" s="4"/>
      <c r="AM15" s="4"/>
      <c r="AN15" s="4"/>
      <c r="AO15" s="4"/>
      <c r="AP15" s="4"/>
      <c r="AQ15" s="4"/>
      <c r="AT15" s="5" t="s">
        <v>221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268</v>
      </c>
      <c r="AF16" s="5" t="s">
        <v>266</v>
      </c>
      <c r="AS16" s="5" t="s">
        <v>244</v>
      </c>
      <c r="AT16" s="5" t="s">
        <v>221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269</v>
      </c>
      <c r="AF17" s="5" t="s">
        <v>267</v>
      </c>
      <c r="AS17" s="5" t="s">
        <v>245</v>
      </c>
      <c r="AT17" s="5" t="s">
        <v>221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270</v>
      </c>
      <c r="AF18" s="5" t="s">
        <v>262</v>
      </c>
      <c r="AS18" s="5" t="s">
        <v>246</v>
      </c>
      <c r="AT18" s="5" t="s">
        <v>221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271</v>
      </c>
      <c r="AF19" s="5" t="s">
        <v>263</v>
      </c>
      <c r="AS19" s="5" t="s">
        <v>247</v>
      </c>
      <c r="AT19" s="5" t="s">
        <v>221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272</v>
      </c>
      <c r="AF20" s="5" t="s">
        <v>264</v>
      </c>
      <c r="AS20" s="5" t="s">
        <v>248</v>
      </c>
      <c r="AT20" s="5" t="s">
        <v>221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273</v>
      </c>
      <c r="AF21" s="5" t="s">
        <v>265</v>
      </c>
      <c r="AS21" s="5" t="s">
        <v>249</v>
      </c>
      <c r="AT21" s="5" t="s">
        <v>221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268</v>
      </c>
      <c r="AF22" s="5" t="s">
        <v>266</v>
      </c>
      <c r="AS22" s="5" t="s">
        <v>250</v>
      </c>
      <c r="AT22" s="5" t="s">
        <v>221</v>
      </c>
    </row>
    <row r="23" spans="1:46" ht="26.25" x14ac:dyDescent="0.45">
      <c r="A23" s="5" t="s">
        <v>51</v>
      </c>
      <c r="E23" s="19" t="s">
        <v>105</v>
      </c>
      <c r="AE23" s="5" t="s">
        <v>269</v>
      </c>
      <c r="AF23" s="5" t="s">
        <v>267</v>
      </c>
      <c r="AT23" s="5" t="s">
        <v>221</v>
      </c>
    </row>
    <row r="24" spans="1:46" x14ac:dyDescent="0.45">
      <c r="A24" s="5" t="s">
        <v>51</v>
      </c>
      <c r="E24" s="19" t="s">
        <v>106</v>
      </c>
      <c r="AE24" s="5" t="s">
        <v>270</v>
      </c>
      <c r="AF24" s="5" t="s">
        <v>262</v>
      </c>
      <c r="AT24" s="5" t="s">
        <v>221</v>
      </c>
    </row>
    <row r="25" spans="1:46" x14ac:dyDescent="0.45">
      <c r="A25" s="5" t="s">
        <v>51</v>
      </c>
      <c r="E25" s="19" t="s">
        <v>107</v>
      </c>
      <c r="AE25" s="5" t="s">
        <v>271</v>
      </c>
      <c r="AF25" s="5" t="s">
        <v>262</v>
      </c>
      <c r="AT25" s="5" t="s">
        <v>221</v>
      </c>
    </row>
    <row r="26" spans="1:46" x14ac:dyDescent="0.45">
      <c r="A26" s="5" t="s">
        <v>51</v>
      </c>
      <c r="E26" s="19" t="s">
        <v>108</v>
      </c>
      <c r="AT26" s="5" t="s">
        <v>221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221</v>
      </c>
    </row>
    <row r="28" spans="1:46" ht="26.25" x14ac:dyDescent="0.45">
      <c r="A28" s="5" t="s">
        <v>51</v>
      </c>
      <c r="E28" s="19" t="s">
        <v>110</v>
      </c>
      <c r="AG28" s="5" t="s">
        <v>220</v>
      </c>
      <c r="AT28" s="5" t="s">
        <v>221</v>
      </c>
    </row>
    <row r="29" spans="1:46" x14ac:dyDescent="0.45">
      <c r="A29" s="5" t="s">
        <v>51</v>
      </c>
      <c r="E29" s="19" t="s">
        <v>67</v>
      </c>
      <c r="AT29" s="5" t="s">
        <v>221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Saturn2</v>
      </c>
      <c r="AI30" s="5" t="s">
        <v>147</v>
      </c>
      <c r="AT30" s="5" t="s">
        <v>221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Saturn2</v>
      </c>
      <c r="AI31" s="5" t="s">
        <v>176</v>
      </c>
      <c r="AT31" s="5" t="s">
        <v>221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Saturn2</v>
      </c>
      <c r="AI32" s="5" t="s">
        <v>148</v>
      </c>
      <c r="AT32" s="5" t="s">
        <v>221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Saturn2</v>
      </c>
      <c r="AI33" s="5" t="s">
        <v>149</v>
      </c>
      <c r="AT33" s="5" t="s">
        <v>221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Saturn2</v>
      </c>
      <c r="AI34" s="5" t="s">
        <v>151</v>
      </c>
      <c r="AT34" s="5" t="s">
        <v>221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Saturn2</v>
      </c>
      <c r="AI35" s="5" t="s">
        <v>150</v>
      </c>
      <c r="AT35" s="5" t="s">
        <v>221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Saturn2</v>
      </c>
      <c r="AI36" s="5" t="s">
        <v>152</v>
      </c>
      <c r="AT36" s="5" t="s">
        <v>221</v>
      </c>
    </row>
    <row r="37" spans="1:46" x14ac:dyDescent="0.45">
      <c r="A37" s="5" t="s">
        <v>51</v>
      </c>
      <c r="E37" s="19" t="s">
        <v>75</v>
      </c>
      <c r="AE37" s="5" t="s">
        <v>268</v>
      </c>
      <c r="AT37" s="5" t="s">
        <v>221</v>
      </c>
    </row>
    <row r="38" spans="1:46" x14ac:dyDescent="0.45">
      <c r="A38" s="5" t="s">
        <v>51</v>
      </c>
      <c r="E38" s="19" t="s">
        <v>76</v>
      </c>
      <c r="AT38" s="5" t="s">
        <v>221</v>
      </c>
    </row>
    <row r="39" spans="1:46" x14ac:dyDescent="0.45">
      <c r="A39" s="5" t="s">
        <v>51</v>
      </c>
      <c r="E39" s="19" t="s">
        <v>77</v>
      </c>
      <c r="AT39" s="5" t="s">
        <v>221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262</v>
      </c>
      <c r="AG40" s="5" t="s">
        <v>254</v>
      </c>
      <c r="AH40" s="5" t="s">
        <v>156</v>
      </c>
      <c r="AL40" s="4" t="s">
        <v>226</v>
      </c>
      <c r="AT40" s="5" t="s">
        <v>221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263</v>
      </c>
      <c r="AG41" s="5" t="s">
        <v>254</v>
      </c>
      <c r="AH41" s="5" t="s">
        <v>157</v>
      </c>
      <c r="AL41" s="4" t="s">
        <v>226</v>
      </c>
      <c r="AT41" s="5" t="s">
        <v>221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264</v>
      </c>
      <c r="AG42" s="5" t="s">
        <v>254</v>
      </c>
      <c r="AH42" s="5" t="s">
        <v>158</v>
      </c>
      <c r="AL42" s="4" t="s">
        <v>226</v>
      </c>
      <c r="AT42" s="5" t="s">
        <v>221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265</v>
      </c>
      <c r="AG43" s="5" t="s">
        <v>254</v>
      </c>
      <c r="AH43" s="5" t="s">
        <v>159</v>
      </c>
      <c r="AL43" s="4" t="s">
        <v>226</v>
      </c>
      <c r="AT43" s="5" t="s">
        <v>221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266</v>
      </c>
      <c r="AG44" s="5" t="s">
        <v>254</v>
      </c>
      <c r="AH44" s="5" t="s">
        <v>160</v>
      </c>
      <c r="AL44" s="4" t="s">
        <v>226</v>
      </c>
      <c r="AT44" s="5" t="s">
        <v>221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267</v>
      </c>
      <c r="AG45" s="5" t="s">
        <v>254</v>
      </c>
      <c r="AH45" s="5" t="s">
        <v>159</v>
      </c>
      <c r="AL45" s="4" t="s">
        <v>226</v>
      </c>
      <c r="AT45" s="5" t="s">
        <v>221</v>
      </c>
    </row>
    <row r="46" spans="1:46" ht="26.25" x14ac:dyDescent="0.45">
      <c r="A46" s="5" t="s">
        <v>51</v>
      </c>
      <c r="B46" s="3" t="s">
        <v>255</v>
      </c>
      <c r="E46" s="19" t="s">
        <v>84</v>
      </c>
      <c r="AF46" s="5" t="s">
        <v>262</v>
      </c>
      <c r="AG46" s="5" t="s">
        <v>254</v>
      </c>
      <c r="AT46" s="5" t="s">
        <v>221</v>
      </c>
    </row>
    <row r="47" spans="1:46" x14ac:dyDescent="0.45">
      <c r="A47" s="5" t="s">
        <v>51</v>
      </c>
      <c r="E47" s="19" t="s">
        <v>85</v>
      </c>
      <c r="AT47" s="5" t="s">
        <v>221</v>
      </c>
    </row>
    <row r="48" spans="1:46" x14ac:dyDescent="0.45">
      <c r="A48" s="3" t="s">
        <v>51</v>
      </c>
      <c r="AT48" s="5" t="s">
        <v>221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262</v>
      </c>
      <c r="AG49" s="5" t="s">
        <v>254</v>
      </c>
      <c r="AH49" s="5" t="s">
        <v>156</v>
      </c>
      <c r="AL49" s="4" t="s">
        <v>226</v>
      </c>
      <c r="AT49" s="5" t="s">
        <v>221</v>
      </c>
    </row>
    <row r="50" spans="1:46" x14ac:dyDescent="0.45">
      <c r="A50" s="5" t="s">
        <v>51</v>
      </c>
      <c r="B50" s="5" t="s">
        <v>62</v>
      </c>
      <c r="K50" s="5" t="s">
        <v>260</v>
      </c>
      <c r="P50" s="5">
        <v>200</v>
      </c>
      <c r="Q50" s="5">
        <v>150</v>
      </c>
      <c r="W50" s="5">
        <v>180</v>
      </c>
      <c r="AG50" s="5" t="s">
        <v>254</v>
      </c>
      <c r="AJ50" s="5" t="s">
        <v>58</v>
      </c>
      <c r="AL50" s="4" t="s">
        <v>226</v>
      </c>
      <c r="AN50" s="5">
        <v>30</v>
      </c>
      <c r="AO50" s="5">
        <v>60</v>
      </c>
      <c r="AP50" s="5">
        <v>40</v>
      </c>
      <c r="AT50" s="5" t="s">
        <v>221</v>
      </c>
    </row>
    <row r="51" spans="1:46" x14ac:dyDescent="0.45">
      <c r="A51" s="3" t="s">
        <v>51</v>
      </c>
      <c r="B51" s="3" t="s">
        <v>62</v>
      </c>
      <c r="K51" s="5" t="s">
        <v>261</v>
      </c>
      <c r="P51" s="5">
        <v>200</v>
      </c>
      <c r="Q51" s="5">
        <v>150</v>
      </c>
      <c r="W51" s="5">
        <v>180</v>
      </c>
      <c r="AG51" s="5" t="s">
        <v>254</v>
      </c>
      <c r="AJ51" s="5" t="s">
        <v>260</v>
      </c>
      <c r="AL51" s="4" t="s">
        <v>226</v>
      </c>
      <c r="AN51" s="5">
        <v>30</v>
      </c>
      <c r="AO51" s="5">
        <v>60</v>
      </c>
      <c r="AP51" s="5">
        <v>40</v>
      </c>
      <c r="AT51" s="5" t="s">
        <v>221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178</v>
      </c>
      <c r="N52" s="5">
        <v>10</v>
      </c>
      <c r="P52" s="5">
        <v>200</v>
      </c>
      <c r="Q52" s="5">
        <v>150</v>
      </c>
      <c r="W52" s="5">
        <v>180</v>
      </c>
      <c r="AG52" s="5" t="s">
        <v>254</v>
      </c>
      <c r="AI52" s="5" t="s">
        <v>147</v>
      </c>
      <c r="AJ52" s="10" t="s">
        <v>259</v>
      </c>
      <c r="AL52" s="4" t="s">
        <v>226</v>
      </c>
      <c r="AN52" s="5">
        <v>30</v>
      </c>
      <c r="AO52" s="5">
        <v>60</v>
      </c>
      <c r="AP52" s="5">
        <v>40</v>
      </c>
      <c r="AT52" s="5" t="s">
        <v>221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178</v>
      </c>
      <c r="N53" s="5">
        <v>10</v>
      </c>
      <c r="P53" s="5">
        <v>200</v>
      </c>
      <c r="Q53" s="5">
        <v>150</v>
      </c>
      <c r="AG53" s="5" t="s">
        <v>254</v>
      </c>
      <c r="AI53" s="5" t="s">
        <v>176</v>
      </c>
      <c r="AL53" s="4" t="s">
        <v>226</v>
      </c>
      <c r="AT53" s="5" t="s">
        <v>221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178</v>
      </c>
      <c r="N54" s="5">
        <v>10</v>
      </c>
      <c r="P54" s="5">
        <v>200</v>
      </c>
      <c r="Q54" s="5">
        <v>150</v>
      </c>
      <c r="AG54" s="5" t="s">
        <v>254</v>
      </c>
      <c r="AI54" s="5" t="s">
        <v>148</v>
      </c>
      <c r="AL54" s="4" t="s">
        <v>226</v>
      </c>
      <c r="AT54" s="5" t="s">
        <v>221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254</v>
      </c>
      <c r="AI55" s="5" t="s">
        <v>149</v>
      </c>
      <c r="AL55" s="4" t="s">
        <v>226</v>
      </c>
      <c r="AT55" s="5" t="s">
        <v>221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254</v>
      </c>
      <c r="AI56" s="5" t="s">
        <v>151</v>
      </c>
      <c r="AL56" s="4" t="s">
        <v>226</v>
      </c>
      <c r="AT56" s="5" t="s">
        <v>221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254</v>
      </c>
      <c r="AI57" s="5" t="s">
        <v>147</v>
      </c>
      <c r="AL57" s="4" t="s">
        <v>226</v>
      </c>
      <c r="AT57" s="5" t="s">
        <v>221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254</v>
      </c>
      <c r="AI58" s="5" t="s">
        <v>176</v>
      </c>
      <c r="AL58" s="4" t="s">
        <v>226</v>
      </c>
      <c r="AT58" s="5" t="s">
        <v>221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254</v>
      </c>
      <c r="AI59" s="5" t="s">
        <v>148</v>
      </c>
      <c r="AL59" s="4" t="s">
        <v>226</v>
      </c>
      <c r="AT59" s="5" t="s">
        <v>221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254</v>
      </c>
      <c r="AI60" s="5" t="s">
        <v>149</v>
      </c>
      <c r="AL60" s="4" t="s">
        <v>226</v>
      </c>
      <c r="AT60" s="5" t="s">
        <v>221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254</v>
      </c>
      <c r="AI61" s="5" t="s">
        <v>151</v>
      </c>
      <c r="AL61" s="4" t="s">
        <v>226</v>
      </c>
      <c r="AT61" s="5" t="s">
        <v>221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254</v>
      </c>
      <c r="AI62" s="5" t="s">
        <v>147</v>
      </c>
      <c r="AL62" s="4" t="s">
        <v>226</v>
      </c>
      <c r="AT62" s="5" t="s">
        <v>221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254</v>
      </c>
      <c r="AI63" s="5" t="s">
        <v>176</v>
      </c>
      <c r="AL63" s="4" t="s">
        <v>226</v>
      </c>
      <c r="AT63" s="5" t="s">
        <v>221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254</v>
      </c>
      <c r="AI64" s="5" t="s">
        <v>148</v>
      </c>
      <c r="AL64" s="4" t="s">
        <v>226</v>
      </c>
      <c r="AT64" s="5" t="s">
        <v>221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254</v>
      </c>
      <c r="AI65" s="5" t="s">
        <v>149</v>
      </c>
      <c r="AL65" s="4" t="s">
        <v>226</v>
      </c>
      <c r="AT65" s="5" t="s">
        <v>221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254</v>
      </c>
      <c r="AI66" s="5" t="s">
        <v>151</v>
      </c>
      <c r="AL66" s="4" t="s">
        <v>226</v>
      </c>
      <c r="AT66" s="5" t="s">
        <v>221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254</v>
      </c>
      <c r="AI67" s="5" t="s">
        <v>147</v>
      </c>
      <c r="AL67" s="4" t="s">
        <v>226</v>
      </c>
      <c r="AT67" s="5" t="s">
        <v>221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254</v>
      </c>
      <c r="AI68" s="5" t="s">
        <v>176</v>
      </c>
      <c r="AL68" s="4" t="s">
        <v>226</v>
      </c>
      <c r="AT68" s="5" t="s">
        <v>221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254</v>
      </c>
      <c r="AI69" s="5" t="s">
        <v>148</v>
      </c>
      <c r="AL69" s="4" t="s">
        <v>226</v>
      </c>
      <c r="AT69" s="5" t="s">
        <v>221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254</v>
      </c>
      <c r="AI70" s="5" t="s">
        <v>149</v>
      </c>
      <c r="AL70" s="4" t="s">
        <v>226</v>
      </c>
      <c r="AT70" s="5" t="s">
        <v>221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254</v>
      </c>
      <c r="AI71" s="5" t="s">
        <v>151</v>
      </c>
      <c r="AL71" s="4" t="s">
        <v>226</v>
      </c>
      <c r="AT71" s="5" t="s">
        <v>221</v>
      </c>
    </row>
    <row r="72" spans="1:46" x14ac:dyDescent="0.45">
      <c r="A72" s="5" t="s">
        <v>51</v>
      </c>
      <c r="AT72" s="5" t="s">
        <v>221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254</v>
      </c>
      <c r="AJ73" s="10" t="s">
        <v>259</v>
      </c>
      <c r="AT73" s="5" t="s">
        <v>221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254</v>
      </c>
      <c r="AJ74" s="10" t="s">
        <v>260</v>
      </c>
      <c r="AT74" s="5" t="s">
        <v>221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254</v>
      </c>
      <c r="AJ75" s="10" t="s">
        <v>187</v>
      </c>
      <c r="AT75" s="5" t="s">
        <v>221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254</v>
      </c>
      <c r="AJ76" s="10" t="s">
        <v>188</v>
      </c>
      <c r="AT76" s="5" t="s">
        <v>221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254</v>
      </c>
      <c r="AJ77" s="5" t="s">
        <v>261</v>
      </c>
      <c r="AL77" s="4"/>
      <c r="AT77" s="5" t="s">
        <v>221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262</v>
      </c>
      <c r="AG78" s="5" t="s">
        <v>254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263</v>
      </c>
      <c r="AG79" s="5" t="s">
        <v>254</v>
      </c>
      <c r="AJ79" s="5" t="s">
        <v>241</v>
      </c>
      <c r="AL79" s="4" t="s">
        <v>55</v>
      </c>
      <c r="AT79" s="5" t="s">
        <v>221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264</v>
      </c>
      <c r="AG80" s="5" t="s">
        <v>254</v>
      </c>
      <c r="AJ80" s="5" t="s">
        <v>260</v>
      </c>
      <c r="AL80" s="4" t="s">
        <v>56</v>
      </c>
      <c r="AT80" s="5" t="s">
        <v>221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265</v>
      </c>
      <c r="AL81" s="4" t="s">
        <v>52</v>
      </c>
      <c r="AT81" s="5" t="s">
        <v>221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266</v>
      </c>
      <c r="AL82" s="4" t="s">
        <v>226</v>
      </c>
      <c r="AT82" s="5" t="s">
        <v>221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267</v>
      </c>
      <c r="AL83" s="4" t="s">
        <v>53</v>
      </c>
      <c r="AT83" s="5" t="s">
        <v>221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262</v>
      </c>
      <c r="AL84" s="4" t="s">
        <v>55</v>
      </c>
      <c r="AT84" s="5" t="s">
        <v>221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263</v>
      </c>
      <c r="AL85" s="4" t="s">
        <v>56</v>
      </c>
      <c r="AT85" s="5" t="s">
        <v>221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264</v>
      </c>
      <c r="AL86" s="4" t="s">
        <v>52</v>
      </c>
      <c r="AT86" s="5" t="s">
        <v>221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265</v>
      </c>
      <c r="AL87" s="4" t="s">
        <v>226</v>
      </c>
      <c r="AT87" s="5" t="s">
        <v>221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266</v>
      </c>
      <c r="AL88" s="4" t="s">
        <v>53</v>
      </c>
      <c r="AT88" s="5" t="s">
        <v>221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267</v>
      </c>
      <c r="AL89" s="4" t="s">
        <v>55</v>
      </c>
      <c r="AT89" s="5" t="s">
        <v>221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262</v>
      </c>
      <c r="AL90" s="4" t="s">
        <v>56</v>
      </c>
      <c r="AT90" s="5" t="s">
        <v>221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263</v>
      </c>
      <c r="AL91" s="4" t="s">
        <v>52</v>
      </c>
      <c r="AT91" s="5" t="s">
        <v>221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262</v>
      </c>
      <c r="AT92" s="5" t="s">
        <v>221</v>
      </c>
    </row>
    <row r="93" spans="1:46" x14ac:dyDescent="0.45">
      <c r="A93" s="5" t="s">
        <v>51</v>
      </c>
      <c r="B93" s="5" t="s">
        <v>58</v>
      </c>
      <c r="E93" s="19" t="s">
        <v>227</v>
      </c>
      <c r="AT93" s="5" t="s">
        <v>221</v>
      </c>
    </row>
    <row r="94" spans="1:46" x14ac:dyDescent="0.45">
      <c r="A94" s="5" t="s">
        <v>51</v>
      </c>
      <c r="B94" s="5" t="s">
        <v>58</v>
      </c>
      <c r="E94" s="19" t="s">
        <v>228</v>
      </c>
      <c r="AT94" s="5" t="s">
        <v>221</v>
      </c>
    </row>
    <row r="95" spans="1:46" x14ac:dyDescent="0.45">
      <c r="A95" s="5" t="s">
        <v>51</v>
      </c>
      <c r="B95" s="5" t="s">
        <v>58</v>
      </c>
      <c r="E95" s="19" t="s">
        <v>229</v>
      </c>
      <c r="AT95" s="5" t="s">
        <v>221</v>
      </c>
    </row>
    <row r="96" spans="1:46" ht="26.25" x14ac:dyDescent="0.45">
      <c r="A96" s="5" t="s">
        <v>51</v>
      </c>
      <c r="B96" s="5" t="s">
        <v>58</v>
      </c>
      <c r="E96" s="19" t="s">
        <v>230</v>
      </c>
      <c r="AT96" s="5" t="s">
        <v>221</v>
      </c>
    </row>
    <row r="97" spans="1:47" x14ac:dyDescent="0.45">
      <c r="A97" s="5" t="s">
        <v>51</v>
      </c>
      <c r="B97" s="5" t="s">
        <v>58</v>
      </c>
      <c r="E97" s="19" t="s">
        <v>231</v>
      </c>
      <c r="AT97" s="5" t="s">
        <v>221</v>
      </c>
    </row>
    <row r="98" spans="1:47" ht="26.25" x14ac:dyDescent="0.45">
      <c r="A98" s="5" t="s">
        <v>51</v>
      </c>
      <c r="B98" s="5" t="s">
        <v>58</v>
      </c>
      <c r="E98" s="19" t="s">
        <v>232</v>
      </c>
      <c r="AT98" s="5" t="s">
        <v>221</v>
      </c>
    </row>
    <row r="99" spans="1:47" x14ac:dyDescent="0.45">
      <c r="A99" s="5" t="s">
        <v>51</v>
      </c>
      <c r="B99" s="5" t="s">
        <v>58</v>
      </c>
      <c r="E99" s="19" t="s">
        <v>233</v>
      </c>
      <c r="AT99" s="5" t="s">
        <v>221</v>
      </c>
    </row>
    <row r="100" spans="1:47" ht="39.4" x14ac:dyDescent="0.45">
      <c r="A100" s="5" t="s">
        <v>51</v>
      </c>
      <c r="B100" s="5" t="s">
        <v>58</v>
      </c>
      <c r="E100" s="19" t="s">
        <v>234</v>
      </c>
      <c r="AT100" s="5" t="s">
        <v>221</v>
      </c>
    </row>
    <row r="101" spans="1:47" ht="26.25" x14ac:dyDescent="0.45">
      <c r="A101" s="5" t="s">
        <v>51</v>
      </c>
      <c r="B101" s="5" t="s">
        <v>58</v>
      </c>
      <c r="E101" s="19" t="s">
        <v>235</v>
      </c>
      <c r="AT101" s="5" t="s">
        <v>221</v>
      </c>
    </row>
    <row r="102" spans="1:47" ht="26.25" x14ac:dyDescent="0.45">
      <c r="A102" s="5" t="s">
        <v>51</v>
      </c>
      <c r="B102" s="5" t="s">
        <v>58</v>
      </c>
      <c r="E102" s="19" t="s">
        <v>236</v>
      </c>
      <c r="AT102" s="5" t="s">
        <v>221</v>
      </c>
    </row>
    <row r="103" spans="1:47" ht="26.25" x14ac:dyDescent="0.45">
      <c r="A103" s="5" t="s">
        <v>51</v>
      </c>
      <c r="B103" s="5" t="s">
        <v>58</v>
      </c>
      <c r="E103" s="19" t="s">
        <v>237</v>
      </c>
      <c r="AT103" s="5" t="s">
        <v>221</v>
      </c>
    </row>
    <row r="104" spans="1:47" ht="26.25" x14ac:dyDescent="0.45">
      <c r="A104" s="5" t="s">
        <v>51</v>
      </c>
      <c r="B104" s="5" t="s">
        <v>58</v>
      </c>
      <c r="E104" s="19" t="s">
        <v>238</v>
      </c>
      <c r="AT104" s="5" t="s">
        <v>221</v>
      </c>
    </row>
    <row r="105" spans="1:47" x14ac:dyDescent="0.45">
      <c r="A105" s="5" t="s">
        <v>51</v>
      </c>
      <c r="B105" s="5" t="s">
        <v>58</v>
      </c>
      <c r="E105" s="19" t="s">
        <v>239</v>
      </c>
      <c r="AT105" s="5" t="s">
        <v>221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201</v>
      </c>
    </row>
    <row r="3" spans="1:2" x14ac:dyDescent="0.45">
      <c r="A3" t="s">
        <v>198</v>
      </c>
    </row>
    <row r="4" spans="1:2" x14ac:dyDescent="0.45">
      <c r="B4" t="s">
        <v>197</v>
      </c>
    </row>
    <row r="5" spans="1:2" x14ac:dyDescent="0.45">
      <c r="A5" t="s">
        <v>212</v>
      </c>
    </row>
    <row r="6" spans="1:2" x14ac:dyDescent="0.45">
      <c r="B6" t="s">
        <v>213</v>
      </c>
    </row>
    <row r="7" spans="1:2" x14ac:dyDescent="0.45">
      <c r="A7" t="s">
        <v>214</v>
      </c>
    </row>
    <row r="8" spans="1:2" x14ac:dyDescent="0.45">
      <c r="B8" t="s">
        <v>199</v>
      </c>
    </row>
    <row r="9" spans="1:2" x14ac:dyDescent="0.45">
      <c r="A9" t="s">
        <v>215</v>
      </c>
    </row>
    <row r="10" spans="1:2" x14ac:dyDescent="0.45">
      <c r="B10" t="s">
        <v>200</v>
      </c>
    </row>
    <row r="11" spans="1:2" x14ac:dyDescent="0.45">
      <c r="A11" t="s">
        <v>216</v>
      </c>
    </row>
    <row r="12" spans="1:2" x14ac:dyDescent="0.45">
      <c r="B12" t="s">
        <v>202</v>
      </c>
    </row>
    <row r="13" spans="1:2" x14ac:dyDescent="0.45">
      <c r="B13" t="s">
        <v>203</v>
      </c>
    </row>
    <row r="14" spans="1:2" x14ac:dyDescent="0.45">
      <c r="A14" t="s">
        <v>217</v>
      </c>
    </row>
    <row r="15" spans="1:2" x14ac:dyDescent="0.45">
      <c r="B15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8.46484375" bestFit="1" customWidth="1"/>
    <col min="3" max="3" width="10.19921875" bestFit="1" customWidth="1"/>
    <col min="4" max="4" width="14.6640625" bestFit="1" customWidth="1"/>
    <col min="5" max="5" width="8.46484375" bestFit="1" customWidth="1"/>
    <col min="6" max="6" width="16.86328125" bestFit="1" customWidth="1"/>
    <col min="7" max="7" width="22.46484375" bestFit="1" customWidth="1"/>
    <col min="8" max="8" width="13" bestFit="1" customWidth="1"/>
    <col min="9" max="9" width="12" customWidth="1"/>
    <col min="10" max="10" width="14.664062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182</v>
      </c>
      <c r="B1" t="s">
        <v>155</v>
      </c>
      <c r="K1" t="s">
        <v>275</v>
      </c>
      <c r="L1" t="s">
        <v>261</v>
      </c>
      <c r="M1" t="s">
        <v>135</v>
      </c>
      <c r="N1" t="s">
        <v>260</v>
      </c>
      <c r="O1" t="s">
        <v>261</v>
      </c>
      <c r="P1" t="s">
        <v>259</v>
      </c>
      <c r="Q1" s="79" t="s">
        <v>135</v>
      </c>
      <c r="R1" s="79"/>
      <c r="S1" s="79" t="s">
        <v>260</v>
      </c>
      <c r="T1" s="79"/>
      <c r="U1" s="79" t="s">
        <v>261</v>
      </c>
      <c r="V1" s="79"/>
      <c r="W1" s="79" t="s">
        <v>276</v>
      </c>
      <c r="X1" s="79"/>
      <c r="AB1" s="16" t="s">
        <v>135</v>
      </c>
      <c r="AC1" t="s">
        <v>254</v>
      </c>
    </row>
    <row r="2" spans="1:30" x14ac:dyDescent="0.45">
      <c r="A2" t="s">
        <v>137</v>
      </c>
      <c r="B2" s="44">
        <f ca="1">MAX(NETWORKDAYS($D$3,$E$6,$Z$4:$Z$9)/NETWORKDAYS($D$3,$E$3,$Z$4:$Z$9),0%)</f>
        <v>0.1864406779661017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169</v>
      </c>
      <c r="K2" s="22" t="s">
        <v>180</v>
      </c>
      <c r="L2" s="22" t="s">
        <v>180</v>
      </c>
      <c r="M2" s="64" t="s">
        <v>181</v>
      </c>
      <c r="N2" s="22" t="s">
        <v>181</v>
      </c>
      <c r="O2" s="22" t="s">
        <v>181</v>
      </c>
      <c r="P2" s="22" t="s">
        <v>181</v>
      </c>
      <c r="Q2" s="22" t="s">
        <v>195</v>
      </c>
      <c r="R2" s="22" t="s">
        <v>196</v>
      </c>
      <c r="S2" s="22" t="s">
        <v>195</v>
      </c>
      <c r="T2" s="22" t="s">
        <v>196</v>
      </c>
      <c r="U2" s="22" t="s">
        <v>195</v>
      </c>
      <c r="V2" s="22" t="s">
        <v>196</v>
      </c>
      <c r="W2" s="22" t="s">
        <v>195</v>
      </c>
      <c r="X2" s="22" t="s">
        <v>196</v>
      </c>
      <c r="Z2" s="25" t="s">
        <v>168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0.81355932203389836</v>
      </c>
      <c r="D3" s="26">
        <v>43495</v>
      </c>
      <c r="E3" s="27">
        <v>43578</v>
      </c>
      <c r="J3" s="34"/>
      <c r="K3" s="33">
        <v>0</v>
      </c>
      <c r="L3" s="33">
        <v>0</v>
      </c>
      <c r="M3" s="78">
        <v>0.04</v>
      </c>
      <c r="N3" s="33">
        <v>0.02</v>
      </c>
      <c r="O3" s="33">
        <v>0.12</v>
      </c>
      <c r="P3" s="33">
        <v>0.03</v>
      </c>
      <c r="Q3" s="40">
        <f>$Q$25*(100%-K3)</f>
        <v>300</v>
      </c>
      <c r="R3" s="40">
        <v>283.5</v>
      </c>
      <c r="S3" s="40">
        <f>$Q$26*(100%-K3)</f>
        <v>115</v>
      </c>
      <c r="T3" s="40">
        <v>126</v>
      </c>
      <c r="U3" s="40">
        <f>$Q$27*(100%-L3)</f>
        <v>60</v>
      </c>
      <c r="V3" s="40">
        <v>53</v>
      </c>
      <c r="W3" s="40">
        <f>$Q$28*(100%-K3)</f>
        <v>30</v>
      </c>
      <c r="X3" s="40">
        <v>41.5</v>
      </c>
      <c r="Z3" s="32">
        <v>43514</v>
      </c>
      <c r="AB3" s="16" t="s">
        <v>251</v>
      </c>
      <c r="AC3" t="s">
        <v>221</v>
      </c>
    </row>
    <row r="4" spans="1:30" x14ac:dyDescent="0.45">
      <c r="D4" s="45"/>
      <c r="E4" s="46">
        <v>43578</v>
      </c>
      <c r="G4" s="23" t="s">
        <v>262</v>
      </c>
      <c r="H4" s="24">
        <v>43495</v>
      </c>
      <c r="I4" s="24">
        <f>H4+13</f>
        <v>43508</v>
      </c>
      <c r="J4" s="35">
        <f t="shared" ref="J4:J9" si="0">NETWORKDAYS(H4,I4,$Z$3:$Z$9)</f>
        <v>10</v>
      </c>
      <c r="K4" s="36">
        <f>SUM($J$4:J4)/SUM($J$4:$J$19)</f>
        <v>0.17241379310344829</v>
      </c>
      <c r="L4" s="36">
        <f>SUM($J$4:J4)/SUM($J$4:$J$9)</f>
        <v>0.17241379310344829</v>
      </c>
      <c r="M4" s="70">
        <v>0.19</v>
      </c>
      <c r="N4" s="76">
        <v>0.34</v>
      </c>
      <c r="O4" s="76">
        <v>0.2</v>
      </c>
      <c r="P4" s="76">
        <v>0.06</v>
      </c>
      <c r="Q4" s="40">
        <f>$Q$25*(100%-K4)</f>
        <v>248.27586206896552</v>
      </c>
      <c r="R4" s="42">
        <v>263</v>
      </c>
      <c r="S4" s="42">
        <f>$Q$26*(100%-K4)</f>
        <v>95.172413793103445</v>
      </c>
      <c r="T4" s="42">
        <v>73</v>
      </c>
      <c r="U4" s="40">
        <f>$Q$27*(100%-L4)</f>
        <v>49.655172413793103</v>
      </c>
      <c r="V4" s="42">
        <v>63</v>
      </c>
      <c r="W4" s="40">
        <f>$Q$28*(100%-K4)</f>
        <v>24.827586206896552</v>
      </c>
      <c r="X4" s="42">
        <v>44</v>
      </c>
      <c r="Z4" s="32">
        <v>43574</v>
      </c>
    </row>
    <row r="5" spans="1:30" x14ac:dyDescent="0.45">
      <c r="A5" s="39" t="s">
        <v>135</v>
      </c>
      <c r="D5" t="s">
        <v>185</v>
      </c>
      <c r="E5" s="25" t="s">
        <v>183</v>
      </c>
      <c r="G5" s="23" t="s">
        <v>263</v>
      </c>
      <c r="H5" s="24">
        <f>I4+1</f>
        <v>43509</v>
      </c>
      <c r="I5" s="24">
        <f>I4+14</f>
        <v>43522</v>
      </c>
      <c r="J5" s="35">
        <f t="shared" si="0"/>
        <v>9</v>
      </c>
      <c r="K5" s="36">
        <f>SUM($J$4:J5)/SUM($J$4:$J$9)</f>
        <v>0.32758620689655171</v>
      </c>
      <c r="L5" s="36">
        <f>SUM($J$4:J5)/SUM($J$4:$J$9)</f>
        <v>0.32758620689655171</v>
      </c>
      <c r="M5" s="70">
        <f>100%-GETPIVOTDATA("Epic Remaining Estimate",$AB$4)/GETPIVOTDATA("Epic Total Estimate",$AB$4)</f>
        <v>0.77501406162114872</v>
      </c>
      <c r="N5" s="76">
        <f>100%-GETPIVOTDATA("Epic Remaining Estimate",$AB$4,"ST:Components","Reuse")/GETPIVOTDATA("Epic Total Estimate",$AB$4,"ST:Components","Reuse")</f>
        <v>0.25</v>
      </c>
      <c r="O5" s="76">
        <f>100%-GETPIVOTDATA("Epic Remaining Estimate",$AB$4,"ST:Components","Drag &amp; Drop")/GETPIVOTDATA("Epic Total Estimate",$AB$4,"ST:Components","Drag &amp; Drop")</f>
        <v>0.25</v>
      </c>
      <c r="P5" s="76">
        <f>100%-GETPIVOTDATA("Epic Remaining Estimate",$AB$4,"ST:Components","Diagram Editor")/GETPIVOTDATA("Epic Total Estimate",$AB$4,"ST:Components","Diagram Editor")</f>
        <v>0.25</v>
      </c>
      <c r="Q5" s="40">
        <f t="shared" ref="Q5:Q9" si="1">$Q$25*(100%-K5)</f>
        <v>201.72413793103448</v>
      </c>
      <c r="R5" s="42">
        <f>GETPIVOTDATA("Epic Remaining Estimate",$AB$4)</f>
        <v>450</v>
      </c>
      <c r="S5" s="42">
        <f t="shared" ref="S5:S9" si="2">$Q$26*(100%-K5)</f>
        <v>77.327586206896555</v>
      </c>
      <c r="T5" s="42">
        <f>GETPIVOTDATA("Epic Remaining Estimate",$AB$4,"ST:Components","Reuse")</f>
        <v>150</v>
      </c>
      <c r="U5" s="40">
        <f t="shared" ref="U5:U9" si="3">$Q$27*(100%-L5)</f>
        <v>40.344827586206897</v>
      </c>
      <c r="V5" s="42">
        <f>GETPIVOTDATA("Epic Remaining Estimate",$AB$4,"ST:Components","Drag &amp; Drop")</f>
        <v>150</v>
      </c>
      <c r="W5" s="40">
        <f t="shared" ref="W5:W9" si="4">$Q$28*(100%-K5)</f>
        <v>20.172413793103448</v>
      </c>
      <c r="X5" s="42">
        <f>GETPIVOTDATA("Epic Remaining Estimate",$AB$4,"ST:Components","Diagram Editor")</f>
        <v>150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184</v>
      </c>
      <c r="E6" s="25">
        <f ca="1">TODAY()</f>
        <v>43509</v>
      </c>
      <c r="G6" s="23" t="s">
        <v>264</v>
      </c>
      <c r="H6" s="24">
        <f>I5+1</f>
        <v>43523</v>
      </c>
      <c r="I6" s="24">
        <f>I5+14</f>
        <v>43536</v>
      </c>
      <c r="J6" s="35">
        <f t="shared" si="0"/>
        <v>10</v>
      </c>
      <c r="K6" s="36">
        <f>SUM($J$4:J6)/SUM($J$4:$J$9)</f>
        <v>0.5</v>
      </c>
      <c r="L6" s="36">
        <f>SUM($J$4:J6)/SUM($J$4:$J$9)</f>
        <v>0.5</v>
      </c>
      <c r="M6" s="70"/>
      <c r="N6" s="33"/>
      <c r="O6" s="33"/>
      <c r="P6" s="33"/>
      <c r="Q6" s="40">
        <f t="shared" si="1"/>
        <v>150</v>
      </c>
      <c r="R6" s="40"/>
      <c r="S6" s="42">
        <f t="shared" si="2"/>
        <v>57.5</v>
      </c>
      <c r="T6" s="40"/>
      <c r="U6" s="40">
        <f t="shared" si="3"/>
        <v>30</v>
      </c>
      <c r="V6" s="40"/>
      <c r="W6" s="40">
        <f t="shared" si="4"/>
        <v>15</v>
      </c>
      <c r="X6" s="40"/>
      <c r="Z6" s="32"/>
      <c r="AB6" s="17" t="s">
        <v>186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265</v>
      </c>
      <c r="H7" s="24">
        <f t="shared" ref="H7:H9" si="5">I6+1</f>
        <v>43537</v>
      </c>
      <c r="I7" s="24">
        <f t="shared" ref="I7:I9" si="6">I6+14</f>
        <v>43550</v>
      </c>
      <c r="J7" s="35">
        <f t="shared" si="0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/>
      <c r="N7" s="33"/>
      <c r="O7" s="33"/>
      <c r="P7" s="33"/>
      <c r="Q7" s="40">
        <f t="shared" si="1"/>
        <v>98.275862068965509</v>
      </c>
      <c r="R7" s="40"/>
      <c r="S7" s="42">
        <f t="shared" si="2"/>
        <v>37.672413793103445</v>
      </c>
      <c r="T7" s="40"/>
      <c r="U7" s="40">
        <f t="shared" si="3"/>
        <v>19.655172413793103</v>
      </c>
      <c r="V7" s="40"/>
      <c r="W7" s="40">
        <f t="shared" si="4"/>
        <v>9.8275862068965516</v>
      </c>
      <c r="X7" s="40"/>
      <c r="Z7" s="32"/>
      <c r="AB7" s="17" t="s">
        <v>178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266</v>
      </c>
      <c r="H8" s="24">
        <f t="shared" si="5"/>
        <v>43551</v>
      </c>
      <c r="I8" s="24">
        <f t="shared" si="6"/>
        <v>43564</v>
      </c>
      <c r="J8" s="35">
        <f t="shared" si="0"/>
        <v>10</v>
      </c>
      <c r="K8" s="36">
        <f>SUM($J$4:J8)/SUM($J$4:$J$9)</f>
        <v>0.84482758620689657</v>
      </c>
      <c r="L8" s="36">
        <f>SUM($J$4:J8)/SUM($J$4:$J$9)</f>
        <v>0.84482758620689657</v>
      </c>
      <c r="M8" s="70"/>
      <c r="N8" s="33"/>
      <c r="O8" s="33"/>
      <c r="P8" s="33"/>
      <c r="Q8" s="40">
        <f t="shared" si="1"/>
        <v>46.551724137931025</v>
      </c>
      <c r="R8" s="40"/>
      <c r="S8" s="42">
        <f t="shared" si="2"/>
        <v>17.844827586206893</v>
      </c>
      <c r="T8" s="40"/>
      <c r="U8" s="40">
        <f t="shared" si="3"/>
        <v>9.3103448275862064</v>
      </c>
      <c r="V8" s="40"/>
      <c r="W8" s="40">
        <f t="shared" si="4"/>
        <v>4.6551724137931032</v>
      </c>
      <c r="X8" s="40"/>
      <c r="Z8" s="32"/>
      <c r="AB8" s="17" t="s">
        <v>260</v>
      </c>
      <c r="AC8" s="20">
        <v>200</v>
      </c>
      <c r="AD8" s="20">
        <v>150</v>
      </c>
    </row>
    <row r="9" spans="1:30" x14ac:dyDescent="0.45">
      <c r="A9" s="39" t="s">
        <v>260</v>
      </c>
      <c r="B9" s="21"/>
      <c r="C9" s="21"/>
      <c r="D9" s="21"/>
      <c r="G9" s="72" t="s">
        <v>267</v>
      </c>
      <c r="H9" s="73">
        <f t="shared" si="5"/>
        <v>43565</v>
      </c>
      <c r="I9" s="73">
        <f t="shared" si="6"/>
        <v>43578</v>
      </c>
      <c r="J9" s="74">
        <f t="shared" si="0"/>
        <v>9</v>
      </c>
      <c r="K9" s="75">
        <f>SUM($J$4:J9)/SUM($J$4:$J$9)</f>
        <v>1</v>
      </c>
      <c r="L9" s="75">
        <f>SUM($J$4:J9)/SUM($J$4:$J$9)</f>
        <v>1</v>
      </c>
      <c r="M9" s="75"/>
      <c r="N9" s="77"/>
      <c r="O9" s="77"/>
      <c r="P9" s="77"/>
      <c r="Q9" s="71">
        <f t="shared" si="1"/>
        <v>0</v>
      </c>
      <c r="R9" s="71"/>
      <c r="S9" s="71">
        <f t="shared" si="2"/>
        <v>0</v>
      </c>
      <c r="T9" s="71"/>
      <c r="U9" s="71">
        <f t="shared" si="3"/>
        <v>0</v>
      </c>
      <c r="V9" s="71"/>
      <c r="W9" s="71">
        <f t="shared" si="4"/>
        <v>0</v>
      </c>
      <c r="X9" s="71"/>
      <c r="Z9" s="32"/>
      <c r="AB9" s="17" t="s">
        <v>261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67"/>
      <c r="H10" s="68"/>
      <c r="I10" s="68"/>
      <c r="J10" s="69"/>
      <c r="K10" s="70"/>
      <c r="L10" s="70"/>
      <c r="M10" s="70"/>
      <c r="N10" s="76"/>
      <c r="O10" s="76"/>
      <c r="P10" s="76"/>
      <c r="Q10" s="42"/>
      <c r="R10" s="42"/>
      <c r="S10" s="42"/>
      <c r="T10" s="42"/>
      <c r="U10" s="42"/>
      <c r="V10" s="42"/>
      <c r="W10" s="42"/>
      <c r="X10" s="42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Estimate",$AB$4,"ST:Components","Drag &amp; Drop")/GETPIVOTDATA("Epic Total Estimate",$AB$4,"ST:Components","Drag &amp; Drop")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274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0.1864406779661017</v>
      </c>
    </row>
    <row r="23" spans="1:24" x14ac:dyDescent="0.45">
      <c r="A23" t="s">
        <v>138</v>
      </c>
      <c r="B23" s="30">
        <f ca="1">MAX(100%,B22)-B22</f>
        <v>0.81355932203389836</v>
      </c>
    </row>
    <row r="24" spans="1:24" x14ac:dyDescent="0.45">
      <c r="D24" s="16" t="s">
        <v>135</v>
      </c>
      <c r="E24" t="s">
        <v>254</v>
      </c>
      <c r="G24" s="16" t="s">
        <v>135</v>
      </c>
      <c r="H24" t="s">
        <v>254</v>
      </c>
      <c r="J24" s="16" t="s">
        <v>135</v>
      </c>
      <c r="K24" t="s">
        <v>254</v>
      </c>
      <c r="P24" t="s">
        <v>224</v>
      </c>
      <c r="Q24" t="s">
        <v>225</v>
      </c>
    </row>
    <row r="25" spans="1:24" x14ac:dyDescent="0.45">
      <c r="A25" s="16" t="s">
        <v>135</v>
      </c>
      <c r="B25" t="s">
        <v>254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300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260</v>
      </c>
      <c r="G26" s="16" t="s">
        <v>20</v>
      </c>
      <c r="H26" t="s">
        <v>261</v>
      </c>
      <c r="J26" s="16" t="s">
        <v>20</v>
      </c>
      <c r="K26" t="s">
        <v>178</v>
      </c>
      <c r="P26" t="s">
        <v>260</v>
      </c>
      <c r="Q26">
        <v>115</v>
      </c>
    </row>
    <row r="27" spans="1:24" x14ac:dyDescent="0.45">
      <c r="A27" s="16" t="s">
        <v>251</v>
      </c>
      <c r="B27" t="s">
        <v>221</v>
      </c>
      <c r="D27" s="16" t="s">
        <v>251</v>
      </c>
      <c r="E27" t="s">
        <v>221</v>
      </c>
      <c r="G27" s="16" t="s">
        <v>251</v>
      </c>
      <c r="H27" t="s">
        <v>221</v>
      </c>
      <c r="J27" s="16" t="s">
        <v>251</v>
      </c>
      <c r="K27" t="s">
        <v>221</v>
      </c>
      <c r="P27" t="s">
        <v>261</v>
      </c>
      <c r="Q27">
        <v>60</v>
      </c>
    </row>
    <row r="28" spans="1:24" x14ac:dyDescent="0.45">
      <c r="L28" s="16"/>
      <c r="M28" s="16"/>
      <c r="N28" s="16"/>
      <c r="O28" s="16"/>
      <c r="P28" s="16" t="s">
        <v>259</v>
      </c>
      <c r="Q28" s="16">
        <v>30</v>
      </c>
    </row>
    <row r="29" spans="1:24" x14ac:dyDescent="0.45">
      <c r="A29" s="16" t="s">
        <v>173</v>
      </c>
      <c r="D29" s="16" t="s">
        <v>173</v>
      </c>
      <c r="G29" s="16" t="s">
        <v>173</v>
      </c>
      <c r="J29" s="16" t="s">
        <v>173</v>
      </c>
    </row>
    <row r="30" spans="1:24" x14ac:dyDescent="0.45">
      <c r="A30" s="17" t="s">
        <v>174</v>
      </c>
      <c r="B30" s="20">
        <v>1550.125</v>
      </c>
      <c r="D30" s="17" t="s">
        <v>174</v>
      </c>
      <c r="E30" s="20">
        <v>50</v>
      </c>
      <c r="G30" s="17" t="s">
        <v>174</v>
      </c>
      <c r="H30" s="20">
        <v>50</v>
      </c>
      <c r="J30" s="17" t="s">
        <v>174</v>
      </c>
      <c r="K30" s="20">
        <v>50</v>
      </c>
    </row>
    <row r="31" spans="1:24" x14ac:dyDescent="0.45">
      <c r="A31" s="17" t="s">
        <v>175</v>
      </c>
      <c r="B31" s="20">
        <v>120</v>
      </c>
      <c r="D31" s="17" t="s">
        <v>175</v>
      </c>
      <c r="E31" s="20">
        <v>40</v>
      </c>
      <c r="G31" s="17" t="s">
        <v>175</v>
      </c>
      <c r="H31" s="20">
        <v>40</v>
      </c>
      <c r="J31" s="17" t="s">
        <v>175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176</v>
      </c>
      <c r="B33" s="20">
        <v>90</v>
      </c>
      <c r="D33" s="17" t="s">
        <v>176</v>
      </c>
      <c r="E33" s="20">
        <v>30</v>
      </c>
      <c r="G33" s="17" t="s">
        <v>176</v>
      </c>
      <c r="H33" s="20">
        <v>30</v>
      </c>
      <c r="J33" s="17" t="s">
        <v>176</v>
      </c>
      <c r="K33" s="20">
        <v>30</v>
      </c>
    </row>
    <row r="34" spans="1:11" x14ac:dyDescent="0.45">
      <c r="A34" s="17" t="s">
        <v>177</v>
      </c>
      <c r="B34" s="20">
        <v>1460.125</v>
      </c>
      <c r="D34" s="17" t="s">
        <v>177</v>
      </c>
      <c r="E34" s="20">
        <v>20</v>
      </c>
      <c r="G34" s="17" t="s">
        <v>177</v>
      </c>
      <c r="H34" s="20">
        <v>20</v>
      </c>
      <c r="J34" s="17" t="s">
        <v>177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254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254</v>
      </c>
      <c r="G37" s="16" t="s">
        <v>135</v>
      </c>
      <c r="H37" t="s">
        <v>254</v>
      </c>
      <c r="J37" s="16" t="s">
        <v>135</v>
      </c>
      <c r="K37" t="s">
        <v>254</v>
      </c>
    </row>
    <row r="38" spans="1:11" x14ac:dyDescent="0.45">
      <c r="A38" s="16" t="s">
        <v>251</v>
      </c>
      <c r="B38" t="s">
        <v>221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260</v>
      </c>
      <c r="G39" s="16" t="s">
        <v>20</v>
      </c>
      <c r="H39" t="s">
        <v>261</v>
      </c>
      <c r="J39" s="16" t="s">
        <v>20</v>
      </c>
      <c r="K39" t="s">
        <v>178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254</v>
      </c>
      <c r="E51" s="16" t="s">
        <v>140</v>
      </c>
      <c r="F51" t="s">
        <v>144</v>
      </c>
    </row>
    <row r="52" spans="1:7" x14ac:dyDescent="0.45">
      <c r="A52" s="16" t="s">
        <v>251</v>
      </c>
      <c r="B52" t="s">
        <v>221</v>
      </c>
      <c r="E52" s="17" t="s">
        <v>244</v>
      </c>
      <c r="F52" s="20">
        <v>10</v>
      </c>
    </row>
    <row r="53" spans="1:7" x14ac:dyDescent="0.45">
      <c r="E53" s="17" t="s">
        <v>246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247</v>
      </c>
      <c r="F54" s="20">
        <v>10</v>
      </c>
    </row>
    <row r="55" spans="1:7" x14ac:dyDescent="0.45">
      <c r="A55" s="17" t="s">
        <v>260</v>
      </c>
      <c r="B55" s="20">
        <v>600</v>
      </c>
      <c r="E55" s="17" t="s">
        <v>248</v>
      </c>
      <c r="F55" s="20">
        <v>10</v>
      </c>
    </row>
    <row r="56" spans="1:7" x14ac:dyDescent="0.45">
      <c r="A56" s="17" t="s">
        <v>261</v>
      </c>
      <c r="B56" s="20">
        <v>200</v>
      </c>
      <c r="E56" s="17" t="s">
        <v>249</v>
      </c>
      <c r="F56" s="20">
        <v>10</v>
      </c>
    </row>
    <row r="57" spans="1:7" x14ac:dyDescent="0.45">
      <c r="A57" s="17" t="s">
        <v>259</v>
      </c>
      <c r="B57" s="20">
        <v>400</v>
      </c>
      <c r="E57" s="17" t="s">
        <v>245</v>
      </c>
      <c r="F57" s="20">
        <v>10</v>
      </c>
    </row>
    <row r="58" spans="1:7" x14ac:dyDescent="0.45">
      <c r="A58" s="17" t="s">
        <v>241</v>
      </c>
      <c r="B58" s="20">
        <v>200.125</v>
      </c>
      <c r="E58" s="17" t="s">
        <v>250</v>
      </c>
      <c r="F58" s="20">
        <v>10</v>
      </c>
    </row>
    <row r="59" spans="1:7" x14ac:dyDescent="0.45">
      <c r="A59" s="17" t="s">
        <v>187</v>
      </c>
      <c r="B59" s="20">
        <v>200</v>
      </c>
      <c r="E59" s="17" t="s">
        <v>186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188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260</v>
      </c>
      <c r="M1" s="81"/>
      <c r="N1" s="81"/>
      <c r="O1" s="81"/>
      <c r="P1" s="81"/>
      <c r="Q1" s="81"/>
      <c r="R1" s="81"/>
      <c r="S1" s="81"/>
      <c r="T1" s="81" t="s">
        <v>261</v>
      </c>
      <c r="U1" s="81"/>
      <c r="V1" s="81"/>
      <c r="W1" s="81"/>
      <c r="X1" s="81"/>
      <c r="Y1" s="81"/>
      <c r="Z1" s="81"/>
      <c r="AA1" s="81"/>
      <c r="AB1" s="81" t="s">
        <v>259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190</v>
      </c>
      <c r="B2" s="48" t="s">
        <v>124</v>
      </c>
      <c r="C2" s="48" t="s">
        <v>125</v>
      </c>
      <c r="D2" s="49" t="s">
        <v>205</v>
      </c>
      <c r="E2" s="50" t="s">
        <v>206</v>
      </c>
      <c r="F2" s="51" t="s">
        <v>117</v>
      </c>
      <c r="G2" s="51" t="s">
        <v>207</v>
      </c>
      <c r="H2" s="51" t="s">
        <v>208</v>
      </c>
      <c r="I2" s="51" t="s">
        <v>209</v>
      </c>
      <c r="J2" s="51" t="s">
        <v>210</v>
      </c>
      <c r="K2" s="52" t="s">
        <v>211</v>
      </c>
      <c r="L2" s="49" t="s">
        <v>205</v>
      </c>
      <c r="M2" s="50" t="s">
        <v>206</v>
      </c>
      <c r="N2" s="51" t="s">
        <v>117</v>
      </c>
      <c r="O2" s="51" t="s">
        <v>207</v>
      </c>
      <c r="P2" s="51" t="s">
        <v>208</v>
      </c>
      <c r="Q2" s="51" t="s">
        <v>209</v>
      </c>
      <c r="R2" s="51" t="s">
        <v>210</v>
      </c>
      <c r="S2" s="52" t="s">
        <v>211</v>
      </c>
      <c r="T2" s="53" t="s">
        <v>205</v>
      </c>
      <c r="U2" s="50" t="s">
        <v>206</v>
      </c>
      <c r="V2" s="51" t="s">
        <v>117</v>
      </c>
      <c r="W2" s="51" t="s">
        <v>207</v>
      </c>
      <c r="X2" s="51" t="s">
        <v>208</v>
      </c>
      <c r="Y2" s="51" t="s">
        <v>209</v>
      </c>
      <c r="Z2" s="51" t="s">
        <v>210</v>
      </c>
      <c r="AA2" s="52" t="s">
        <v>211</v>
      </c>
      <c r="AB2" s="53" t="s">
        <v>205</v>
      </c>
      <c r="AC2" s="50" t="s">
        <v>206</v>
      </c>
      <c r="AD2" s="51" t="s">
        <v>117</v>
      </c>
      <c r="AE2" s="51" t="s">
        <v>207</v>
      </c>
      <c r="AF2" s="51" t="s">
        <v>208</v>
      </c>
      <c r="AG2" s="51" t="s">
        <v>209</v>
      </c>
      <c r="AH2" s="51" t="s">
        <v>210</v>
      </c>
      <c r="AI2" s="52" t="s">
        <v>211</v>
      </c>
      <c r="AJ2" s="54"/>
    </row>
    <row r="3" spans="1:42" x14ac:dyDescent="0.45">
      <c r="B3" s="56"/>
      <c r="C3" s="56"/>
      <c r="D3" s="57">
        <v>295</v>
      </c>
      <c r="E3" s="58">
        <f>_ReleaseData!$Q$25</f>
        <v>300</v>
      </c>
      <c r="F3" s="40">
        <v>291</v>
      </c>
      <c r="G3" s="40">
        <v>192</v>
      </c>
      <c r="H3" s="40">
        <f t="shared" ref="H3:H4" si="0">D3-I3</f>
        <v>11.5</v>
      </c>
      <c r="I3" s="40">
        <v>283.5</v>
      </c>
      <c r="J3" s="33">
        <f t="shared" ref="J3" si="1" xml:space="preserve"> G3/D3</f>
        <v>0.6508474576271186</v>
      </c>
      <c r="K3" s="33">
        <f t="shared" ref="K3" si="2" xml:space="preserve"> H3/D3</f>
        <v>3.898305084745763E-2</v>
      </c>
      <c r="L3" s="59">
        <v>129</v>
      </c>
      <c r="M3" s="58">
        <f>_ReleaseData!$Q$26</f>
        <v>115</v>
      </c>
      <c r="N3" s="40">
        <v>125</v>
      </c>
      <c r="O3" s="40">
        <v>54</v>
      </c>
      <c r="P3" s="40">
        <f t="shared" ref="P3" si="3">L3-Q3</f>
        <v>3</v>
      </c>
      <c r="Q3" s="40">
        <v>126</v>
      </c>
      <c r="R3" s="33">
        <f t="shared" ref="R3" si="4" xml:space="preserve"> O3/L3</f>
        <v>0.41860465116279072</v>
      </c>
      <c r="S3" s="33">
        <f t="shared" ref="S3" si="5" xml:space="preserve"> P3/L3</f>
        <v>2.3255813953488372E-2</v>
      </c>
      <c r="T3" s="57">
        <v>60</v>
      </c>
      <c r="U3" s="58">
        <f>_ReleaseData!$Q$27</f>
        <v>60</v>
      </c>
      <c r="V3" s="40">
        <v>60</v>
      </c>
      <c r="W3" s="40">
        <v>57</v>
      </c>
      <c r="X3" s="40">
        <f t="shared" ref="X3:X4" si="6">T3-Y3</f>
        <v>7</v>
      </c>
      <c r="Y3" s="40">
        <v>53</v>
      </c>
      <c r="Z3" s="33">
        <f t="shared" ref="Z3" si="7" xml:space="preserve"> W3/T3</f>
        <v>0.95</v>
      </c>
      <c r="AA3" s="33">
        <f t="shared" ref="AA3" si="8">X3/T3</f>
        <v>0.11666666666666667</v>
      </c>
      <c r="AB3" s="57">
        <v>43</v>
      </c>
      <c r="AC3" s="58">
        <f>_ReleaseData!$Q$28</f>
        <v>30</v>
      </c>
      <c r="AD3" s="40">
        <v>43</v>
      </c>
      <c r="AE3" s="40">
        <v>22</v>
      </c>
      <c r="AF3" s="40">
        <f t="shared" ref="AF3" si="9">AB3-AG3</f>
        <v>1.5</v>
      </c>
      <c r="AG3" s="40">
        <v>41.5</v>
      </c>
      <c r="AH3" s="33">
        <f t="shared" ref="AH3" si="10" xml:space="preserve"> AE3/AB3</f>
        <v>0.51162790697674421</v>
      </c>
      <c r="AI3" s="33">
        <f t="shared" ref="AI3" si="11">AF3/AB3</f>
        <v>3.4883720930232558E-2</v>
      </c>
    </row>
    <row r="4" spans="1:42" x14ac:dyDescent="0.45">
      <c r="A4" t="s">
        <v>262</v>
      </c>
      <c r="B4" s="60">
        <v>43495</v>
      </c>
      <c r="C4" s="60">
        <v>43508</v>
      </c>
      <c r="D4" s="57">
        <v>323</v>
      </c>
      <c r="E4" s="58">
        <f>_ReleaseData!$Q$25</f>
        <v>300</v>
      </c>
      <c r="F4" s="40">
        <v>318</v>
      </c>
      <c r="G4" s="40">
        <v>267.5</v>
      </c>
      <c r="H4" s="40">
        <f t="shared" si="0"/>
        <v>60</v>
      </c>
      <c r="I4" s="40">
        <v>263</v>
      </c>
      <c r="J4" s="33">
        <f t="shared" ref="J4" si="12" xml:space="preserve"> G4/D4</f>
        <v>0.82817337461300311</v>
      </c>
      <c r="K4" s="33">
        <f t="shared" ref="K4" si="13" xml:space="preserve"> H4/D4</f>
        <v>0.18575851393188855</v>
      </c>
      <c r="L4" s="59">
        <v>110</v>
      </c>
      <c r="M4" s="58">
        <f>_ReleaseData!$Q$26</f>
        <v>115</v>
      </c>
      <c r="N4" s="40">
        <v>110</v>
      </c>
      <c r="O4" s="40">
        <v>81</v>
      </c>
      <c r="P4" s="40">
        <f t="shared" ref="P4" si="14">L4-Q4</f>
        <v>37</v>
      </c>
      <c r="Q4" s="40">
        <v>73</v>
      </c>
      <c r="R4" s="33">
        <f t="shared" ref="R4" si="15" xml:space="preserve"> O4/L4</f>
        <v>0.73636363636363633</v>
      </c>
      <c r="S4" s="33">
        <f t="shared" ref="S4" si="16" xml:space="preserve"> P4/L4</f>
        <v>0.33636363636363636</v>
      </c>
      <c r="T4" s="57">
        <v>79</v>
      </c>
      <c r="U4" s="58">
        <f>_ReleaseData!$Q$27</f>
        <v>60</v>
      </c>
      <c r="V4" s="40">
        <v>79</v>
      </c>
      <c r="W4" s="40">
        <v>79</v>
      </c>
      <c r="X4" s="40">
        <f t="shared" si="6"/>
        <v>16</v>
      </c>
      <c r="Y4" s="40">
        <v>63</v>
      </c>
      <c r="Z4" s="33">
        <f t="shared" ref="Z4" si="17" xml:space="preserve"> W4/T4</f>
        <v>1</v>
      </c>
      <c r="AA4" s="33">
        <f t="shared" ref="AA4" si="18">X4/T4</f>
        <v>0.20253164556962025</v>
      </c>
      <c r="AB4" s="57">
        <v>47</v>
      </c>
      <c r="AC4" s="58">
        <f>_ReleaseData!$Q$28</f>
        <v>30</v>
      </c>
      <c r="AD4" s="40">
        <v>47</v>
      </c>
      <c r="AE4" s="40">
        <v>29</v>
      </c>
      <c r="AF4" s="40">
        <f t="shared" ref="AF4" si="19">AB4-AG4</f>
        <v>3</v>
      </c>
      <c r="AG4" s="40">
        <v>44</v>
      </c>
      <c r="AH4" s="33">
        <f t="shared" ref="AH4" si="20" xml:space="preserve"> AE4/AB4</f>
        <v>0.61702127659574468</v>
      </c>
      <c r="AI4" s="33">
        <f t="shared" ref="AI4" si="21">AF4/AB4</f>
        <v>6.3829787234042548E-2</v>
      </c>
    </row>
    <row r="5" spans="1:42" x14ac:dyDescent="0.45">
      <c r="A5" t="s">
        <v>263</v>
      </c>
      <c r="B5" s="60">
        <v>43509</v>
      </c>
      <c r="C5" s="60">
        <v>43522</v>
      </c>
      <c r="D5" s="57">
        <f>GETPIVOTDATA("Epic Total Estimate", $AL$8, "Type", "Epic")</f>
        <v>2000.125</v>
      </c>
      <c r="E5" s="58">
        <f>_ReleaseData!$Q$25</f>
        <v>300</v>
      </c>
      <c r="F5" s="40">
        <f>GETPIVOTDATA("Stories Estimate", $AL$8, "Type", "Epic")</f>
        <v>0</v>
      </c>
      <c r="G5" s="40">
        <f>GETPIVOTDATA("Epic Decomposed", $AL$8, "Type", "Epic")</f>
        <v>540</v>
      </c>
      <c r="H5" s="40">
        <f t="shared" ref="H5" si="22">D5-I5</f>
        <v>1550.125</v>
      </c>
      <c r="I5" s="40">
        <f>GETPIVOTDATA("Epic Remaining Estimate", $AL$8, "Type", "Epic")</f>
        <v>450</v>
      </c>
      <c r="J5" s="33">
        <f t="shared" ref="J5" si="23" xml:space="preserve"> G5/D5</f>
        <v>0.2699831260546216</v>
      </c>
      <c r="K5" s="33">
        <f t="shared" ref="K5" si="24" xml:space="preserve"> H5/D5</f>
        <v>0.77501406162114872</v>
      </c>
      <c r="L5" s="59">
        <f>GETPIVOTDATA("Epic Total Estimate", $AL$8, "Type", "Epic", "ST:Components", "Reuse")</f>
        <v>200</v>
      </c>
      <c r="M5" s="58">
        <f>_ReleaseData!$Q$26</f>
        <v>115</v>
      </c>
      <c r="N5" s="40">
        <f>GETPIVOTDATA("Stories Estimate", $AL$8, "Type", "Epic", "ST:Components", "Reuse")</f>
        <v>0</v>
      </c>
      <c r="O5" s="40">
        <f>GETPIVOTDATA("Epic Decomposed", $AL$8, "Type", "Epic", "ST:Components", "Reuse")</f>
        <v>180</v>
      </c>
      <c r="P5" s="40">
        <f t="shared" ref="P5" si="25">L5-Q5</f>
        <v>50</v>
      </c>
      <c r="Q5" s="40">
        <f>GETPIVOTDATA("Epic Remaining Estimate", $AL$8, "Type", "Epic", "ST:Components", "Reuse")</f>
        <v>150</v>
      </c>
      <c r="R5" s="33">
        <f t="shared" ref="R5" si="26" xml:space="preserve"> O5/L5</f>
        <v>0.9</v>
      </c>
      <c r="S5" s="33">
        <f t="shared" ref="S5" si="27" xml:space="preserve"> P5/L5</f>
        <v>0.25</v>
      </c>
      <c r="T5" s="57">
        <f>GETPIVOTDATA("Epic Total Estimate", $AL$8, "Type", "Epic", "ST:Components", "Drag &amp; Drop")</f>
        <v>200</v>
      </c>
      <c r="U5" s="58">
        <f>_ReleaseData!$Q$27</f>
        <v>60</v>
      </c>
      <c r="V5" s="40">
        <f>GETPIVOTDATA("Stories Estimate", $AL$8, "Type", "Epic", "ST:Components", "Drag &amp; Drop")</f>
        <v>0</v>
      </c>
      <c r="W5" s="40">
        <f>GETPIVOTDATA("Epic Decomposed", $AL$8, "Type", "Epic", "ST:Components", "Drag &amp; Drop")</f>
        <v>180</v>
      </c>
      <c r="X5" s="40">
        <f t="shared" ref="X5" si="28">T5-Y5</f>
        <v>50</v>
      </c>
      <c r="Y5" s="40">
        <f>GETPIVOTDATA("Epic Remaining Estimate", $AL$8, "Type", "Epic", "ST:Components", "Drag &amp; Drop")</f>
        <v>150</v>
      </c>
      <c r="Z5" s="33">
        <f t="shared" ref="Z5" si="29" xml:space="preserve"> W5/T5</f>
        <v>0.9</v>
      </c>
      <c r="AA5" s="33">
        <f t="shared" ref="AA5" si="30">X5/T5</f>
        <v>0.25</v>
      </c>
      <c r="AB5" s="57">
        <f>GETPIVOTDATA("Epic Total Estimate", $AL$8, "Type", "Epic", "ST:Components", "Diagram Editor")</f>
        <v>200</v>
      </c>
      <c r="AC5" s="58">
        <f>_ReleaseData!$Q$28</f>
        <v>30</v>
      </c>
      <c r="AD5" s="40">
        <f>GETPIVOTDATA("Stories Estimate", $AL$8, "Type", "Epic", "ST:Components", "Diagram Editor")</f>
        <v>0</v>
      </c>
      <c r="AE5" s="40">
        <f>GETPIVOTDATA("Epic Decomposed", $AL$8, "Type", "Epic", "ST:Components", "Diagram Editor")</f>
        <v>180</v>
      </c>
      <c r="AF5" s="40">
        <f t="shared" ref="AF5" si="31">AB5-AG5</f>
        <v>50</v>
      </c>
      <c r="AG5" s="40">
        <f>GETPIVOTDATA("Epic Remaining Estimate", $AL$8, "Type", "Epic", "ST:Components", "Diagram Editor")</f>
        <v>150</v>
      </c>
      <c r="AH5" s="33">
        <f t="shared" ref="AH5" si="32" xml:space="preserve"> AE5/AB5</f>
        <v>0.9</v>
      </c>
      <c r="AI5" s="33">
        <f t="shared" ref="AI5" si="33">AF5/AB5</f>
        <v>0.25</v>
      </c>
    </row>
    <row r="6" spans="1:42" x14ac:dyDescent="0.45">
      <c r="A6" t="s">
        <v>264</v>
      </c>
      <c r="B6" s="60">
        <v>43523</v>
      </c>
      <c r="C6" s="60">
        <v>43536</v>
      </c>
      <c r="D6" s="57"/>
      <c r="E6" s="58">
        <f>_ReleaseData!$Q$25</f>
        <v>300</v>
      </c>
      <c r="F6" s="40"/>
      <c r="G6" s="40"/>
      <c r="H6" s="40"/>
      <c r="I6" s="40"/>
      <c r="J6" s="33"/>
      <c r="K6" s="33"/>
      <c r="L6" s="59"/>
      <c r="M6" s="58">
        <f>_ReleaseData!$Q$26</f>
        <v>115</v>
      </c>
      <c r="N6" s="40"/>
      <c r="O6" s="40"/>
      <c r="P6" s="40"/>
      <c r="Q6" s="40"/>
      <c r="R6" s="33"/>
      <c r="S6" s="33"/>
      <c r="T6" s="57"/>
      <c r="U6" s="58">
        <f>_ReleaseData!$Q$27</f>
        <v>60</v>
      </c>
      <c r="V6" s="40"/>
      <c r="W6" s="40"/>
      <c r="X6" s="40"/>
      <c r="Y6" s="40"/>
      <c r="Z6" s="33"/>
      <c r="AA6" s="33"/>
      <c r="AB6" s="57"/>
      <c r="AC6" s="58">
        <f>_ReleaseData!$Q$28</f>
        <v>30</v>
      </c>
      <c r="AD6" s="40"/>
      <c r="AE6" s="40"/>
      <c r="AF6" s="40"/>
      <c r="AG6" s="40"/>
      <c r="AH6" s="33"/>
      <c r="AI6" s="33"/>
    </row>
    <row r="7" spans="1:42" x14ac:dyDescent="0.45">
      <c r="A7" t="s">
        <v>265</v>
      </c>
      <c r="B7" s="60">
        <v>43537</v>
      </c>
      <c r="C7" s="60">
        <v>43550</v>
      </c>
      <c r="D7" s="57"/>
      <c r="E7" s="58">
        <f>_ReleaseData!$Q$25</f>
        <v>300</v>
      </c>
      <c r="F7" s="40"/>
      <c r="G7" s="40"/>
      <c r="H7" s="40"/>
      <c r="I7" s="40"/>
      <c r="J7" s="33"/>
      <c r="K7" s="33"/>
      <c r="L7" s="59"/>
      <c r="M7" s="58">
        <f>_ReleaseData!$Q$26</f>
        <v>115</v>
      </c>
      <c r="N7" s="40"/>
      <c r="O7" s="40"/>
      <c r="P7" s="40"/>
      <c r="Q7" s="40"/>
      <c r="R7" s="33"/>
      <c r="S7" s="33"/>
      <c r="T7" s="57"/>
      <c r="U7" s="58">
        <f>_ReleaseData!$Q$27</f>
        <v>60</v>
      </c>
      <c r="V7" s="40"/>
      <c r="W7" s="40"/>
      <c r="X7" s="40"/>
      <c r="Y7" s="40"/>
      <c r="Z7" s="33"/>
      <c r="AA7" s="33"/>
      <c r="AB7" s="57"/>
      <c r="AC7" s="58">
        <f>_ReleaseData!$Q$28</f>
        <v>30</v>
      </c>
      <c r="AD7" s="40"/>
      <c r="AE7" s="40"/>
      <c r="AF7" s="40"/>
      <c r="AG7" s="40"/>
      <c r="AH7" s="33"/>
      <c r="AI7" s="33"/>
      <c r="AL7" s="16" t="s">
        <v>135</v>
      </c>
      <c r="AM7" t="s">
        <v>254</v>
      </c>
    </row>
    <row r="8" spans="1:42" x14ac:dyDescent="0.45">
      <c r="A8" t="s">
        <v>266</v>
      </c>
      <c r="B8" s="60">
        <v>43551</v>
      </c>
      <c r="C8" s="60">
        <v>43564</v>
      </c>
      <c r="D8" s="57"/>
      <c r="E8" s="58">
        <f>_ReleaseData!$Q$25</f>
        <v>300</v>
      </c>
      <c r="F8" s="40"/>
      <c r="G8" s="40"/>
      <c r="H8" s="40"/>
      <c r="I8" s="40"/>
      <c r="J8" s="33"/>
      <c r="K8" s="33"/>
      <c r="L8" s="59"/>
      <c r="M8" s="58">
        <f>_ReleaseData!$Q$26</f>
        <v>115</v>
      </c>
      <c r="N8" s="40"/>
      <c r="O8" s="40"/>
      <c r="P8" s="40"/>
      <c r="Q8" s="40"/>
      <c r="R8" s="33"/>
      <c r="S8" s="33"/>
      <c r="T8" s="57"/>
      <c r="U8" s="58">
        <f>_ReleaseData!$Q$27</f>
        <v>60</v>
      </c>
      <c r="V8" s="40"/>
      <c r="W8" s="40"/>
      <c r="X8" s="40"/>
      <c r="Y8" s="40"/>
      <c r="Z8" s="33"/>
      <c r="AA8" s="33"/>
      <c r="AB8" s="57"/>
      <c r="AC8" s="58">
        <f>_ReleaseData!$Q$28</f>
        <v>30</v>
      </c>
      <c r="AD8" s="40"/>
      <c r="AE8" s="40"/>
      <c r="AF8" s="40"/>
      <c r="AG8" s="40"/>
      <c r="AH8" s="33"/>
      <c r="AI8" s="33"/>
      <c r="AL8" s="16" t="s">
        <v>251</v>
      </c>
      <c r="AM8" t="s">
        <v>221</v>
      </c>
    </row>
    <row r="9" spans="1:42" x14ac:dyDescent="0.45">
      <c r="A9" t="s">
        <v>267</v>
      </c>
      <c r="B9" s="60">
        <v>43565</v>
      </c>
      <c r="C9" s="60">
        <v>43578</v>
      </c>
      <c r="D9" s="57"/>
      <c r="E9" s="58">
        <f>_ReleaseData!$Q$25</f>
        <v>300</v>
      </c>
      <c r="F9" s="42"/>
      <c r="G9" s="42"/>
      <c r="H9" s="40"/>
      <c r="I9" s="40"/>
      <c r="J9" s="33"/>
      <c r="K9" s="33"/>
      <c r="L9" s="59"/>
      <c r="M9" s="58">
        <f>_ReleaseData!$Q$26</f>
        <v>115</v>
      </c>
      <c r="N9" s="40"/>
      <c r="O9" s="40"/>
      <c r="P9" s="40"/>
      <c r="Q9" s="40"/>
      <c r="R9" s="33"/>
      <c r="S9" s="33"/>
      <c r="T9" s="57"/>
      <c r="U9" s="58">
        <f>_ReleaseData!$Q$27</f>
        <v>60</v>
      </c>
      <c r="V9" s="40"/>
      <c r="W9" s="40"/>
      <c r="X9" s="40"/>
      <c r="Y9" s="40"/>
      <c r="Z9" s="33"/>
      <c r="AA9" s="33"/>
      <c r="AB9" s="57"/>
      <c r="AC9" s="58">
        <f>_ReleaseData!$Q$28</f>
        <v>30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163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178</v>
      </c>
      <c r="AM13" s="20">
        <v>200</v>
      </c>
      <c r="AN13" s="20"/>
      <c r="AO13" s="20">
        <v>180</v>
      </c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186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260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261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251</v>
      </c>
      <c r="C1" t="s">
        <v>221</v>
      </c>
    </row>
    <row r="2" spans="2:8" x14ac:dyDescent="0.45">
      <c r="G2" s="16" t="s">
        <v>219</v>
      </c>
      <c r="H2" t="s">
        <v>221</v>
      </c>
    </row>
    <row r="3" spans="2:8" x14ac:dyDescent="0.45">
      <c r="B3" s="16" t="s">
        <v>140</v>
      </c>
      <c r="C3" t="s">
        <v>192</v>
      </c>
      <c r="G3" s="16" t="s">
        <v>251</v>
      </c>
      <c r="H3" t="s">
        <v>221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186</v>
      </c>
      <c r="H6" s="20">
        <v>20</v>
      </c>
    </row>
    <row r="7" spans="2:8" x14ac:dyDescent="0.45">
      <c r="G7" s="17" t="s">
        <v>226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190</v>
      </c>
      <c r="C15" t="s">
        <v>193</v>
      </c>
      <c r="D15" t="s">
        <v>194</v>
      </c>
    </row>
    <row r="16" spans="2:8" x14ac:dyDescent="0.45">
      <c r="B16" t="s">
        <v>262</v>
      </c>
      <c r="C16">
        <v>55.5</v>
      </c>
      <c r="D16">
        <v>146.5</v>
      </c>
    </row>
    <row r="17" spans="2:4" x14ac:dyDescent="0.45">
      <c r="B17" t="s">
        <v>263</v>
      </c>
      <c r="C17">
        <f>GETPIVOTDATA("Epic Not Decomposed Estimate",$B$3)</f>
        <v>1460.125</v>
      </c>
      <c r="D17">
        <f>GETPIVOTDATA("Story Points",$G$2)</f>
        <v>35</v>
      </c>
    </row>
    <row r="18" spans="2:4" x14ac:dyDescent="0.45">
      <c r="B18" t="s">
        <v>264</v>
      </c>
    </row>
    <row r="19" spans="2:4" x14ac:dyDescent="0.45">
      <c r="B19" t="s">
        <v>265</v>
      </c>
    </row>
    <row r="20" spans="2:4" x14ac:dyDescent="0.45">
      <c r="B20" t="s">
        <v>266</v>
      </c>
    </row>
    <row r="21" spans="2:4" x14ac:dyDescent="0.45">
      <c r="B21" t="s">
        <v>267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Drag &amp; Drop</vt:lpstr>
      <vt:lpstr>UME v3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v3'!Table10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2019-02-13T14:05:07Z</dcterms:modified>
</cp:coreProperties>
</file>