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bookViews>
    <workbookView xWindow="0" yWindow="0" windowWidth="21600" windowHeight="8715" tabRatio="688" activeTab="3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  <sheet name="Sprint Metrics" sheetId="7" r:id="rId6"/>
    <sheet name="Progress Charts" sheetId="8" r:id="rId7"/>
  </sheets>
  <definedNames>
    <definedName name="issues">OFFSET(Issues!$A$1,0,0,COUNTA(Issues!$A$1:$A$9999),COUNTA(Issues!$A$1:$AAH$1)-1)</definedName>
  </definedNames>
  <calcPr calcId="171027"/>
  <pivotCaches>
    <pivotCache cacheId="42" r:id="rId8"/>
  </pivotCaches>
  <fileRecoveryPr autoRecover="0"/>
</workbook>
</file>

<file path=xl/calcChain.xml><?xml version="1.0" encoding="utf-8"?>
<calcChain xmlns="http://schemas.openxmlformats.org/spreadsheetml/2006/main">
  <c r="K12" i="7" l="1"/>
  <c r="J12" i="7"/>
  <c r="H12" i="7"/>
  <c r="Y12" i="7"/>
  <c r="W12" i="7"/>
  <c r="V12" i="7"/>
  <c r="T12" i="7"/>
  <c r="Q12" i="7"/>
  <c r="O12" i="7"/>
  <c r="N12" i="7"/>
  <c r="L12" i="7"/>
  <c r="X12" i="7" l="1"/>
  <c r="AA12" i="7" s="1"/>
  <c r="Z12" i="7"/>
  <c r="P12" i="7"/>
  <c r="S12" i="7" s="1"/>
  <c r="R12" i="7"/>
  <c r="X10" i="7"/>
  <c r="I12" i="7"/>
  <c r="F12" i="7"/>
  <c r="G12" i="7"/>
  <c r="D12" i="7"/>
  <c r="X7" i="7" l="1"/>
  <c r="X11" i="7" l="1"/>
  <c r="AA11" i="7" s="1"/>
  <c r="Z11" i="7"/>
  <c r="H11" i="7"/>
  <c r="K11" i="7" s="1"/>
  <c r="R11" i="7"/>
  <c r="J11" i="7"/>
  <c r="P11" i="7"/>
  <c r="S11" i="7" s="1"/>
  <c r="AA10" i="7"/>
  <c r="Z10" i="7"/>
  <c r="R10" i="7"/>
  <c r="P10" i="7"/>
  <c r="S10" i="7" s="1"/>
  <c r="H10" i="7"/>
  <c r="K10" i="7" s="1"/>
  <c r="J10" i="7"/>
  <c r="X9" i="7"/>
  <c r="AA9" i="7" s="1"/>
  <c r="R9" i="7"/>
  <c r="P9" i="7"/>
  <c r="S9" i="7" s="1"/>
  <c r="H9" i="7"/>
  <c r="K9" i="7" s="1"/>
  <c r="Z9" i="7"/>
  <c r="J9" i="7"/>
  <c r="P7" i="7"/>
  <c r="H7" i="7"/>
  <c r="Z6" i="7" l="1"/>
  <c r="X6" i="7"/>
  <c r="P6" i="7"/>
  <c r="H6" i="7"/>
  <c r="X8" i="7" l="1"/>
  <c r="AA8" i="7" s="1"/>
  <c r="P8" i="7"/>
  <c r="S8" i="7" s="1"/>
  <c r="H8" i="7"/>
  <c r="K8" i="7" s="1"/>
  <c r="Z8" i="7"/>
  <c r="R8" i="7"/>
  <c r="J8" i="7"/>
  <c r="K5" i="7"/>
  <c r="S7" i="7" l="1"/>
  <c r="Z7" i="7"/>
  <c r="K7" i="7"/>
  <c r="R7" i="7"/>
  <c r="AA7" i="7"/>
  <c r="J7" i="7"/>
  <c r="M15" i="3"/>
  <c r="AA6" i="7" l="1"/>
  <c r="S6" i="7"/>
  <c r="R6" i="7"/>
  <c r="K6" i="7"/>
  <c r="J6" i="7"/>
  <c r="AA5" i="7"/>
  <c r="S5" i="7"/>
  <c r="Z5" i="7"/>
  <c r="R5" i="7"/>
  <c r="J5" i="7"/>
  <c r="H3" i="7"/>
  <c r="Z4" i="7" l="1"/>
  <c r="AA4" i="7"/>
  <c r="K4" i="7"/>
  <c r="S4" i="7"/>
  <c r="R4" i="7"/>
  <c r="J4" i="7"/>
  <c r="Z3" i="7" l="1"/>
  <c r="X3" i="7"/>
  <c r="AA3" i="7" s="1"/>
  <c r="R3" i="7"/>
  <c r="P3" i="7"/>
  <c r="S3" i="7" s="1"/>
  <c r="J3" i="7"/>
  <c r="K3" i="7"/>
</calcChain>
</file>

<file path=xl/sharedStrings.xml><?xml version="1.0" encoding="utf-8"?>
<sst xmlns="http://schemas.openxmlformats.org/spreadsheetml/2006/main" count="380" uniqueCount="206">
  <si>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</si>
  <si>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</si>
  <si>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</si>
  <si>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</si>
  <si>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</si>
  <si>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</si>
  <si>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</si>
  <si>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</si>
  <si>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</si>
  <si>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</si>
  <si>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</si>
  <si>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</si>
  <si>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</si>
  <si>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</si>
  <si>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</si>
  <si>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</si>
  <si>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</si>
  <si>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</si>
  <si>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</si>
  <si>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</si>
  <si>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</si>
  <si>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</si>
  <si>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</si>
  <si>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</si>
  <si>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</si>
  <si>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</si>
  <si>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</si>
  <si>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</si>
  <si>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</si>
  <si>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</si>
  <si>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</si>
  <si>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</si>
  <si>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</si>
  <si>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</si>
  <si>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</si>
  <si>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</si>
  <si>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</si>
  <si>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</si>
  <si>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</si>
  <si>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</si>
  <si>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</si>
  <si>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</si>
  <si>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</si>
  <si>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</si>
  <si>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</si>
  <si>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</si>
  <si>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</si>
  <si>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</si>
  <si>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</si>
  <si>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</si>
  <si>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</si>
  <si>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</si>
  <si>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</si>
  <si>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</si>
  <si>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</si>
  <si>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</si>
  <si>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</si>
  <si>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</si>
  <si>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</si>
  <si>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</si>
  <si>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</si>
  <si>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</si>
  <si>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</si>
  <si>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</si>
  <si>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</si>
  <si>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</si>
  <si>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</si>
  <si>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</si>
  <si>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</si>
  <si>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</si>
  <si>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</si>
  <si>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</si>
  <si>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</si>
  <si>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</si>
  <si>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</si>
  <si>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</si>
  <si>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</si>
  <si>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</si>
  <si>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</si>
  <si>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</si>
  <si>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</si>
  <si>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</si>
  <si>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</si>
  <si>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</si>
  <si>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</si>
  <si>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</si>
  <si>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</si>
  <si>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</si>
  <si>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</si>
  <si>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</si>
  <si>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</si>
  <si>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</si>
  <si>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</si>
  <si>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</si>
  <si>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</si>
  <si>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</si>
  <si>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</si>
  <si>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</si>
  <si>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</si>
  <si>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</si>
  <si>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</si>
  <si>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</si>
  <si>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</si>
  <si>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</si>
  <si>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</si>
  <si>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</si>
  <si>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</si>
  <si>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</si>
  <si>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</si>
  <si>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</si>
  <si>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</si>
  <si>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</si>
  <si>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</si>
  <si>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</si>
  <si>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</si>
  <si>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</si>
  <si>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</si>
  <si>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</si>
  <si>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</si>
  <si>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</si>
  <si>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</si>
  <si>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</si>
  <si>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</si>
  <si>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</si>
  <si>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</si>
  <si>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</si>
  <si>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</si>
  <si>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</si>
  <si>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</si>
  <si>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</si>
  <si>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$[IF(OR(B2="Bug", B2="Epic"),"",IF(D2=V2, 0, N2))]&lt;/jt:forEach&gt;</t>
  </si>
  <si>
    <t>Component</t>
  </si>
  <si>
    <t>Remaining Estimate</t>
  </si>
  <si>
    <t>Total Estimate</t>
  </si>
  <si>
    <t>Development Progress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</si>
  <si>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</si>
  <si>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</si>
  <si>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</si>
  <si>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</si>
  <si>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</si>
  <si>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</si>
  <si>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</si>
  <si>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</si>
  <si>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</si>
  <si>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</si>
  <si>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</si>
  <si>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</si>
  <si>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</si>
  <si>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</si>
  <si>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</si>
  <si>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</si>
  <si>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</si>
  <si>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</si>
  <si>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</si>
  <si>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</si>
  <si>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</si>
  <si>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</si>
  <si>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Sprint</t>
  </si>
  <si>
    <t>P8</t>
  </si>
  <si>
    <t>Start Date</t>
  </si>
  <si>
    <t>End Date</t>
  </si>
  <si>
    <t>Completed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</si>
  <si>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</si>
  <si>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</si>
  <si>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</si>
  <si>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</si>
  <si>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</si>
  <si>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</si>
  <si>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</si>
  <si>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</si>
  <si>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</si>
  <si>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</si>
  <si>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</si>
  <si>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</si>
  <si>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</si>
  <si>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</si>
  <si>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</si>
  <si>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</si>
  <si>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t>$[K10 + IFERROR(GETPIVOTDATA("Different Story Points", $A$41, "Team Grouped", J10), 0) - IFERROR(GETPIVOTDATA("Different Story Points", $G$41, "Epic Team Grouped", J10), 0)]</t>
  </si>
  <si>
    <t>$[K11 + IFERROR(GETPIVOTDATA("Different Story Points", $A$41, "Team Grouped", J11), 0) - IFERROR(GETPIVOTDATA("Different Story Points", $G$41, "Epic Team Grouped", J11), 0)]</t>
  </si>
  <si>
    <t>$[K12 + IFERROR(GETPIVOTDATA("Different Story Points", $A$41, "Team Grouped", J12), 0) - IFERROR(GETPIVOTDATA("Different Story Points", $G$41, "Epic Team Grouped", J12), 0)]</t>
  </si>
  <si>
    <t>$[K13 + IFERROR(GETPIVOTDATA("Different Story Points", $A$41, "Team Grouped", J13), 0) - IFERROR(GETPIVOTDATA("Different Story Points", $G$41, "Epic Team Grouped", J13), 0)]</t>
  </si>
  <si>
    <t>$[K14 + IFERROR(GETPIVOTDATA("Different Story Points", $A$41, "Team Grouped", J14), 0) - IFERROR(GETPIVOTDATA("Different Story Points", $G$41, "Epic Team Grouped", J14), 0)]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</si>
  <si>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</si>
  <si>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</si>
  <si>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</si>
  <si>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</si>
  <si>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</si>
  <si>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</si>
  <si>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</si>
  <si>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</si>
  <si>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</si>
  <si>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</si>
  <si>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</si>
  <si>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</si>
  <si>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</si>
  <si>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</si>
  <si>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&lt;mt:execute script="field-helper-tool.groovy"/&gt;&lt;mt:execute script="blueprint-helper.groovy"/&gt;&lt;mt:execute script="blueprint-release-planning-helper.groovy"/&gt;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</si>
  <si>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</si>
  <si>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</si>
  <si>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</si>
  <si>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Planned</t>
  </si>
  <si>
    <t>Story Decomposed</t>
  </si>
  <si>
    <t>UME</t>
  </si>
  <si>
    <t>Artifact List v2</t>
  </si>
  <si>
    <t>Story Decomposition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</si>
</sst>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yy;@"/>
    <numFmt numFmtId="165" formatCode="[$-409]d\-mmm\-yy;@"/>
    <numFmt numFmtId="166" formatCode="0.0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</cellStyleXfs>
  <cellXfs count="5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0" fillId="0" borderId="0" xfId="0" applyAlignment="1">
      <alignment wrapText="1"/>
    </xf>
    <xf numFmtId="165" fontId="0" fillId="0" borderId="0" xfId="0" applyNumberFormat="1"/>
    <xf numFmtId="0" fontId="9" fillId="5" borderId="4" xfId="3" applyAlignment="1">
      <alignment wrapText="1"/>
    </xf>
    <xf numFmtId="0" fontId="9" fillId="5" borderId="6" xfId="3" applyBorder="1" applyAlignment="1">
      <alignment wrapText="1"/>
    </xf>
    <xf numFmtId="0" fontId="9" fillId="5" borderId="7" xfId="3" applyBorder="1" applyAlignment="1">
      <alignment wrapText="1"/>
    </xf>
    <xf numFmtId="0" fontId="0" fillId="0" borderId="8" xfId="0" applyBorder="1"/>
    <xf numFmtId="0" fontId="9" fillId="5" borderId="9" xfId="3" applyBorder="1" applyAlignment="1">
      <alignment wrapText="1"/>
    </xf>
    <xf numFmtId="0" fontId="0" fillId="0" borderId="10" xfId="0" applyBorder="1"/>
    <xf numFmtId="0" fontId="0" fillId="0" borderId="8" xfId="0" applyBorder="1" applyAlignment="1">
      <alignment wrapText="1"/>
    </xf>
    <xf numFmtId="166" fontId="0" fillId="0" borderId="10" xfId="0" applyNumberFormat="1" applyBorder="1"/>
    <xf numFmtId="166" fontId="0" fillId="0" borderId="0" xfId="0" applyNumberFormat="1"/>
    <xf numFmtId="166" fontId="0" fillId="0" borderId="8" xfId="0" applyNumberFormat="1" applyBorder="1"/>
    <xf numFmtId="167" fontId="2" fillId="0" borderId="0" xfId="0" applyNumberFormat="1" applyFont="1" applyAlignment="1">
      <alignment horizontal="right" vertical="center"/>
    </xf>
    <xf numFmtId="0" fontId="0" fillId="0" borderId="0" xfId="0" applyBorder="1"/>
    <xf numFmtId="167" fontId="2" fillId="0" borderId="0" xfId="0" applyNumberFormat="1" applyFont="1" applyBorder="1" applyAlignment="1">
      <alignment horizontal="right" vertical="center"/>
    </xf>
    <xf numFmtId="0" fontId="9" fillId="5" borderId="11" xfId="3" applyBorder="1" applyAlignment="1">
      <alignment wrapText="1"/>
    </xf>
    <xf numFmtId="1" fontId="0" fillId="0" borderId="0" xfId="0" applyNumberFormat="1" applyBorder="1"/>
    <xf numFmtId="0" fontId="10" fillId="6" borderId="12" xfId="4" applyBorder="1" applyAlignment="1">
      <alignment wrapText="1"/>
    </xf>
    <xf numFmtId="0" fontId="10" fillId="6" borderId="5" xfId="4"/>
    <xf numFmtId="0" fontId="9" fillId="5" borderId="4" xfId="3" applyAlignment="1">
      <alignment horizontal="center"/>
    </xf>
  </cellXfs>
  <cellStyles count="5">
    <cellStyle name="Hyperlink" xfId="2" builtinId="8"/>
    <cellStyle name="Input" xfId="3" builtinId="20"/>
    <cellStyle name="Neutral" xfId="1" builtinId="28"/>
    <cellStyle name="Normal" xfId="0" builtinId="0"/>
    <cellStyle name="Output" xfId="4" builtinId="21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Quasar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54C-BED4-0E0D25DA0FFC}"/>
            </c:ext>
          </c:extLst>
        </c:ser>
        <c:ser>
          <c:idx val="2"/>
          <c:order val="2"/>
          <c:tx>
            <c:strRef>
              <c:f>'Sprint Metrics'!$F$2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1-4513-8B6E-8B697B18EACA}"/>
            </c:ext>
          </c:extLst>
        </c:ser>
        <c:ser>
          <c:idx val="3"/>
          <c:order val="3"/>
          <c:tx>
            <c:strRef>
              <c:f>'Sprint Metrics'!$G$2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1F5-BAE0-A7BFC9E6B5EA}"/>
            </c:ext>
          </c:extLst>
        </c:ser>
        <c:ser>
          <c:idx val="4"/>
          <c:order val="4"/>
          <c:tx>
            <c:strRef>
              <c:f>'Sprint Metrics'!$H$2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F9C-A3C3-971E6E11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0623"/>
        <c:axId val="1864528639"/>
      </c:areaChart>
      <c:lineChart>
        <c:grouping val="standard"/>
        <c:varyColors val="0"/>
        <c:ser>
          <c:idx val="1"/>
          <c:order val="1"/>
          <c:tx>
            <c:strRef>
              <c:f>'Sprint Metrics'!$E$2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6-41F5-BAE0-A7BFC9E6B5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6-41F5-BAE0-A7BFC9E6B5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6-41F5-BAE0-A7BFC9E6B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6-41F5-BAE0-A7BFC9E6B5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6-41F5-BAE0-A7BFC9E6B5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6-41F5-BAE0-A7BFC9E6B5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6-41F5-BAE0-A7BFC9E6B5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6-41F5-BAE0-A7BFC9E6B5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6-41F5-BAE0-A7BFC9E6B5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06-41F5-BAE0-A7BFC9E6B5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06-41F5-BAE0-A7BFC9E6B5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06-41F5-BAE0-A7BFC9E6B5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06-41F5-BAE0-A7BFC9E6B5E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06-41F5-BAE0-A7BFC9E6B5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6-41F5-BAE0-A7BFC9E6B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Metrics'!$E$3:$E$17</c:f>
              <c:numCache>
                <c:formatCode>0</c:formatCode>
                <c:ptCount val="15"/>
                <c:pt idx="0">
                  <c:v>2350</c:v>
                </c:pt>
                <c:pt idx="1">
                  <c:v>2350</c:v>
                </c:pt>
                <c:pt idx="2">
                  <c:v>2350</c:v>
                </c:pt>
                <c:pt idx="3">
                  <c:v>2350</c:v>
                </c:pt>
                <c:pt idx="4">
                  <c:v>2350</c:v>
                </c:pt>
                <c:pt idx="5">
                  <c:v>2350</c:v>
                </c:pt>
                <c:pt idx="6">
                  <c:v>2350</c:v>
                </c:pt>
                <c:pt idx="7">
                  <c:v>2350</c:v>
                </c:pt>
                <c:pt idx="8">
                  <c:v>2350</c:v>
                </c:pt>
                <c:pt idx="9">
                  <c:v>2350</c:v>
                </c:pt>
                <c:pt idx="10">
                  <c:v>2350</c:v>
                </c:pt>
                <c:pt idx="11">
                  <c:v>2350</c:v>
                </c:pt>
                <c:pt idx="12">
                  <c:v>2350</c:v>
                </c:pt>
                <c:pt idx="13">
                  <c:v>2350</c:v>
                </c:pt>
                <c:pt idx="14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4513-8B6E-8B697B18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30623"/>
        <c:axId val="1864528639"/>
      </c:lineChart>
      <c:catAx>
        <c:axId val="1911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639"/>
        <c:crosses val="autoZero"/>
        <c:auto val="1"/>
        <c:lblAlgn val="ctr"/>
        <c:lblOffset val="100"/>
        <c:noMultiLvlLbl val="0"/>
      </c:catAx>
      <c:valAx>
        <c:axId val="18645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640-A031-EFD2763A469A}"/>
            </c:ext>
          </c:extLst>
        </c:ser>
        <c:ser>
          <c:idx val="2"/>
          <c:order val="2"/>
          <c:tx>
            <c:strRef>
              <c:f>'Sprint Metrics'!$N$2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6D-940A-FA1DBF369E0B}"/>
            </c:ext>
          </c:extLst>
        </c:ser>
        <c:ser>
          <c:idx val="3"/>
          <c:order val="3"/>
          <c:tx>
            <c:strRef>
              <c:f>'Sprint Metrics'!$O$2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CEB-8F0E-E58733B3BC43}"/>
            </c:ext>
          </c:extLst>
        </c:ser>
        <c:ser>
          <c:idx val="4"/>
          <c:order val="4"/>
          <c:tx>
            <c:strRef>
              <c:f>'Sprint Metrics'!$P$2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900-AA06-9307A9A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5776"/>
        <c:axId val="1035148320"/>
      </c:areaChart>
      <c:lineChart>
        <c:grouping val="standard"/>
        <c:varyColors val="0"/>
        <c:ser>
          <c:idx val="1"/>
          <c:order val="1"/>
          <c:tx>
            <c:strRef>
              <c:f>'Sprint Metrics'!$M$2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3-4CEB-8F0E-E58733B3BC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3-4CEB-8F0E-E58733B3BC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3-4CEB-8F0E-E58733B3BC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3-4CEB-8F0E-E58733B3BC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3-4CEB-8F0E-E58733B3BC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3-4CEB-8F0E-E58733B3BC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3-4CEB-8F0E-E58733B3BC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3-4CEB-8F0E-E58733B3BC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3-4CEB-8F0E-E58733B3BC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3-4CEB-8F0E-E58733B3BC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3-4CEB-8F0E-E58733B3BC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3-4CEB-8F0E-E58733B3BC4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3-4CEB-8F0E-E58733B3BC4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13-4CEB-8F0E-E58733B3B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3-4CEB-8F0E-E58733B3B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66D-940A-FA1DBF36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5776"/>
        <c:axId val="1035148320"/>
      </c:lineChart>
      <c:catAx>
        <c:axId val="1081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8320"/>
        <c:crosses val="autoZero"/>
        <c:auto val="1"/>
        <c:lblAlgn val="ctr"/>
        <c:lblOffset val="100"/>
        <c:noMultiLvlLbl val="0"/>
      </c:catAx>
      <c:valAx>
        <c:axId val="1035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7CC-94A8-7A43E9717AF1}"/>
            </c:ext>
          </c:extLst>
        </c:ser>
        <c:ser>
          <c:idx val="2"/>
          <c:order val="2"/>
          <c:tx>
            <c:strRef>
              <c:f>'Sprint Metrics'!$V$2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C-4FCE-993C-E01CE54A9E22}"/>
            </c:ext>
          </c:extLst>
        </c:ser>
        <c:ser>
          <c:idx val="3"/>
          <c:order val="3"/>
          <c:tx>
            <c:strRef>
              <c:f>'Sprint Metrics'!$W$2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3AF-8D9B-62F62CF5EA20}"/>
            </c:ext>
          </c:extLst>
        </c:ser>
        <c:ser>
          <c:idx val="4"/>
          <c:order val="4"/>
          <c:tx>
            <c:strRef>
              <c:f>'Sprint Metrics'!$X$2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CAB-A007-F39EFB87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69135"/>
        <c:axId val="526866767"/>
      </c:areaChart>
      <c:lineChart>
        <c:grouping val="standard"/>
        <c:varyColors val="0"/>
        <c:ser>
          <c:idx val="1"/>
          <c:order val="1"/>
          <c:tx>
            <c:strRef>
              <c:f>'Sprint Metrics'!$U$2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8-43AF-8D9B-62F62CF5EA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8-43AF-8D9B-62F62CF5EA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8-43AF-8D9B-62F62CF5EA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8-43AF-8D9B-62F62CF5EA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8-43AF-8D9B-62F62CF5EA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43AF-8D9B-62F62CF5EA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43AF-8D9B-62F62CF5EA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43AF-8D9B-62F62CF5EA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43AF-8D9B-62F62CF5EA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43AF-8D9B-62F62CF5EA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38-43AF-8D9B-62F62CF5EA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38-43AF-8D9B-62F62CF5EA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38-43AF-8D9B-62F62CF5EA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38-43AF-8D9B-62F62CF5EA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38-43AF-8D9B-62F62CF5E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Metrics'!$U$3:$U$17</c:f>
              <c:numCache>
                <c:formatCode>0</c:formatCode>
                <c:ptCount val="15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FCE-993C-E01CE5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69135"/>
        <c:axId val="526866767"/>
      </c:lineChart>
      <c:catAx>
        <c:axId val="1384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767"/>
        <c:crosses val="autoZero"/>
        <c:auto val="1"/>
        <c:lblAlgn val="ctr"/>
        <c:lblOffset val="100"/>
        <c:noMultiLvlLbl val="0"/>
      </c:catAx>
      <c:valAx>
        <c:axId val="526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35719</xdr:rowOff>
    </xdr:from>
    <xdr:to>
      <xdr:col>12</xdr:col>
      <xdr:colOff>35718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454A-357B-4529-AE09-B1B49BE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173829</xdr:colOff>
      <xdr:row>15</xdr:row>
      <xdr:rowOff>126207</xdr:rowOff>
    </xdr:from>
    <xdr:to>
      <xdr:col>8</xdr:col>
      <xdr:colOff>211929</xdr:colOff>
      <xdr:row>30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1405F-E048-4E8E-AF75-C4125A3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321468</xdr:colOff>
      <xdr:row>15</xdr:row>
      <xdr:rowOff>140494</xdr:rowOff>
    </xdr:from>
    <xdr:to>
      <xdr:col>15</xdr:col>
      <xdr:colOff>359568</xdr:colOff>
      <xdr:row>30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4CF07-6EBC-4BC7-8E25-89DDD6FA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 Folomechine" refreshedDate="43299.316672222223" missingItemsLimit="0" createdVersion="6" refreshedVersion="6" minRefreshableVersion="3" recordCount="46">
  <cacheSource type="worksheet">
    <worksheetSource name="issues"/>
  </cacheSource>
  <cacheFields count="4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4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</sharedItems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Pegasus"/>
        <s v="Quasar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 count="11">
        <s v="${bpHelper.getGroupedTeam(fieldHelper.getFieldValueByName(issue, &quot;Epic 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&lt;/jt:forEach&gt;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</r>
  <r>
    <s v="key"/>
    <x v="3"/>
    <m/>
    <x v="3"/>
    <x v="3"/>
    <m/>
    <m/>
    <m/>
    <m/>
    <m/>
    <x v="1"/>
    <m/>
    <m/>
    <m/>
    <m/>
    <m/>
    <m/>
    <m/>
    <m/>
    <m/>
    <m/>
    <s v="NW"/>
    <m/>
    <m/>
    <m/>
    <m/>
    <m/>
    <m/>
    <m/>
    <m/>
    <x v="3"/>
    <m/>
    <m/>
    <x v="3"/>
    <x v="3"/>
    <m/>
    <m/>
  </r>
  <r>
    <s v="key"/>
    <x v="4"/>
    <s v="NEEDS FOR FILTERING IN PIVOT TABLES"/>
    <x v="4"/>
    <x v="4"/>
    <m/>
    <m/>
    <m/>
    <m/>
    <m/>
    <x v="1"/>
    <m/>
    <m/>
    <m/>
    <m/>
    <m/>
    <m/>
    <m/>
    <m/>
    <m/>
    <m/>
    <s v="SoftTeco"/>
    <m/>
    <m/>
    <m/>
    <m/>
    <m/>
    <m/>
    <m/>
    <m/>
    <x v="1"/>
    <m/>
    <m/>
    <x v="4"/>
    <x v="4"/>
    <m/>
    <m/>
  </r>
  <r>
    <s v="key"/>
    <x v="5"/>
    <m/>
    <x v="5"/>
    <x v="5"/>
    <m/>
    <m/>
    <m/>
    <m/>
    <m/>
    <x v="1"/>
    <m/>
    <m/>
    <m/>
    <m/>
    <m/>
    <m/>
    <m/>
    <m/>
    <m/>
    <m/>
    <s v="Titan"/>
    <m/>
    <m/>
    <m/>
    <m/>
    <m/>
    <m/>
    <m/>
    <m/>
    <x v="1"/>
    <m/>
    <m/>
    <x v="5"/>
    <x v="5"/>
    <m/>
    <m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"/>
    <x v="1"/>
    <m/>
    <m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</r>
  <r>
    <s v="key"/>
    <x v="1"/>
    <m/>
    <x v="1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7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dragToRow="0" dragToCol="0" dragToPage="0" showAll="0"/>
    <pivotField dragToRow="0" dragToCol="0" dragToPage="0" showAl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7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dragToRow="0" dragToCol="0" dragToPage="0" showAll="0"/>
    <pivotField dragToRow="0" dragToCol="0" dragToPage="0" showAll="0"/>
    <pivotField dragToRow="0" dragToCol="0" dragToPage="0" showAl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4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J5:L15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dragToRow="0" dragToCol="0" dragToPage="0" showAll="0"/>
    <pivotField dragToRow="0" dragToCol="0" dragToPage="0" showAll="0"/>
  </pivotFields>
  <rowFields count="1">
    <field x="33"/>
  </rowFields>
  <rowItems count="8">
    <i>
      <x v="1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G41:H43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subtotalTop="0" sortType="ascending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howAll="0"/>
    <pivotField dataField="1"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4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24:C27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h="1"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3"/>
  </rowFields>
  <rowItems count="1">
    <i t="grand">
      <x/>
    </i>
  </rowItems>
  <colFields count="2">
    <field x="1"/>
    <field x="-2"/>
  </colFields>
  <colItems count="2">
    <i t="grand">
      <x/>
    </i>
    <i t="grand" i="1">
      <x v="1"/>
    </i>
  </colItems>
  <pageFields count="2">
    <pageField fld="30" hier="-1"/>
    <pageField fld="4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41:B43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/>
    <pivotField showAll="0"/>
    <pivotField dataField="1"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3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5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dataField="1" dragToRow="0" dragToCol="0" dragToPage="0" showAll="0"/>
    <pivotField dataField="1" dragToRow="0" dragToCol="0" dragToPage="0" showAll="0"/>
    <pivotField dataField="1" dragToRow="0" dragToCol="0" dragToPage="0" showAl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39" baseField="10" baseItem="0" numFmtId="9"/>
    <dataField name="Story Decomposition Progress" fld="38" subtotal="count" baseField="10" baseItem="0"/>
    <dataField name="Development Progress" fld="37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4.25" x14ac:dyDescent="0.45"/>
  <sheetData>
    <row r="1" spans="1:1" x14ac:dyDescent="0.45">
      <c r="A1" s="26" t="s">
        <v>140</v>
      </c>
    </row>
    <row r="2" spans="1:1" x14ac:dyDescent="0.45">
      <c r="A2" s="27" t="s">
        <v>141</v>
      </c>
    </row>
    <row r="3" spans="1:1" x14ac:dyDescent="0.45">
      <c r="A3" s="27" t="s">
        <v>142</v>
      </c>
    </row>
    <row r="4" spans="1:1" x14ac:dyDescent="0.45">
      <c r="A4" s="28" t="s">
        <v>143</v>
      </c>
    </row>
    <row r="5" spans="1:1" x14ac:dyDescent="0.45">
      <c r="A5" s="28" t="s">
        <v>144</v>
      </c>
    </row>
    <row r="6" spans="1:1" x14ac:dyDescent="0.45">
      <c r="A6" s="29" t="s">
        <v>162</v>
      </c>
    </row>
    <row r="7" spans="1:1" x14ac:dyDescent="0.45">
      <c r="A7" s="30" t="s">
        <v>149</v>
      </c>
    </row>
    <row r="8" spans="1:1" x14ac:dyDescent="0.45">
      <c r="A8" s="27" t="s">
        <v>150</v>
      </c>
    </row>
    <row r="9" spans="1:1" x14ac:dyDescent="0.45">
      <c r="A9" s="27" t="s">
        <v>198</v>
      </c>
    </row>
    <row r="10" spans="1:1" x14ac:dyDescent="0.45">
      <c r="A10" s="27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5" sqref="A5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2" t="s">
        <v>152</v>
      </c>
      <c r="B1" s="22"/>
      <c r="C1" s="22"/>
    </row>
    <row r="2" spans="1:3" x14ac:dyDescent="0.45">
      <c r="A2" s="16" t="s">
        <v>172</v>
      </c>
      <c r="B2" t="s">
        <v>175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151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A2" sqref="A2"/>
      <pivotSelection pane="bottomRight" activeRow="1" previousRow="1" click="1" r:id="rId2">
        <pivotArea field="30" type="button" dataOnly="0" labelOnly="1" outline="0" axis="axisPage" fieldPosition="0"/>
      </pivotSelection>
    </sheetView>
  </sheetViews>
  <sheetFormatPr defaultRowHeight="14.25" x14ac:dyDescent="0.45"/>
  <cols>
    <col min="1" max="1" width="24.6640625" bestFit="1" customWidth="1"/>
    <col min="2" max="2" width="15.6640625" bestFit="1" customWidth="1"/>
    <col min="3" max="3" width="8" bestFit="1" customWidth="1"/>
    <col min="4" max="4" width="16.86328125" bestFit="1" customWidth="1"/>
    <col min="5" max="5" width="15.6640625" bestFit="1" customWidth="1"/>
    <col min="6" max="6" width="22.73046875" bestFit="1" customWidth="1"/>
    <col min="7" max="7" width="24.6640625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1" t="s">
        <v>145</v>
      </c>
      <c r="B1" s="22"/>
      <c r="D1" s="31" t="s">
        <v>146</v>
      </c>
      <c r="E1" s="22"/>
      <c r="F1" s="22"/>
      <c r="G1" s="22"/>
      <c r="H1" s="22"/>
      <c r="J1" s="31" t="s">
        <v>147</v>
      </c>
      <c r="K1" s="22"/>
      <c r="L1" s="22"/>
      <c r="M1" s="22"/>
    </row>
    <row r="2" spans="1:13" x14ac:dyDescent="0.45">
      <c r="A2" s="16" t="s">
        <v>172</v>
      </c>
      <c r="B2" t="s">
        <v>175</v>
      </c>
      <c r="D2" s="16" t="s">
        <v>172</v>
      </c>
      <c r="E2" t="s">
        <v>175</v>
      </c>
      <c r="J2" s="16" t="s">
        <v>172</v>
      </c>
      <c r="K2" t="s">
        <v>175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3"/>
    </row>
    <row r="6" spans="1:13" x14ac:dyDescent="0.45">
      <c r="A6" s="16" t="s">
        <v>45</v>
      </c>
      <c r="D6" s="16" t="s">
        <v>45</v>
      </c>
      <c r="E6" t="s">
        <v>51</v>
      </c>
      <c r="M6" s="23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4" t="s">
        <v>132</v>
      </c>
    </row>
    <row r="8" spans="1:13" x14ac:dyDescent="0.45">
      <c r="A8" s="17" t="s">
        <v>63</v>
      </c>
      <c r="D8" s="17" t="s">
        <v>63</v>
      </c>
      <c r="E8" s="20"/>
      <c r="J8" s="17" t="s">
        <v>60</v>
      </c>
      <c r="M8" t="s">
        <v>176</v>
      </c>
    </row>
    <row r="9" spans="1:13" x14ac:dyDescent="0.45">
      <c r="A9" s="17" t="s">
        <v>58</v>
      </c>
      <c r="D9" s="17" t="s">
        <v>58</v>
      </c>
      <c r="E9" s="20"/>
      <c r="J9" s="17" t="s">
        <v>58</v>
      </c>
      <c r="M9" t="s">
        <v>177</v>
      </c>
    </row>
    <row r="10" spans="1:13" x14ac:dyDescent="0.45">
      <c r="A10" s="17" t="s">
        <v>56</v>
      </c>
      <c r="D10" s="17" t="s">
        <v>56</v>
      </c>
      <c r="E10" s="20"/>
      <c r="J10" s="17" t="s">
        <v>56</v>
      </c>
      <c r="M10" t="s">
        <v>178</v>
      </c>
    </row>
    <row r="11" spans="1:13" x14ac:dyDescent="0.45">
      <c r="A11" s="17" t="s">
        <v>55</v>
      </c>
      <c r="D11" s="17" t="s">
        <v>55</v>
      </c>
      <c r="E11" s="20"/>
      <c r="J11" s="17" t="s">
        <v>55</v>
      </c>
      <c r="M11" t="s">
        <v>179</v>
      </c>
    </row>
    <row r="12" spans="1:13" x14ac:dyDescent="0.45">
      <c r="A12" s="17" t="s">
        <v>59</v>
      </c>
      <c r="D12" s="17" t="s">
        <v>59</v>
      </c>
      <c r="E12" s="20"/>
      <c r="J12" s="17" t="s">
        <v>59</v>
      </c>
      <c r="M12" t="s">
        <v>180</v>
      </c>
    </row>
    <row r="13" spans="1:13" x14ac:dyDescent="0.45">
      <c r="A13" s="17" t="s">
        <v>62</v>
      </c>
      <c r="D13" s="17" t="s">
        <v>62</v>
      </c>
      <c r="E13" s="20"/>
      <c r="J13" s="17" t="s">
        <v>54</v>
      </c>
      <c r="M13" t="s">
        <v>181</v>
      </c>
    </row>
    <row r="14" spans="1:13" x14ac:dyDescent="0.45">
      <c r="A14" s="17" t="s">
        <v>54</v>
      </c>
      <c r="D14" s="17" t="s">
        <v>54</v>
      </c>
      <c r="E14" s="20"/>
      <c r="J14" s="17" t="s">
        <v>61</v>
      </c>
      <c r="M14" t="s">
        <v>182</v>
      </c>
    </row>
    <row r="15" spans="1:13" x14ac:dyDescent="0.45">
      <c r="A15" s="17" t="s">
        <v>61</v>
      </c>
      <c r="D15" s="17" t="s">
        <v>61</v>
      </c>
      <c r="E15" s="20"/>
      <c r="J15" s="17" t="s">
        <v>51</v>
      </c>
      <c r="M15" s="25">
        <f>SUM(M8:M14)</f>
        <v>0</v>
      </c>
    </row>
    <row r="16" spans="1:13" x14ac:dyDescent="0.45">
      <c r="A16" s="17" t="s">
        <v>120</v>
      </c>
      <c r="D16" s="17" t="s">
        <v>120</v>
      </c>
      <c r="E16" s="20"/>
    </row>
    <row r="17" spans="1:5" x14ac:dyDescent="0.45">
      <c r="A17" s="17" t="s">
        <v>51</v>
      </c>
      <c r="D17" s="17" t="s">
        <v>51</v>
      </c>
      <c r="E17" s="20"/>
    </row>
    <row r="20" spans="1:5" x14ac:dyDescent="0.45">
      <c r="A20" s="22" t="s">
        <v>148</v>
      </c>
      <c r="B20" s="22"/>
      <c r="C20" s="22"/>
      <c r="D20" s="22"/>
      <c r="E20" s="22"/>
    </row>
    <row r="21" spans="1:5" x14ac:dyDescent="0.45">
      <c r="A21" s="16" t="s">
        <v>172</v>
      </c>
      <c r="B21" t="s">
        <v>175</v>
      </c>
    </row>
    <row r="22" spans="1:5" x14ac:dyDescent="0.45">
      <c r="A22" s="16" t="s">
        <v>0</v>
      </c>
      <c r="B22" t="s">
        <v>75</v>
      </c>
    </row>
    <row r="24" spans="1:5" x14ac:dyDescent="0.45">
      <c r="B24" s="16" t="s">
        <v>50</v>
      </c>
    </row>
    <row r="25" spans="1:5" x14ac:dyDescent="0.45">
      <c r="B25" t="s">
        <v>135</v>
      </c>
      <c r="C25" t="s">
        <v>136</v>
      </c>
    </row>
    <row r="26" spans="1:5" x14ac:dyDescent="0.45">
      <c r="A26" s="16" t="s">
        <v>45</v>
      </c>
    </row>
    <row r="27" spans="1:5" x14ac:dyDescent="0.45">
      <c r="A27" s="17" t="s">
        <v>51</v>
      </c>
      <c r="B27" s="20"/>
      <c r="C27" s="20"/>
    </row>
    <row r="37" spans="1:9" x14ac:dyDescent="0.45">
      <c r="A37" s="22" t="s">
        <v>137</v>
      </c>
      <c r="B37" s="22"/>
      <c r="C37" s="22"/>
      <c r="G37" s="22" t="s">
        <v>139</v>
      </c>
      <c r="H37" s="22"/>
      <c r="I37" s="22"/>
    </row>
    <row r="38" spans="1:9" x14ac:dyDescent="0.45">
      <c r="A38" s="16" t="s">
        <v>172</v>
      </c>
      <c r="B38" t="s">
        <v>175</v>
      </c>
      <c r="G38" s="16" t="s">
        <v>172</v>
      </c>
      <c r="H38" t="s">
        <v>175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138</v>
      </c>
      <c r="B41" s="16" t="s">
        <v>50</v>
      </c>
      <c r="G41" s="16" t="s">
        <v>138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51</v>
      </c>
      <c r="B43" s="20"/>
      <c r="G43" s="17" t="s">
        <v>51</v>
      </c>
      <c r="H43" s="20"/>
    </row>
  </sheetData>
  <hyperlinks>
    <hyperlink ref="A1" location="Notes!1:1" display="Remaining Scope based on Epics - Estimate in Days (see Notes - 1)"/>
    <hyperlink ref="D1" location="Notes!2:2" display="Remaining Scope based on Stories/Spikes/Tech Debts - Story Points (see Notes - 2)"/>
    <hyperlink ref="J1" location="Notes!3:7" display="Remaining Scope based on Epics - Epic Remaining and Total Estimate (see Notes - 3)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1" t="s">
        <v>200</v>
      </c>
      <c r="B1" s="22"/>
      <c r="C1" s="22"/>
      <c r="D1" s="22"/>
    </row>
    <row r="2" spans="1:4" x14ac:dyDescent="0.45">
      <c r="A2" s="16" t="s">
        <v>172</v>
      </c>
      <c r="B2" t="s">
        <v>175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131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57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16384" width="9.1328125" style="3"/>
  </cols>
  <sheetData>
    <row r="1" spans="1:3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153</v>
      </c>
      <c r="Z1" s="1" t="s">
        <v>163</v>
      </c>
      <c r="AA1" s="1" t="s">
        <v>165</v>
      </c>
      <c r="AB1" s="1" t="s">
        <v>167</v>
      </c>
      <c r="AC1" s="1" t="s">
        <v>169</v>
      </c>
      <c r="AD1" s="1" t="s">
        <v>171</v>
      </c>
      <c r="AE1" s="1" t="s">
        <v>172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155</v>
      </c>
      <c r="AK1" s="1" t="s">
        <v>48</v>
      </c>
      <c r="AL1" s="3" t="s">
        <v>197</v>
      </c>
    </row>
    <row r="2" spans="1:38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154</v>
      </c>
      <c r="Z2" s="11" t="s">
        <v>164</v>
      </c>
      <c r="AA2" s="11" t="s">
        <v>166</v>
      </c>
      <c r="AB2" s="11" t="s">
        <v>168</v>
      </c>
      <c r="AC2" s="15" t="s">
        <v>170</v>
      </c>
      <c r="AD2" s="15" t="s">
        <v>154</v>
      </c>
      <c r="AE2" s="15" t="s">
        <v>173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156</v>
      </c>
      <c r="AK2" s="15" t="s">
        <v>130</v>
      </c>
      <c r="AL2" s="5" t="s">
        <v>11</v>
      </c>
    </row>
    <row r="3" spans="1:38" x14ac:dyDescent="0.45">
      <c r="A3" s="3" t="s">
        <v>57</v>
      </c>
    </row>
    <row r="4" spans="1:38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174</v>
      </c>
      <c r="AH4" s="4" t="s">
        <v>58</v>
      </c>
      <c r="AI4" s="4" t="s">
        <v>58</v>
      </c>
      <c r="AJ4" s="4"/>
    </row>
    <row r="5" spans="1:38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V5" s="4" t="s">
        <v>56</v>
      </c>
      <c r="W5" s="4"/>
      <c r="AE5" s="5" t="s">
        <v>175</v>
      </c>
      <c r="AH5" s="4" t="s">
        <v>56</v>
      </c>
      <c r="AI5" s="4" t="s">
        <v>56</v>
      </c>
      <c r="AJ5" s="4"/>
    </row>
    <row r="6" spans="1:38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V6" s="4" t="s">
        <v>59</v>
      </c>
      <c r="W6" s="4"/>
      <c r="AH6" s="4" t="s">
        <v>59</v>
      </c>
      <c r="AI6" s="4" t="s">
        <v>59</v>
      </c>
      <c r="AJ6" s="4"/>
    </row>
    <row r="7" spans="1:38" x14ac:dyDescent="0.45">
      <c r="A7" s="5" t="s">
        <v>53</v>
      </c>
      <c r="B7" s="5" t="s">
        <v>72</v>
      </c>
      <c r="D7" s="4" t="s">
        <v>54</v>
      </c>
      <c r="E7" s="19" t="s">
        <v>98</v>
      </c>
      <c r="V7" s="4" t="s">
        <v>54</v>
      </c>
      <c r="W7" s="4"/>
      <c r="AH7" s="4" t="s">
        <v>54</v>
      </c>
      <c r="AI7" s="4" t="s">
        <v>54</v>
      </c>
      <c r="AJ7" s="4"/>
    </row>
    <row r="8" spans="1:38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</row>
    <row r="9" spans="1:38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</row>
    <row r="10" spans="1:38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8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8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8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/>
      <c r="AI13" s="4"/>
      <c r="AJ13" s="4"/>
    </row>
    <row r="14" spans="1:38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8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8" x14ac:dyDescent="0.45">
      <c r="A16" s="5" t="s">
        <v>53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7" ht="26.25" x14ac:dyDescent="0.45">
      <c r="A33" s="5" t="s">
        <v>53</v>
      </c>
      <c r="E33" s="19" t="s">
        <v>80</v>
      </c>
    </row>
    <row r="34" spans="1:37" ht="26.25" x14ac:dyDescent="0.45">
      <c r="A34" s="5" t="s">
        <v>53</v>
      </c>
      <c r="E34" s="19" t="s">
        <v>81</v>
      </c>
    </row>
    <row r="35" spans="1:37" ht="26.25" x14ac:dyDescent="0.45">
      <c r="A35" s="5" t="s">
        <v>53</v>
      </c>
      <c r="E35" s="19" t="s">
        <v>82</v>
      </c>
    </row>
    <row r="36" spans="1:37" ht="26.25" x14ac:dyDescent="0.45">
      <c r="A36" s="5" t="s">
        <v>53</v>
      </c>
      <c r="E36" s="19" t="s">
        <v>83</v>
      </c>
    </row>
    <row r="37" spans="1:37" x14ac:dyDescent="0.45">
      <c r="A37" s="5" t="s">
        <v>53</v>
      </c>
      <c r="E37" s="19" t="s">
        <v>84</v>
      </c>
    </row>
    <row r="38" spans="1:37" x14ac:dyDescent="0.45">
      <c r="A38" s="5" t="s">
        <v>53</v>
      </c>
      <c r="E38" s="19" t="s">
        <v>85</v>
      </c>
    </row>
    <row r="39" spans="1:37" x14ac:dyDescent="0.45">
      <c r="A39" s="5" t="s">
        <v>53</v>
      </c>
      <c r="E39" s="19" t="s">
        <v>86</v>
      </c>
    </row>
    <row r="40" spans="1:37" x14ac:dyDescent="0.45">
      <c r="A40" s="5" t="s">
        <v>53</v>
      </c>
      <c r="E40" s="19" t="s">
        <v>87</v>
      </c>
    </row>
    <row r="41" spans="1:37" x14ac:dyDescent="0.45">
      <c r="A41" s="5" t="s">
        <v>53</v>
      </c>
      <c r="E41" s="19" t="s">
        <v>88</v>
      </c>
    </row>
    <row r="42" spans="1:37" x14ac:dyDescent="0.45">
      <c r="A42" s="5" t="s">
        <v>53</v>
      </c>
      <c r="E42" s="19" t="s">
        <v>89</v>
      </c>
    </row>
    <row r="43" spans="1:37" x14ac:dyDescent="0.45">
      <c r="A43" s="5" t="s">
        <v>53</v>
      </c>
      <c r="E43" s="19" t="s">
        <v>90</v>
      </c>
    </row>
    <row r="44" spans="1:37" x14ac:dyDescent="0.45">
      <c r="A44" s="5" t="s">
        <v>53</v>
      </c>
      <c r="E44" s="19" t="s">
        <v>91</v>
      </c>
    </row>
    <row r="45" spans="1:37" ht="26.25" x14ac:dyDescent="0.45">
      <c r="A45" s="5" t="s">
        <v>53</v>
      </c>
      <c r="E45" s="19" t="s">
        <v>92</v>
      </c>
    </row>
    <row r="46" spans="1:37" ht="26.25" x14ac:dyDescent="0.45">
      <c r="A46" s="5" t="s">
        <v>53</v>
      </c>
      <c r="E46" s="19" t="s">
        <v>93</v>
      </c>
    </row>
    <row r="47" spans="1:37" x14ac:dyDescent="0.45">
      <c r="A47" s="5" t="s">
        <v>53</v>
      </c>
      <c r="E47" s="19" t="s">
        <v>94</v>
      </c>
      <c r="AK47" s="5" t="s">
        <v>129</v>
      </c>
    </row>
    <row r="48" spans="1:37" x14ac:dyDescent="0.45">
      <c r="AH48" s="4"/>
    </row>
    <row r="49" spans="34:34" x14ac:dyDescent="0.45">
      <c r="AH49" s="4"/>
    </row>
    <row r="50" spans="34:34" x14ac:dyDescent="0.45">
      <c r="AH50" s="4"/>
    </row>
    <row r="51" spans="34:34" x14ac:dyDescent="0.45">
      <c r="AH51" s="4"/>
    </row>
    <row r="52" spans="34:34" x14ac:dyDescent="0.45">
      <c r="AH52" s="4"/>
    </row>
    <row r="53" spans="34:34" x14ac:dyDescent="0.45">
      <c r="AH53" s="4"/>
    </row>
    <row r="54" spans="34:34" x14ac:dyDescent="0.45">
      <c r="AH54" s="4"/>
    </row>
    <row r="55" spans="34:34" x14ac:dyDescent="0.45">
      <c r="AH55" s="4"/>
    </row>
    <row r="56" spans="34:34" x14ac:dyDescent="0.45">
      <c r="AH56" s="4"/>
    </row>
    <row r="57" spans="34:34" x14ac:dyDescent="0.45">
      <c r="AH5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39" customWidth="1"/>
    <col min="5" max="5" width="8.06640625" style="45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37"/>
    <col min="13" max="13" width="9.06640625" style="45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39" customWidth="1"/>
    <col min="21" max="21" width="8" style="45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37"/>
  </cols>
  <sheetData>
    <row r="1" spans="1:28" x14ac:dyDescent="0.45">
      <c r="A1" s="50"/>
      <c r="B1" s="50"/>
      <c r="C1" s="50"/>
      <c r="D1" s="51" t="s">
        <v>172</v>
      </c>
      <c r="E1" s="51"/>
      <c r="F1" s="51"/>
      <c r="G1" s="51"/>
      <c r="H1" s="51"/>
      <c r="I1" s="51"/>
      <c r="J1" s="51"/>
      <c r="K1" s="51"/>
      <c r="L1" s="51" t="s">
        <v>203</v>
      </c>
      <c r="M1" s="51"/>
      <c r="N1" s="51"/>
      <c r="O1" s="51"/>
      <c r="P1" s="51"/>
      <c r="Q1" s="51"/>
      <c r="R1" s="51"/>
      <c r="S1" s="51"/>
      <c r="T1" s="51" t="s">
        <v>204</v>
      </c>
      <c r="U1" s="51"/>
      <c r="V1" s="51"/>
      <c r="W1" s="51"/>
      <c r="X1" s="51"/>
      <c r="Y1" s="51"/>
      <c r="Z1" s="51"/>
      <c r="AA1" s="51"/>
    </row>
    <row r="2" spans="1:28" s="32" customFormat="1" ht="42.75" x14ac:dyDescent="0.45">
      <c r="A2" s="49" t="s">
        <v>157</v>
      </c>
      <c r="B2" s="49" t="s">
        <v>159</v>
      </c>
      <c r="C2" s="49" t="s">
        <v>160</v>
      </c>
      <c r="D2" s="36" t="s">
        <v>133</v>
      </c>
      <c r="E2" s="47" t="s">
        <v>201</v>
      </c>
      <c r="F2" s="34" t="s">
        <v>127</v>
      </c>
      <c r="G2" s="34" t="s">
        <v>202</v>
      </c>
      <c r="H2" s="34" t="s">
        <v>161</v>
      </c>
      <c r="I2" s="34" t="s">
        <v>132</v>
      </c>
      <c r="J2" s="34" t="s">
        <v>205</v>
      </c>
      <c r="K2" s="35" t="s">
        <v>134</v>
      </c>
      <c r="L2" s="36" t="s">
        <v>133</v>
      </c>
      <c r="M2" s="47" t="s">
        <v>201</v>
      </c>
      <c r="N2" s="34" t="s">
        <v>127</v>
      </c>
      <c r="O2" s="34" t="s">
        <v>202</v>
      </c>
      <c r="P2" s="34" t="s">
        <v>161</v>
      </c>
      <c r="Q2" s="34" t="s">
        <v>132</v>
      </c>
      <c r="R2" s="34" t="s">
        <v>205</v>
      </c>
      <c r="S2" s="35" t="s">
        <v>134</v>
      </c>
      <c r="T2" s="38" t="s">
        <v>133</v>
      </c>
      <c r="U2" s="47" t="s">
        <v>201</v>
      </c>
      <c r="V2" s="34" t="s">
        <v>127</v>
      </c>
      <c r="W2" s="34" t="s">
        <v>202</v>
      </c>
      <c r="X2" s="34" t="s">
        <v>161</v>
      </c>
      <c r="Y2" s="34" t="s">
        <v>132</v>
      </c>
      <c r="Z2" s="34" t="s">
        <v>205</v>
      </c>
      <c r="AA2" s="35" t="s">
        <v>134</v>
      </c>
      <c r="AB2" s="40"/>
    </row>
    <row r="3" spans="1:28" x14ac:dyDescent="0.45">
      <c r="A3" t="s">
        <v>158</v>
      </c>
      <c r="B3" s="33"/>
      <c r="C3" s="33"/>
      <c r="D3" s="41">
        <v>2023</v>
      </c>
      <c r="E3" s="48">
        <v>2350</v>
      </c>
      <c r="F3" s="42">
        <v>938.5</v>
      </c>
      <c r="G3" s="42">
        <v>411.5</v>
      </c>
      <c r="H3" s="42">
        <f>D3-I3</f>
        <v>0</v>
      </c>
      <c r="I3" s="42">
        <v>2023</v>
      </c>
      <c r="J3" s="21">
        <f t="shared" ref="J3" si="0" xml:space="preserve"> G3/D3</f>
        <v>0.20341077607513594</v>
      </c>
      <c r="K3" s="21">
        <f xml:space="preserve"> H3/D3</f>
        <v>0</v>
      </c>
      <c r="L3" s="43">
        <v>918</v>
      </c>
      <c r="M3" s="48">
        <v>1400</v>
      </c>
      <c r="N3" s="42">
        <v>141</v>
      </c>
      <c r="O3" s="42">
        <v>83</v>
      </c>
      <c r="P3" s="42">
        <f>L3-Q3</f>
        <v>0</v>
      </c>
      <c r="Q3" s="42">
        <v>918</v>
      </c>
      <c r="R3" s="21">
        <f t="shared" ref="R3" si="1" xml:space="preserve"> O3/L3</f>
        <v>9.0413943355119819E-2</v>
      </c>
      <c r="S3" s="21">
        <f xml:space="preserve"> P3/L3</f>
        <v>0</v>
      </c>
      <c r="T3" s="41">
        <v>575</v>
      </c>
      <c r="U3" s="48">
        <v>675</v>
      </c>
      <c r="V3" s="42">
        <v>350</v>
      </c>
      <c r="W3" s="42">
        <v>215</v>
      </c>
      <c r="X3" s="42">
        <f>T3-Y3</f>
        <v>0</v>
      </c>
      <c r="Y3" s="42">
        <v>575</v>
      </c>
      <c r="Z3" s="21">
        <f t="shared" ref="Z3" si="2" xml:space="preserve"> W3/T3</f>
        <v>0.37391304347826088</v>
      </c>
      <c r="AA3" s="21">
        <f>X3/T3</f>
        <v>0</v>
      </c>
    </row>
    <row r="4" spans="1:28" x14ac:dyDescent="0.45">
      <c r="A4" t="s">
        <v>183</v>
      </c>
      <c r="B4" s="44">
        <v>43194</v>
      </c>
      <c r="C4" s="44">
        <v>43207</v>
      </c>
      <c r="D4" s="41">
        <v>2442</v>
      </c>
      <c r="E4" s="48">
        <v>2350</v>
      </c>
      <c r="F4" s="42">
        <v>1008</v>
      </c>
      <c r="G4" s="42">
        <v>569.5</v>
      </c>
      <c r="H4" s="42">
        <v>117.5</v>
      </c>
      <c r="I4" s="42">
        <v>2324.5</v>
      </c>
      <c r="J4" s="21">
        <f t="shared" ref="J4" si="3" xml:space="preserve"> G4/D4</f>
        <v>0.23321048321048321</v>
      </c>
      <c r="K4" s="21">
        <f t="shared" ref="K4" si="4" xml:space="preserve"> H4/D4</f>
        <v>4.8116298116298119E-2</v>
      </c>
      <c r="L4" s="43">
        <v>1327</v>
      </c>
      <c r="M4" s="48">
        <v>1400</v>
      </c>
      <c r="N4" s="42">
        <v>273</v>
      </c>
      <c r="O4" s="42">
        <v>134</v>
      </c>
      <c r="P4" s="42">
        <v>53</v>
      </c>
      <c r="Q4" s="42">
        <v>1274</v>
      </c>
      <c r="R4" s="21">
        <f t="shared" ref="R4" si="5" xml:space="preserve"> O4/L4</f>
        <v>0.10097965335342879</v>
      </c>
      <c r="S4" s="21">
        <f t="shared" ref="S4" si="6" xml:space="preserve"> P4/L4</f>
        <v>3.9939713639788994E-2</v>
      </c>
      <c r="T4" s="41">
        <v>696</v>
      </c>
      <c r="U4" s="48">
        <v>675</v>
      </c>
      <c r="V4" s="42">
        <v>389</v>
      </c>
      <c r="W4" s="42">
        <v>261</v>
      </c>
      <c r="X4" s="42">
        <v>42</v>
      </c>
      <c r="Y4" s="42">
        <v>654</v>
      </c>
      <c r="Z4" s="21">
        <f t="shared" ref="Z4" si="7" xml:space="preserve"> W4/T4</f>
        <v>0.375</v>
      </c>
      <c r="AA4" s="21">
        <f t="shared" ref="AA4" si="8">X4/T4</f>
        <v>6.0344827586206899E-2</v>
      </c>
    </row>
    <row r="5" spans="1:28" x14ac:dyDescent="0.45">
      <c r="A5" t="s">
        <v>184</v>
      </c>
      <c r="B5" s="44">
        <v>43208</v>
      </c>
      <c r="C5" s="44">
        <v>43221</v>
      </c>
      <c r="D5" s="41">
        <v>2743.8</v>
      </c>
      <c r="E5" s="48">
        <v>2350</v>
      </c>
      <c r="F5" s="42">
        <v>2218.3000000000002</v>
      </c>
      <c r="G5" s="42">
        <v>811</v>
      </c>
      <c r="H5" s="42">
        <v>344.5</v>
      </c>
      <c r="I5" s="42">
        <v>2399.3000000000002</v>
      </c>
      <c r="J5" s="21">
        <f t="shared" ref="J5" si="9" xml:space="preserve"> G5/D5</f>
        <v>0.2955754792623369</v>
      </c>
      <c r="K5" s="21">
        <f xml:space="preserve"> H5/D5</f>
        <v>0.12555579852758947</v>
      </c>
      <c r="L5" s="43">
        <v>1672.3</v>
      </c>
      <c r="M5" s="48">
        <v>1400</v>
      </c>
      <c r="N5" s="42">
        <v>1213.3</v>
      </c>
      <c r="O5" s="42">
        <v>268</v>
      </c>
      <c r="P5" s="42">
        <v>128</v>
      </c>
      <c r="Q5" s="42">
        <v>1544.3</v>
      </c>
      <c r="R5" s="21">
        <f t="shared" ref="R5" si="10" xml:space="preserve"> O5/L5</f>
        <v>0.16025832685522934</v>
      </c>
      <c r="S5" s="21">
        <f t="shared" ref="S5" si="11" xml:space="preserve"> P5/L5</f>
        <v>7.6541290438318491E-2</v>
      </c>
      <c r="T5" s="41">
        <v>645</v>
      </c>
      <c r="U5" s="48">
        <v>675</v>
      </c>
      <c r="V5" s="42">
        <v>615</v>
      </c>
      <c r="W5" s="42">
        <v>365</v>
      </c>
      <c r="X5" s="42">
        <v>119.5</v>
      </c>
      <c r="Y5" s="42">
        <v>525.5</v>
      </c>
      <c r="Z5" s="21">
        <f t="shared" ref="Z5" si="12" xml:space="preserve"> W5/T5</f>
        <v>0.56589147286821706</v>
      </c>
      <c r="AA5" s="21">
        <f t="shared" ref="AA5" si="13">X5/T5</f>
        <v>0.18527131782945735</v>
      </c>
    </row>
    <row r="6" spans="1:28" x14ac:dyDescent="0.45">
      <c r="A6" t="s">
        <v>185</v>
      </c>
      <c r="B6" s="44">
        <v>43222</v>
      </c>
      <c r="C6" s="44">
        <v>43235</v>
      </c>
      <c r="D6" s="41">
        <v>2412</v>
      </c>
      <c r="E6" s="48">
        <v>2350</v>
      </c>
      <c r="F6" s="42">
        <v>2128.5</v>
      </c>
      <c r="G6" s="42">
        <v>974</v>
      </c>
      <c r="H6" s="42">
        <f t="shared" ref="H6:H7" si="14">D6-I6</f>
        <v>552.5</v>
      </c>
      <c r="I6" s="42">
        <v>1859.5</v>
      </c>
      <c r="J6" s="21">
        <f t="shared" ref="J6" si="15" xml:space="preserve"> G6/D6</f>
        <v>0.40381426202321724</v>
      </c>
      <c r="K6" s="21">
        <f t="shared" ref="K6" si="16" xml:space="preserve"> H6/D6</f>
        <v>0.22906301824212272</v>
      </c>
      <c r="L6" s="43">
        <v>1479</v>
      </c>
      <c r="M6" s="48">
        <v>1400</v>
      </c>
      <c r="N6" s="42">
        <v>1226.5</v>
      </c>
      <c r="O6" s="42">
        <v>336.5</v>
      </c>
      <c r="P6" s="42">
        <f t="shared" ref="P6:P7" si="17">L6-Q6</f>
        <v>211.5</v>
      </c>
      <c r="Q6" s="42">
        <v>1267.5</v>
      </c>
      <c r="R6" s="21">
        <f t="shared" ref="R6" si="18" xml:space="preserve"> O6/L6</f>
        <v>0.22751859364435428</v>
      </c>
      <c r="S6" s="21">
        <f t="shared" ref="S6" si="19" xml:space="preserve"> P6/L6</f>
        <v>0.14300202839756593</v>
      </c>
      <c r="T6" s="41">
        <v>665.5</v>
      </c>
      <c r="U6" s="48">
        <v>675</v>
      </c>
      <c r="V6">
        <v>635.5</v>
      </c>
      <c r="W6" s="42">
        <v>464</v>
      </c>
      <c r="X6" s="42">
        <f t="shared" ref="X6:X7" si="20">T6-Y6</f>
        <v>203.5</v>
      </c>
      <c r="Y6" s="42">
        <v>462</v>
      </c>
      <c r="Z6" s="21">
        <f t="shared" ref="Z6:Z7" si="21" xml:space="preserve"> W6/T6</f>
        <v>0.69722013523666415</v>
      </c>
      <c r="AA6" s="21">
        <f t="shared" ref="AA6" si="22">X6/T6</f>
        <v>0.30578512396694213</v>
      </c>
    </row>
    <row r="7" spans="1:28" x14ac:dyDescent="0.45">
      <c r="A7" t="s">
        <v>186</v>
      </c>
      <c r="B7" s="44">
        <v>43236</v>
      </c>
      <c r="C7" s="44">
        <v>43249</v>
      </c>
      <c r="D7" s="41">
        <v>2437.5</v>
      </c>
      <c r="E7" s="48">
        <v>2350</v>
      </c>
      <c r="F7" s="42">
        <v>2265</v>
      </c>
      <c r="G7" s="42">
        <v>1172.5</v>
      </c>
      <c r="H7" s="42">
        <f t="shared" si="14"/>
        <v>696.5</v>
      </c>
      <c r="I7" s="42">
        <v>1741</v>
      </c>
      <c r="J7" s="21">
        <f t="shared" ref="J7" si="23" xml:space="preserve"> G7/D7</f>
        <v>0.48102564102564105</v>
      </c>
      <c r="K7" s="21">
        <f t="shared" ref="K7" si="24" xml:space="preserve"> H7/D7</f>
        <v>0.28574358974358977</v>
      </c>
      <c r="L7" s="43">
        <v>1427.5</v>
      </c>
      <c r="M7" s="48">
        <v>1400</v>
      </c>
      <c r="N7" s="42">
        <v>1283</v>
      </c>
      <c r="O7" s="42">
        <v>392</v>
      </c>
      <c r="P7" s="42">
        <f t="shared" si="17"/>
        <v>266.5</v>
      </c>
      <c r="Q7" s="42">
        <v>1161</v>
      </c>
      <c r="R7" s="21">
        <f t="shared" ref="R7" si="25" xml:space="preserve"> O7/L7</f>
        <v>0.2746059544658494</v>
      </c>
      <c r="S7" s="21">
        <f t="shared" ref="S7" si="26" xml:space="preserve"> P7/L7</f>
        <v>0.18669001751313485</v>
      </c>
      <c r="T7" s="41">
        <v>734</v>
      </c>
      <c r="U7" s="48">
        <v>675</v>
      </c>
      <c r="V7" s="42">
        <v>707</v>
      </c>
      <c r="W7" s="42">
        <v>597.5</v>
      </c>
      <c r="X7" s="42">
        <f t="shared" si="20"/>
        <v>276</v>
      </c>
      <c r="Y7" s="42">
        <v>458</v>
      </c>
      <c r="Z7" s="21">
        <f t="shared" si="21"/>
        <v>0.81403269754768393</v>
      </c>
      <c r="AA7" s="21">
        <f t="shared" ref="AA7" si="27">X7/T7</f>
        <v>0.37602179836512262</v>
      </c>
    </row>
    <row r="8" spans="1:28" x14ac:dyDescent="0.45">
      <c r="A8" t="s">
        <v>187</v>
      </c>
      <c r="B8" s="44">
        <v>43250</v>
      </c>
      <c r="C8" s="44">
        <v>43263</v>
      </c>
      <c r="D8" s="41">
        <v>2462.5</v>
      </c>
      <c r="E8" s="48">
        <v>2350</v>
      </c>
      <c r="F8" s="42">
        <v>2354.5</v>
      </c>
      <c r="G8" s="42">
        <v>1363.5</v>
      </c>
      <c r="H8" s="42">
        <f t="shared" ref="H8" si="28">D8-I8</f>
        <v>865.5</v>
      </c>
      <c r="I8" s="42">
        <v>1597</v>
      </c>
      <c r="J8" s="21">
        <f t="shared" ref="J8" si="29" xml:space="preserve"> G8/D8</f>
        <v>0.55370558375634515</v>
      </c>
      <c r="K8" s="21">
        <f t="shared" ref="K8" si="30" xml:space="preserve"> H8/D8</f>
        <v>0.35147208121827411</v>
      </c>
      <c r="L8" s="43">
        <v>1400.5</v>
      </c>
      <c r="M8" s="48">
        <v>1400</v>
      </c>
      <c r="N8" s="42">
        <v>1336.5</v>
      </c>
      <c r="O8" s="42">
        <v>476.5</v>
      </c>
      <c r="P8" s="42">
        <f t="shared" ref="P8" si="31">L8-Q8</f>
        <v>368</v>
      </c>
      <c r="Q8" s="42">
        <v>1032.5</v>
      </c>
      <c r="R8" s="21">
        <f t="shared" ref="R8" si="32" xml:space="preserve"> O8/L8</f>
        <v>0.34023563013209568</v>
      </c>
      <c r="S8" s="21">
        <f t="shared" ref="S8" si="33" xml:space="preserve"> P8/L8</f>
        <v>0.26276329882184934</v>
      </c>
      <c r="T8" s="41">
        <v>763</v>
      </c>
      <c r="U8" s="48">
        <v>675</v>
      </c>
      <c r="V8" s="42">
        <v>726</v>
      </c>
      <c r="W8" s="42">
        <v>675</v>
      </c>
      <c r="X8" s="42">
        <f t="shared" ref="X8" si="34">T8-Y8</f>
        <v>335.5</v>
      </c>
      <c r="Y8" s="42">
        <v>427.5</v>
      </c>
      <c r="Z8" s="21">
        <f t="shared" ref="Z8" si="35" xml:space="preserve"> W8/T8</f>
        <v>0.88466579292267367</v>
      </c>
      <c r="AA8" s="21">
        <f t="shared" ref="AA8" si="36">X8/T8</f>
        <v>0.4397116644823067</v>
      </c>
    </row>
    <row r="9" spans="1:28" x14ac:dyDescent="0.45">
      <c r="A9" t="s">
        <v>188</v>
      </c>
      <c r="B9" s="44">
        <v>43264</v>
      </c>
      <c r="C9" s="44">
        <v>43277</v>
      </c>
      <c r="D9" s="41">
        <v>2257</v>
      </c>
      <c r="E9" s="48">
        <v>2350</v>
      </c>
      <c r="F9" s="42">
        <v>2157.5</v>
      </c>
      <c r="G9" s="42">
        <v>1478</v>
      </c>
      <c r="H9" s="42">
        <f t="shared" ref="H9" si="37">D9-I9</f>
        <v>1072.5</v>
      </c>
      <c r="I9" s="42">
        <v>1184.5</v>
      </c>
      <c r="J9" s="21">
        <f t="shared" ref="J9" si="38" xml:space="preserve"> G9/D9</f>
        <v>0.6548515728843598</v>
      </c>
      <c r="K9" s="21">
        <f t="shared" ref="K9" si="39" xml:space="preserve"> H9/D9</f>
        <v>0.47518830305715554</v>
      </c>
      <c r="L9" s="43">
        <v>1190.5</v>
      </c>
      <c r="M9" s="48">
        <v>1400</v>
      </c>
      <c r="N9" s="42">
        <v>1130</v>
      </c>
      <c r="O9" s="42">
        <v>558.5</v>
      </c>
      <c r="P9" s="42">
        <f t="shared" ref="P9" si="40">L9-Q9</f>
        <v>447</v>
      </c>
      <c r="Q9" s="42">
        <v>743.5</v>
      </c>
      <c r="R9" s="21">
        <f t="shared" ref="R9" si="41" xml:space="preserve"> O9/L9</f>
        <v>0.46913061738765227</v>
      </c>
      <c r="S9" s="21">
        <f t="shared" ref="S9:S10" si="42" xml:space="preserve"> P9/L9</f>
        <v>0.375472490550189</v>
      </c>
      <c r="T9" s="41">
        <v>764</v>
      </c>
      <c r="U9" s="48">
        <v>675</v>
      </c>
      <c r="V9" s="42">
        <v>733</v>
      </c>
      <c r="W9" s="42">
        <v>682</v>
      </c>
      <c r="X9" s="42">
        <f t="shared" ref="X9" si="43">T9-Y9</f>
        <v>442.5</v>
      </c>
      <c r="Y9" s="42">
        <v>321.5</v>
      </c>
      <c r="Z9" s="21">
        <f t="shared" ref="Z9" si="44" xml:space="preserve"> W9/T9</f>
        <v>0.89267015706806285</v>
      </c>
      <c r="AA9" s="21">
        <f t="shared" ref="AA9" si="45">X9/T9</f>
        <v>0.57918848167539272</v>
      </c>
    </row>
    <row r="10" spans="1:28" ht="13.9" customHeight="1" x14ac:dyDescent="0.45">
      <c r="A10" t="s">
        <v>189</v>
      </c>
      <c r="B10" s="44">
        <v>43278</v>
      </c>
      <c r="C10" s="44">
        <v>43291</v>
      </c>
      <c r="D10" s="41">
        <v>2264.5</v>
      </c>
      <c r="E10" s="48">
        <v>2350</v>
      </c>
      <c r="F10" s="42">
        <v>2177</v>
      </c>
      <c r="G10" s="42">
        <v>1563.5</v>
      </c>
      <c r="H10" s="42">
        <f t="shared" ref="H10" si="46">D10-I10</f>
        <v>1263.5</v>
      </c>
      <c r="I10" s="42">
        <v>1001</v>
      </c>
      <c r="J10" s="21">
        <f t="shared" ref="J10" si="47" xml:space="preserve"> G10/D10</f>
        <v>0.6904393905939501</v>
      </c>
      <c r="K10" s="21">
        <f t="shared" ref="K10" si="48" xml:space="preserve"> H10/D10</f>
        <v>0.55795981452859356</v>
      </c>
      <c r="L10" s="43">
        <v>1171</v>
      </c>
      <c r="M10" s="48">
        <v>1400</v>
      </c>
      <c r="N10" s="42">
        <v>1113.5</v>
      </c>
      <c r="O10" s="42">
        <v>614</v>
      </c>
      <c r="P10" s="42">
        <f t="shared" ref="P10" si="49">L10-Q10</f>
        <v>537</v>
      </c>
      <c r="Q10" s="42">
        <v>634</v>
      </c>
      <c r="R10" s="21">
        <f t="shared" ref="R10" si="50" xml:space="preserve"> O10/L10</f>
        <v>0.52433817250213488</v>
      </c>
      <c r="S10" s="21">
        <f t="shared" si="42"/>
        <v>0.45858240819812124</v>
      </c>
      <c r="T10" s="41">
        <v>777</v>
      </c>
      <c r="U10" s="48">
        <v>675</v>
      </c>
      <c r="V10" s="42">
        <v>755</v>
      </c>
      <c r="W10" s="42">
        <v>704</v>
      </c>
      <c r="X10" s="42">
        <f t="shared" ref="X10" si="51">T10-Y10</f>
        <v>527.5</v>
      </c>
      <c r="Y10" s="42">
        <v>249.5</v>
      </c>
      <c r="Z10" s="21">
        <f t="shared" ref="Z10" si="52" xml:space="preserve"> W10/T10</f>
        <v>0.90604890604890609</v>
      </c>
      <c r="AA10" s="21">
        <f t="shared" ref="AA10" si="53">X10/T10</f>
        <v>0.67889317889317891</v>
      </c>
    </row>
    <row r="11" spans="1:28" x14ac:dyDescent="0.45">
      <c r="A11" t="s">
        <v>190</v>
      </c>
      <c r="B11" s="44">
        <v>43292</v>
      </c>
      <c r="C11" s="44">
        <v>43298</v>
      </c>
      <c r="D11" s="41">
        <v>2220.5</v>
      </c>
      <c r="E11" s="48">
        <v>2350</v>
      </c>
      <c r="F11" s="42">
        <v>2144</v>
      </c>
      <c r="G11" s="42">
        <v>1699.5</v>
      </c>
      <c r="H11" s="42">
        <f t="shared" ref="H11:H12" si="54">D11-I11</f>
        <v>1310.5</v>
      </c>
      <c r="I11" s="42">
        <v>910</v>
      </c>
      <c r="J11" s="21">
        <f t="shared" ref="J11" si="55" xml:space="preserve"> G11/D11</f>
        <v>0.76536816032425126</v>
      </c>
      <c r="K11" s="21">
        <f t="shared" ref="K11" si="56" xml:space="preserve"> H11/D11</f>
        <v>0.59018239135329875</v>
      </c>
      <c r="L11" s="43">
        <v>1106</v>
      </c>
      <c r="M11" s="48">
        <v>1400</v>
      </c>
      <c r="N11" s="42">
        <v>1050.5</v>
      </c>
      <c r="O11" s="42">
        <v>709</v>
      </c>
      <c r="P11" s="42">
        <f t="shared" ref="P11" si="57">L11-Q11</f>
        <v>579.5</v>
      </c>
      <c r="Q11" s="42">
        <v>526.5</v>
      </c>
      <c r="R11" s="21">
        <f t="shared" ref="R11" si="58" xml:space="preserve"> O11/L11</f>
        <v>0.6410488245931284</v>
      </c>
      <c r="S11" s="21">
        <f t="shared" ref="S11" si="59" xml:space="preserve"> P11/L11</f>
        <v>0.52396021699819173</v>
      </c>
      <c r="T11" s="41">
        <v>787</v>
      </c>
      <c r="U11" s="48">
        <v>675</v>
      </c>
      <c r="V11" s="42">
        <v>777</v>
      </c>
      <c r="W11" s="42">
        <v>734</v>
      </c>
      <c r="X11" s="42">
        <f t="shared" ref="X11" si="60">T11-Y11</f>
        <v>527.5</v>
      </c>
      <c r="Y11" s="42">
        <v>259.5</v>
      </c>
      <c r="Z11" s="21">
        <f t="shared" ref="Z11" si="61" xml:space="preserve"> W11/T11</f>
        <v>0.93265565438373565</v>
      </c>
      <c r="AA11" s="21">
        <f t="shared" ref="AA11" si="62">X11/T11</f>
        <v>0.67026683608640403</v>
      </c>
    </row>
    <row r="12" spans="1:28" x14ac:dyDescent="0.45">
      <c r="A12" t="s">
        <v>191</v>
      </c>
      <c r="B12" s="44">
        <v>43299</v>
      </c>
      <c r="C12" s="44">
        <v>43312</v>
      </c>
      <c r="D12" s="41" t="e">
        <f>GETPIVOTDATA("Epic Total Estimate", Features!$A$5, "Type", "Epic")</f>
        <v>#REF!</v>
      </c>
      <c r="E12" s="48">
        <v>2350</v>
      </c>
      <c r="F12" s="42" t="e">
        <f>GETPIVOTDATA("Stories Estimate", Features!$A$5, "Type", "Epic")</f>
        <v>#REF!</v>
      </c>
      <c r="G12" s="42" t="e">
        <f>GETPIVOTDATA("Epic Decomposed", Features!$A$5, "Type", "Epic")</f>
        <v>#REF!</v>
      </c>
      <c r="H12" s="42" t="e">
        <f t="shared" si="54"/>
        <v>#REF!</v>
      </c>
      <c r="I12" s="42" t="e">
        <f>GETPIVOTDATA("Epic Remaining Estimate", Features!$A$5, "Type", "Epic")</f>
        <v>#REF!</v>
      </c>
      <c r="J12" s="21" t="e">
        <f t="shared" ref="J12" si="63" xml:space="preserve"> G12/D12</f>
        <v>#REF!</v>
      </c>
      <c r="K12" s="21" t="e">
        <f t="shared" ref="K12" si="64" xml:space="preserve"> H12/D12</f>
        <v>#REF!</v>
      </c>
      <c r="L12" s="43" t="e">
        <f>GETPIVOTDATA("Epic Total Estimate", Features!$A$5, "Type", "Epic", "ST:Components", "Diagram Editor")</f>
        <v>#REF!</v>
      </c>
      <c r="M12" s="48">
        <v>1400</v>
      </c>
      <c r="N12" s="42" t="e">
        <f>GETPIVOTDATA("Stories Estimate", Features!$A$5, "Type", "Epic", "ST:Components", "Diagram Editor")</f>
        <v>#REF!</v>
      </c>
      <c r="O12" s="42" t="e">
        <f>GETPIVOTDATA("Epic Decomposed", Features!$A$5, "Type", "Epic", "ST:Components", "Diagram Editor")</f>
        <v>#REF!</v>
      </c>
      <c r="P12" s="42" t="e">
        <f t="shared" ref="P12" si="65">L12-Q12</f>
        <v>#REF!</v>
      </c>
      <c r="Q12" s="42" t="e">
        <f>GETPIVOTDATA("Epic Remaining Estimate", Features!$A$5, "Type", "Epic", "ST:Components", "Diagram Editor")</f>
        <v>#REF!</v>
      </c>
      <c r="R12" s="21" t="e">
        <f t="shared" ref="R12" si="66" xml:space="preserve"> O12/L12</f>
        <v>#REF!</v>
      </c>
      <c r="S12" s="21" t="e">
        <f t="shared" ref="S12" si="67" xml:space="preserve"> P12/L12</f>
        <v>#REF!</v>
      </c>
      <c r="T12" s="41" t="e">
        <f>GETPIVOTDATA("Epic Total Estimate", Features!$A$5, "Type", "Epic", "ST:Components", "Artifact List")</f>
        <v>#REF!</v>
      </c>
      <c r="U12" s="48">
        <v>675</v>
      </c>
      <c r="V12" s="42" t="e">
        <f>GETPIVOTDATA("Stories Estimate", Features!$A$5, "Type", "Epic", "ST:Components", "Artifact List")</f>
        <v>#REF!</v>
      </c>
      <c r="W12" s="42" t="e">
        <f>GETPIVOTDATA("Epic Decomposed", Features!$A$5, "Type", "Epic", "ST:Components", "Artifact List")</f>
        <v>#REF!</v>
      </c>
      <c r="X12" s="42" t="e">
        <f t="shared" ref="X12" si="68">T12-Y12</f>
        <v>#REF!</v>
      </c>
      <c r="Y12" s="42" t="e">
        <f>GETPIVOTDATA("Epic Remaining Estimate", Features!$A$5, "Type", "Epic", "ST:Components", "Artifact List")</f>
        <v>#REF!</v>
      </c>
      <c r="Z12" s="21" t="e">
        <f t="shared" ref="Z12" si="69" xml:space="preserve"> W12/T12</f>
        <v>#REF!</v>
      </c>
      <c r="AA12" s="21" t="e">
        <f t="shared" ref="AA12" si="70">X12/T12</f>
        <v>#REF!</v>
      </c>
    </row>
    <row r="13" spans="1:28" x14ac:dyDescent="0.45">
      <c r="A13" t="s">
        <v>192</v>
      </c>
      <c r="B13" s="44">
        <v>43313</v>
      </c>
      <c r="C13" s="44">
        <v>43326</v>
      </c>
      <c r="E13" s="48">
        <v>2350</v>
      </c>
      <c r="M13" s="48">
        <v>1400</v>
      </c>
      <c r="U13" s="48">
        <v>675</v>
      </c>
    </row>
    <row r="14" spans="1:28" x14ac:dyDescent="0.45">
      <c r="A14" t="s">
        <v>194</v>
      </c>
      <c r="B14" s="44">
        <v>43327</v>
      </c>
      <c r="C14" s="44">
        <v>43340</v>
      </c>
      <c r="E14" s="48">
        <v>2350</v>
      </c>
      <c r="M14" s="48">
        <v>1400</v>
      </c>
      <c r="U14" s="48">
        <v>675</v>
      </c>
    </row>
    <row r="15" spans="1:28" x14ac:dyDescent="0.45">
      <c r="A15" t="s">
        <v>193</v>
      </c>
      <c r="B15" s="44">
        <v>43341</v>
      </c>
      <c r="C15" s="44">
        <v>43354</v>
      </c>
      <c r="E15" s="48">
        <v>2350</v>
      </c>
      <c r="M15" s="48">
        <v>1400</v>
      </c>
      <c r="U15" s="48">
        <v>675</v>
      </c>
    </row>
    <row r="16" spans="1:28" x14ac:dyDescent="0.45">
      <c r="A16" t="s">
        <v>195</v>
      </c>
      <c r="B16" s="44">
        <v>43355</v>
      </c>
      <c r="C16" s="44">
        <v>43368</v>
      </c>
      <c r="E16" s="48">
        <v>2350</v>
      </c>
      <c r="M16" s="48">
        <v>1400</v>
      </c>
      <c r="U16" s="48">
        <v>675</v>
      </c>
    </row>
    <row r="17" spans="1:21" x14ac:dyDescent="0.45">
      <c r="A17" t="s">
        <v>196</v>
      </c>
      <c r="B17" s="46">
        <v>43369</v>
      </c>
      <c r="C17" s="46">
        <v>43382</v>
      </c>
      <c r="E17" s="48">
        <v>2350</v>
      </c>
      <c r="M17" s="48">
        <v>1400</v>
      </c>
      <c r="U17" s="48">
        <v>675</v>
      </c>
    </row>
    <row r="18" spans="1:21" x14ac:dyDescent="0.45">
      <c r="B18" s="45"/>
    </row>
  </sheetData>
  <mergeCells count="4">
    <mergeCell ref="A1:C1"/>
    <mergeCell ref="D1:K1"/>
    <mergeCell ref="L1:S1"/>
    <mergeCell ref="T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</vt:lpstr>
      <vt:lpstr>Issues</vt:lpstr>
      <vt:lpstr>Sprint Metrics</vt:lpstr>
      <vt:lpstr>Progress Charts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2018-07-18T11:40:43Z</dcterms:modified>
</cp:coreProperties>
</file>