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933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OFFSET(Issues!$A$1,0,0,COUNTA(Issues!$A$1:$A$10003),COUNTA(Issues!$A$1:$AAO$1) - 1)</definedName>
  </definedNames>
  <calcPr calcId="171027"/>
  <pivotCaches>
    <pivotCache cacheId="99" r:id="rId18"/>
  </pivotCaches>
  <fileRecoveryPr autoRecover="0"/>
</workbook>
</file>

<file path=xl/calcChain.xml><?xml version="1.0" encoding="utf-8"?>
<calcChain xmlns="http://schemas.openxmlformats.org/spreadsheetml/2006/main">
  <c r="T11" i="9" l="1"/>
  <c r="C29" i="24"/>
  <c r="D29" i="24"/>
  <c r="V12" i="26"/>
  <c r="Y12" i="26"/>
  <c r="T12" i="26"/>
  <c r="W12" i="26"/>
  <c r="N12" i="26"/>
  <c r="Q12" i="26"/>
  <c r="O12" i="26"/>
  <c r="L12" i="26"/>
  <c r="I12" i="26"/>
  <c r="F12" i="26"/>
  <c r="G12" i="26"/>
  <c r="D12" i="26"/>
  <c r="Z12" i="26" l="1"/>
  <c r="X12" i="26"/>
  <c r="AA12" i="26" s="1"/>
  <c r="P12" i="26"/>
  <c r="S12" i="26" s="1"/>
  <c r="R12" i="26"/>
  <c r="H12" i="26"/>
  <c r="K12" i="26" s="1"/>
  <c r="J12" i="26"/>
  <c r="U12" i="9"/>
  <c r="S12" i="9"/>
  <c r="Q12" i="9"/>
  <c r="N12" i="9"/>
  <c r="M12" i="9"/>
  <c r="O12" i="9"/>
  <c r="AA10" i="26" l="1"/>
  <c r="Z10" i="26"/>
  <c r="X10" i="26"/>
  <c r="R10" i="26"/>
  <c r="P10" i="26"/>
  <c r="S10" i="26" s="1"/>
  <c r="J10" i="26"/>
  <c r="H10" i="26"/>
  <c r="K10" i="26" s="1"/>
  <c r="AA9" i="26"/>
  <c r="Z9" i="26"/>
  <c r="X9" i="26"/>
  <c r="S9" i="26"/>
  <c r="R9" i="26"/>
  <c r="P9" i="26"/>
  <c r="J9" i="26"/>
  <c r="H9" i="26"/>
  <c r="K9" i="26" s="1"/>
  <c r="Z8" i="26"/>
  <c r="X8" i="26"/>
  <c r="AA8" i="26" s="1"/>
  <c r="R8" i="26"/>
  <c r="P8" i="26"/>
  <c r="S8" i="26" s="1"/>
  <c r="K8" i="26"/>
  <c r="J8" i="26"/>
  <c r="H8" i="26"/>
  <c r="Z7" i="26"/>
  <c r="X7" i="26"/>
  <c r="AA7" i="26" s="1"/>
  <c r="R7" i="26"/>
  <c r="P7" i="26"/>
  <c r="S7" i="26" s="1"/>
  <c r="K7" i="26"/>
  <c r="J7" i="26"/>
  <c r="H7" i="26"/>
  <c r="AA6" i="26"/>
  <c r="Z6" i="26"/>
  <c r="X6" i="26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S3" i="26"/>
  <c r="R3" i="26"/>
  <c r="P3" i="26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T3" i="9" l="1"/>
  <c r="T4" i="9"/>
  <c r="T5" i="9"/>
  <c r="T6" i="9"/>
  <c r="T7" i="9"/>
  <c r="T8" i="9"/>
  <c r="T9" i="9"/>
  <c r="T10" i="9"/>
  <c r="T12" i="9"/>
  <c r="T13" i="9"/>
  <c r="T14" i="9"/>
  <c r="T15" i="9"/>
  <c r="L9" i="9"/>
  <c r="L10" i="9"/>
  <c r="L11" i="9"/>
  <c r="L12" i="9"/>
  <c r="L13" i="9"/>
  <c r="L14" i="9"/>
  <c r="L15" i="9"/>
  <c r="L8" i="9"/>
  <c r="L7" i="9"/>
  <c r="L6" i="9"/>
  <c r="L5" i="9"/>
  <c r="L4" i="9"/>
  <c r="R9" i="22" l="1"/>
  <c r="R3" i="9" l="1"/>
  <c r="P3" i="9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l="1"/>
  <c r="B19" i="9" s="1"/>
  <c r="B2" i="9"/>
  <c r="B1" i="12"/>
  <c r="AE34" i="2" l="1"/>
  <c r="AE32" i="2"/>
  <c r="AE36" i="2"/>
  <c r="AE35" i="2"/>
  <c r="AE33" i="2"/>
  <c r="AE31" i="2"/>
  <c r="AE30" i="2"/>
  <c r="H36" i="9"/>
  <c r="B14" i="9"/>
  <c r="B12" i="15"/>
  <c r="B10" i="9"/>
  <c r="H12" i="15"/>
  <c r="E12" i="15"/>
  <c r="K12" i="15"/>
  <c r="B15" i="9" l="1"/>
  <c r="B11" i="9"/>
  <c r="E36" i="9"/>
  <c r="B35" i="9" l="1"/>
  <c r="B6" i="9"/>
  <c r="J4" i="9" l="1"/>
  <c r="E15" i="12" l="1"/>
  <c r="C18" i="14"/>
  <c r="E14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H17" i="9"/>
  <c r="J17" i="9" s="1"/>
  <c r="I17" i="9"/>
  <c r="K16" i="9" l="1"/>
  <c r="P16" i="9" s="1"/>
  <c r="K17" i="9"/>
  <c r="K4" i="9"/>
  <c r="K7" i="9"/>
  <c r="K5" i="9"/>
  <c r="K8" i="9"/>
  <c r="K6" i="9"/>
  <c r="K9" i="9"/>
  <c r="K11" i="9"/>
  <c r="K10" i="9"/>
  <c r="K14" i="9"/>
  <c r="K13" i="9"/>
  <c r="K12" i="9"/>
  <c r="K15" i="9"/>
  <c r="B7" i="9"/>
  <c r="R16" i="9" l="1"/>
  <c r="P15" i="9"/>
  <c r="R15" i="9"/>
  <c r="P8" i="9"/>
  <c r="R8" i="9"/>
  <c r="R12" i="9"/>
  <c r="P12" i="9"/>
  <c r="P5" i="9"/>
  <c r="R5" i="9"/>
  <c r="R4" i="9"/>
  <c r="P4" i="9"/>
  <c r="P17" i="9"/>
  <c r="R17" i="9"/>
  <c r="P7" i="9"/>
  <c r="R7" i="9"/>
  <c r="R14" i="9"/>
  <c r="P14" i="9"/>
  <c r="P9" i="9"/>
  <c r="R9" i="9"/>
  <c r="P6" i="9"/>
  <c r="R6" i="9"/>
  <c r="R13" i="9"/>
  <c r="P13" i="9"/>
  <c r="P10" i="9"/>
  <c r="R10" i="9"/>
  <c r="P11" i="9"/>
  <c r="R11" i="9"/>
</calcChain>
</file>

<file path=xl/sharedStrings.xml><?xml version="1.0" encoding="utf-8"?>
<sst xmlns="http://schemas.openxmlformats.org/spreadsheetml/2006/main" count="969" uniqueCount="276">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</sst>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0.55172413793103448</c:v>
                </c:pt>
                <c:pt idx="1">
                  <c:v>0.44827586206896552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0.63366336633663367</c:v>
                </c:pt>
                <c:pt idx="1">
                  <c:v>0.36633663366336633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4.9504950495049507E-2</c:v>
                </c:pt>
                <c:pt idx="2">
                  <c:v>0.14851485148514851</c:v>
                </c:pt>
                <c:pt idx="3">
                  <c:v>0.24752475247524752</c:v>
                </c:pt>
                <c:pt idx="4">
                  <c:v>0.33663366336633666</c:v>
                </c:pt>
                <c:pt idx="5">
                  <c:v>0.43564356435643564</c:v>
                </c:pt>
                <c:pt idx="6">
                  <c:v>0.53465346534653468</c:v>
                </c:pt>
                <c:pt idx="7">
                  <c:v>0.62376237623762376</c:v>
                </c:pt>
                <c:pt idx="8">
                  <c:v>0.62376237623762376</c:v>
                </c:pt>
                <c:pt idx="9">
                  <c:v>0.72277227722772275</c:v>
                </c:pt>
                <c:pt idx="10">
                  <c:v>0.81188118811881194</c:v>
                </c:pt>
                <c:pt idx="11">
                  <c:v>0.91089108910891092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675</c:v>
                </c:pt>
                <c:pt idx="1">
                  <c:v>641.58415841584156</c:v>
                </c:pt>
                <c:pt idx="2">
                  <c:v>574.75247524752479</c:v>
                </c:pt>
                <c:pt idx="3">
                  <c:v>507.9207920792079</c:v>
                </c:pt>
                <c:pt idx="4">
                  <c:v>447.77227722772273</c:v>
                </c:pt>
                <c:pt idx="5">
                  <c:v>380.94059405940595</c:v>
                </c:pt>
                <c:pt idx="6">
                  <c:v>314.10891089108907</c:v>
                </c:pt>
                <c:pt idx="7">
                  <c:v>253.96039603960395</c:v>
                </c:pt>
                <c:pt idx="8">
                  <c:v>253.96039603960395</c:v>
                </c:pt>
                <c:pt idx="9">
                  <c:v>187.12871287128715</c:v>
                </c:pt>
                <c:pt idx="10">
                  <c:v>126.98019801980195</c:v>
                </c:pt>
                <c:pt idx="11">
                  <c:v>60.148514851485125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_ReadinessData!$C$20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_ReadinessData!$C$21:$C$34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_ReadinessData!$D$20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_ReadinessData!$D$21:$D$34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9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2350</c:v>
                </c:pt>
                <c:pt idx="1">
                  <c:v>2248.7068965517242</c:v>
                </c:pt>
                <c:pt idx="2">
                  <c:v>2046.1206896551726</c:v>
                </c:pt>
                <c:pt idx="3">
                  <c:v>1843.5344827586209</c:v>
                </c:pt>
                <c:pt idx="4">
                  <c:v>1661.206896551724</c:v>
                </c:pt>
                <c:pt idx="5">
                  <c:v>1458.6206896551726</c:v>
                </c:pt>
                <c:pt idx="6">
                  <c:v>1256.0344827586209</c:v>
                </c:pt>
                <c:pt idx="7">
                  <c:v>1073.706896551724</c:v>
                </c:pt>
                <c:pt idx="8">
                  <c:v>1073.706896551724</c:v>
                </c:pt>
                <c:pt idx="9">
                  <c:v>871.12068965517244</c:v>
                </c:pt>
                <c:pt idx="10">
                  <c:v>688.79310344827593</c:v>
                </c:pt>
                <c:pt idx="11">
                  <c:v>486.20689655172407</c:v>
                </c:pt>
                <c:pt idx="12">
                  <c:v>303.87931034482756</c:v>
                </c:pt>
                <c:pt idx="13">
                  <c:v>101.29310344827593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2350</c:v>
                </c:pt>
                <c:pt idx="1">
                  <c:v>2350</c:v>
                </c:pt>
                <c:pt idx="2">
                  <c:v>2350</c:v>
                </c:pt>
                <c:pt idx="3">
                  <c:v>2350</c:v>
                </c:pt>
                <c:pt idx="4">
                  <c:v>2350</c:v>
                </c:pt>
                <c:pt idx="5">
                  <c:v>2350</c:v>
                </c:pt>
                <c:pt idx="6">
                  <c:v>2350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0.55172413793103448</c:v>
                </c:pt>
                <c:pt idx="1">
                  <c:v>0.44827586206896552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299.483586111113" createdVersion="6" refreshedVersion="6" minRefreshableVersion="3" recordCount="90">
  <cacheSource type="worksheet">
    <worksheetSource name="issues"/>
  </cacheSource>
  <cacheFields count="46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</r>
  <r>
    <s v="key"/>
    <x v="3"/>
    <m/>
    <s v="NW"/>
    <x v="3"/>
    <m/>
    <m/>
    <m/>
    <m/>
    <m/>
    <x v="1"/>
    <m/>
    <m/>
    <m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</r>
  <r>
    <s v="key"/>
    <x v="4"/>
    <s v="NEEDS FOR FILTERING IN PIVOT TABLES"/>
    <s v="SoftTeco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</r>
  <r>
    <s v="key"/>
    <x v="5"/>
    <m/>
    <s v="Titan"/>
    <x v="5"/>
    <m/>
    <m/>
    <m/>
    <m/>
    <m/>
    <x v="1"/>
    <m/>
    <m/>
    <m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2"/>
    <x v="1"/>
    <m/>
    <x v="1"/>
    <m/>
    <m/>
    <m/>
    <m/>
    <m/>
    <m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3"/>
    <x v="1"/>
    <m/>
    <x v="1"/>
    <m/>
    <m/>
    <m/>
    <m/>
    <m/>
    <m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4"/>
    <x v="1"/>
    <m/>
    <x v="1"/>
    <m/>
    <m/>
    <m/>
    <m/>
    <m/>
    <m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5"/>
    <x v="1"/>
    <m/>
    <x v="1"/>
    <m/>
    <m/>
    <m/>
    <m/>
    <m/>
    <m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6"/>
    <x v="1"/>
    <m/>
    <x v="1"/>
    <m/>
    <m/>
    <m/>
    <m/>
    <m/>
    <m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7"/>
    <x v="1"/>
    <m/>
    <x v="1"/>
    <m/>
    <m/>
    <m/>
    <m/>
    <m/>
    <m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18"/>
    <x v="1"/>
    <x v="1"/>
    <x v="1"/>
    <x v="8"/>
    <x v="1"/>
    <m/>
    <x v="1"/>
    <m/>
    <m/>
    <m/>
    <m/>
    <m/>
    <m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6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7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hier="-1"/>
    <pageField fld="4" hier="-1"/>
  </pageFields>
  <dataFields count="1">
    <dataField name="Sum of Story Points" fld="13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3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5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4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2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2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6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9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6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D2:E4" totalsRowShown="0" headerRowDxfId="14" dataDxfId="12" headerRowBorderDxfId="13" tableBorderDxfId="11" totalsRowBorderDxfId="10">
  <autoFilter ref="D2:E4">
    <filterColumn colId="0" hiddenButton="1"/>
    <filterColumn colId="1" hiddenButton="1"/>
  </autoFilter>
  <tableColumns count="2">
    <tableColumn id="1" name="Start Date" dataDxfId="9"/>
    <tableColumn id="2" name="End Date" dataDxfId="8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4" name="Table15" displayName="Table15" ref="W2:W12" totalsRowShown="0" headerRowDxfId="7">
  <autoFilter ref="W2:W12">
    <filterColumn colId="0" hiddenButton="1"/>
  </autoFilter>
  <tableColumns count="1">
    <tableColumn id="1" name="Stabilization and Holidays" dataDxfId="6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5" name="Table5" displayName="Table5" ref="B20:D34" totalsRowShown="0">
  <autoFilter ref="B20:D34">
    <filterColumn colId="0" hiddenButton="1"/>
    <filterColumn colId="1" hiddenButton="1"/>
    <filterColumn colId="2" hiddenButton="1"/>
  </autoFilter>
  <tableColumns count="3">
    <tableColumn id="1" name="Sprint"/>
    <tableColumn id="2" name="Epics New" dataDxfId="5">
      <calculatedColumnFormula>GETPIVOTDATA("Epic Not Decomposed Estimate",$B$3)</calculatedColumnFormula>
    </tableColumn>
    <tableColumn id="3" name="Stories Ready" dataDxfId="4">
      <calculatedColumnFormula>GETPIVOTDATA("Story Points",$B$12)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id="1" name="Table1" displayName="Table1" ref="K5:R20" totalsRowCount="1">
  <autoFilter ref="K5:R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print" totalsRowLabel="Total"/>
    <tableColumn id="2" name="Alpha" totalsRowFunction="sum"/>
    <tableColumn id="3" name="ngStars" totalsRowFunction="sum"/>
    <tableColumn id="4" name="NW" totalsRowFunction="sum"/>
    <tableColumn id="5" name="SoftTeco" totalsRowFunction="sum"/>
    <tableColumn id="8" name="Titan" totalsRowFunction="sum"/>
    <tableColumn id="6" name="QA" totalsRowFunction="sum"/>
    <tableColumn id="7" name="Total" totalsRowFunction="sum" dataDxfId="3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id="3" name="Table3" displayName="Table3" ref="A1:B1" headerRowCount="0" totalsRowShown="0">
  <tableColumns count="2">
    <tableColumn id="1" name="Column1" dataCellStyle="Output"/>
    <tableColumn id="2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tabSelected="1" workbookViewId="0">
      <selection activeCell="A3" sqref="A3:XFD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199</v>
      </c>
    </row>
    <row r="2" spans="2:18" x14ac:dyDescent="0.45">
      <c r="B2" s="16" t="s">
        <v>0</v>
      </c>
      <c r="C2" t="s">
        <v>199</v>
      </c>
    </row>
    <row r="4" spans="2:18" x14ac:dyDescent="0.45">
      <c r="B4" s="16" t="s">
        <v>190</v>
      </c>
      <c r="C4" s="16" t="s">
        <v>209</v>
      </c>
      <c r="K4" s="44" t="s">
        <v>243</v>
      </c>
    </row>
    <row r="5" spans="2:18" x14ac:dyDescent="0.45">
      <c r="B5" s="16" t="s">
        <v>163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242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241</v>
      </c>
    </row>
    <row r="6" spans="2:18" x14ac:dyDescent="0.45">
      <c r="B6" s="17" t="s">
        <v>149</v>
      </c>
      <c r="C6" s="20"/>
      <c r="D6" s="20"/>
      <c r="E6" s="20">
        <v>30</v>
      </c>
      <c r="F6" s="20"/>
      <c r="G6" s="20"/>
      <c r="H6" s="20">
        <v>30</v>
      </c>
      <c r="K6" t="s">
        <v>149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150</v>
      </c>
      <c r="C7" s="20"/>
      <c r="D7" s="20">
        <v>30</v>
      </c>
      <c r="E7" s="20"/>
      <c r="F7" s="20"/>
      <c r="G7" s="20"/>
      <c r="H7" s="20">
        <v>30</v>
      </c>
      <c r="K7" t="s">
        <v>150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151</v>
      </c>
      <c r="C8" s="20">
        <v>30</v>
      </c>
      <c r="D8" s="20"/>
      <c r="E8" s="20"/>
      <c r="F8" s="20"/>
      <c r="G8" s="20"/>
      <c r="H8" s="20">
        <v>30</v>
      </c>
      <c r="K8" t="s">
        <v>151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152</v>
      </c>
      <c r="C9" s="20"/>
      <c r="D9" s="20"/>
      <c r="E9" s="20"/>
      <c r="F9" s="20"/>
      <c r="G9" s="20">
        <v>30</v>
      </c>
      <c r="H9" s="20">
        <v>30</v>
      </c>
      <c r="K9" t="s">
        <v>152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153</v>
      </c>
      <c r="C10" s="20"/>
      <c r="D10" s="20"/>
      <c r="E10" s="20"/>
      <c r="F10" s="20">
        <v>30</v>
      </c>
      <c r="G10" s="20"/>
      <c r="H10" s="20">
        <v>30</v>
      </c>
      <c r="K10" t="s">
        <v>153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154</v>
      </c>
      <c r="C11" s="20"/>
      <c r="D11" s="20"/>
      <c r="E11" s="20">
        <v>30</v>
      </c>
      <c r="F11" s="20"/>
      <c r="G11" s="20"/>
      <c r="H11" s="20">
        <v>30</v>
      </c>
      <c r="K11" t="s">
        <v>154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155</v>
      </c>
      <c r="C12" s="20"/>
      <c r="D12" s="20">
        <v>30</v>
      </c>
      <c r="E12" s="20"/>
      <c r="F12" s="20"/>
      <c r="G12" s="20"/>
      <c r="H12" s="20">
        <v>30</v>
      </c>
      <c r="K12" t="s">
        <v>155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156</v>
      </c>
      <c r="C13" s="20">
        <v>30</v>
      </c>
      <c r="D13" s="20"/>
      <c r="E13" s="20"/>
      <c r="F13" s="20"/>
      <c r="G13" s="20"/>
      <c r="H13" s="20">
        <v>30</v>
      </c>
      <c r="K13" t="s">
        <v>156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157</v>
      </c>
      <c r="C14" s="20"/>
      <c r="D14" s="20"/>
      <c r="E14" s="20"/>
      <c r="F14" s="20"/>
      <c r="G14" s="20">
        <v>30</v>
      </c>
      <c r="H14" s="20">
        <v>30</v>
      </c>
      <c r="K14" t="s">
        <v>157</v>
      </c>
      <c r="R14">
        <f t="shared" si="0"/>
        <v>0</v>
      </c>
    </row>
    <row r="15" spans="2:18" x14ac:dyDescent="0.45">
      <c r="B15" s="17" t="s">
        <v>158</v>
      </c>
      <c r="C15" s="20"/>
      <c r="D15" s="20"/>
      <c r="E15" s="20"/>
      <c r="F15" s="20">
        <v>30</v>
      </c>
      <c r="G15" s="20"/>
      <c r="H15" s="20">
        <v>30</v>
      </c>
      <c r="K15" t="s">
        <v>158</v>
      </c>
      <c r="R15">
        <f t="shared" si="0"/>
        <v>0</v>
      </c>
    </row>
    <row r="16" spans="2:18" x14ac:dyDescent="0.45">
      <c r="B16" s="17" t="s">
        <v>159</v>
      </c>
      <c r="C16" s="20"/>
      <c r="D16" s="20"/>
      <c r="E16" s="20">
        <v>30</v>
      </c>
      <c r="F16" s="20"/>
      <c r="G16" s="20"/>
      <c r="H16" s="20">
        <v>30</v>
      </c>
      <c r="K16" t="s">
        <v>159</v>
      </c>
      <c r="R16">
        <f t="shared" si="0"/>
        <v>0</v>
      </c>
    </row>
    <row r="17" spans="2:18" x14ac:dyDescent="0.45">
      <c r="B17" s="17" t="s">
        <v>160</v>
      </c>
      <c r="C17" s="20"/>
      <c r="D17" s="20">
        <v>30</v>
      </c>
      <c r="E17" s="20"/>
      <c r="F17" s="20"/>
      <c r="G17" s="20"/>
      <c r="H17" s="20">
        <v>30</v>
      </c>
      <c r="K17" t="s">
        <v>160</v>
      </c>
      <c r="R17">
        <f t="shared" si="0"/>
        <v>0</v>
      </c>
    </row>
    <row r="18" spans="2:18" x14ac:dyDescent="0.45">
      <c r="B18" s="17" t="s">
        <v>161</v>
      </c>
      <c r="C18" s="20">
        <v>30</v>
      </c>
      <c r="D18" s="20"/>
      <c r="E18" s="20"/>
      <c r="F18" s="20"/>
      <c r="G18" s="20"/>
      <c r="H18" s="20">
        <v>30</v>
      </c>
      <c r="K18" t="s">
        <v>161</v>
      </c>
      <c r="R18">
        <f t="shared" si="0"/>
        <v>0</v>
      </c>
    </row>
    <row r="19" spans="2:18" x14ac:dyDescent="0.45">
      <c r="B19" s="17" t="s">
        <v>162</v>
      </c>
      <c r="C19" s="20"/>
      <c r="D19" s="20"/>
      <c r="E19" s="20"/>
      <c r="F19" s="20"/>
      <c r="G19" s="20">
        <v>30</v>
      </c>
      <c r="H19" s="20">
        <v>30</v>
      </c>
      <c r="K19" t="s">
        <v>162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241</v>
      </c>
      <c r="L20">
        <f>SUBTOTAL(109,Table1[Alpha])</f>
        <v>152</v>
      </c>
      <c r="M20">
        <f>SUBTOTAL(109,Table1[ngStars])</f>
        <v>322.5</v>
      </c>
      <c r="N20">
        <f>SUBTOTAL(109,Table1[NW])</f>
        <v>403</v>
      </c>
      <c r="O20">
        <f>SUBTOTAL(109,Table1[SoftTeco])</f>
        <v>513</v>
      </c>
      <c r="P20">
        <f>SUBTOTAL(109,Table1[Titan])</f>
        <v>25.5</v>
      </c>
      <c r="Q20">
        <f>SUBTOTAL(109,Table1[QA])</f>
        <v>23</v>
      </c>
      <c r="R20">
        <f>SUBTOTAL(109,Table1[Total])</f>
        <v>1439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167</v>
      </c>
      <c r="B1" t="str">
        <f>$E$2</f>
        <v>Quasar9</v>
      </c>
      <c r="D1" s="16" t="s">
        <v>9</v>
      </c>
      <c r="E1" t="s">
        <v>199</v>
      </c>
    </row>
    <row r="2" spans="1:5" x14ac:dyDescent="0.45">
      <c r="D2" s="16" t="s">
        <v>165</v>
      </c>
      <c r="E2" t="s">
        <v>184</v>
      </c>
    </row>
    <row r="4" spans="1:5" x14ac:dyDescent="0.45">
      <c r="D4" s="16" t="s">
        <v>163</v>
      </c>
      <c r="E4" t="s">
        <v>190</v>
      </c>
    </row>
    <row r="5" spans="1:5" x14ac:dyDescent="0.45">
      <c r="D5" s="17" t="s">
        <v>197</v>
      </c>
      <c r="E5" s="20">
        <v>1</v>
      </c>
    </row>
    <row r="6" spans="1:5" x14ac:dyDescent="0.45">
      <c r="D6" s="17" t="s">
        <v>195</v>
      </c>
      <c r="E6" s="20">
        <v>1</v>
      </c>
    </row>
    <row r="7" spans="1:5" x14ac:dyDescent="0.45">
      <c r="D7" s="17" t="s">
        <v>194</v>
      </c>
      <c r="E7" s="20">
        <v>1</v>
      </c>
    </row>
    <row r="8" spans="1:5" x14ac:dyDescent="0.45">
      <c r="D8" s="17" t="s">
        <v>223</v>
      </c>
      <c r="E8" s="20">
        <v>1</v>
      </c>
    </row>
    <row r="9" spans="1:5" x14ac:dyDescent="0.45">
      <c r="D9" s="17" t="s">
        <v>193</v>
      </c>
      <c r="E9" s="20">
        <v>1</v>
      </c>
    </row>
    <row r="10" spans="1:5" x14ac:dyDescent="0.45">
      <c r="D10" s="17" t="s">
        <v>196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200</v>
      </c>
      <c r="E15" t="str">
        <f>"Sprint " &amp; SUBSTITUTE($B$1,"Quasar", "") &amp; " Progress"</f>
        <v>Sprint 9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201</v>
      </c>
    </row>
    <row r="2" spans="1:12" x14ac:dyDescent="0.45">
      <c r="A2" t="s">
        <v>208</v>
      </c>
    </row>
    <row r="4" spans="1:12" x14ac:dyDescent="0.45">
      <c r="B4" s="16" t="s">
        <v>142</v>
      </c>
      <c r="C4" t="s">
        <v>145</v>
      </c>
      <c r="F4" s="16" t="s">
        <v>142</v>
      </c>
      <c r="G4" t="s">
        <v>145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199</v>
      </c>
      <c r="F6" s="16" t="s">
        <v>0</v>
      </c>
      <c r="G6" t="s">
        <v>199</v>
      </c>
    </row>
    <row r="7" spans="1:12" x14ac:dyDescent="0.45">
      <c r="B7" s="16" t="s">
        <v>0</v>
      </c>
      <c r="C7" t="s">
        <v>199</v>
      </c>
    </row>
    <row r="8" spans="1:12" x14ac:dyDescent="0.45">
      <c r="F8" s="16" t="s">
        <v>207</v>
      </c>
      <c r="G8" s="16" t="s">
        <v>209</v>
      </c>
    </row>
    <row r="9" spans="1:12" x14ac:dyDescent="0.45">
      <c r="B9" s="16" t="s">
        <v>163</v>
      </c>
      <c r="C9" t="s">
        <v>207</v>
      </c>
      <c r="F9" s="16" t="s">
        <v>163</v>
      </c>
      <c r="G9" t="s">
        <v>202</v>
      </c>
      <c r="H9" t="s">
        <v>203</v>
      </c>
      <c r="I9" t="s">
        <v>204</v>
      </c>
      <c r="J9" t="s">
        <v>205</v>
      </c>
      <c r="K9" t="s">
        <v>206</v>
      </c>
      <c r="L9" t="s">
        <v>50</v>
      </c>
    </row>
    <row r="10" spans="1:12" x14ac:dyDescent="0.45">
      <c r="B10" s="17" t="s">
        <v>202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203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204</v>
      </c>
      <c r="C12" s="20">
        <v>1</v>
      </c>
    </row>
    <row r="13" spans="1:12" x14ac:dyDescent="0.45">
      <c r="B13" s="17" t="s">
        <v>205</v>
      </c>
      <c r="C13" s="20">
        <v>1</v>
      </c>
    </row>
    <row r="14" spans="1:12" x14ac:dyDescent="0.45">
      <c r="B14" s="17" t="s">
        <v>206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142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199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163</v>
      </c>
      <c r="C29" t="s">
        <v>207</v>
      </c>
    </row>
    <row r="30" spans="2:3" x14ac:dyDescent="0.45">
      <c r="B30" s="17" t="s">
        <v>149</v>
      </c>
      <c r="C30" s="20">
        <v>1</v>
      </c>
    </row>
    <row r="31" spans="2:3" x14ac:dyDescent="0.45">
      <c r="B31" s="17" t="s">
        <v>150</v>
      </c>
      <c r="C31" s="20"/>
    </row>
    <row r="32" spans="2:3" x14ac:dyDescent="0.45">
      <c r="B32" s="17" t="s">
        <v>151</v>
      </c>
      <c r="C32" s="20"/>
    </row>
    <row r="33" spans="2:3" x14ac:dyDescent="0.45">
      <c r="B33" s="17" t="s">
        <v>152</v>
      </c>
      <c r="C33" s="20"/>
    </row>
    <row r="34" spans="2:3" x14ac:dyDescent="0.45">
      <c r="B34" s="17" t="s">
        <v>153</v>
      </c>
      <c r="C34" s="20">
        <v>1</v>
      </c>
    </row>
    <row r="35" spans="2:3" x14ac:dyDescent="0.45">
      <c r="B35" s="17" t="s">
        <v>154</v>
      </c>
      <c r="C35" s="20"/>
    </row>
    <row r="36" spans="2:3" x14ac:dyDescent="0.45">
      <c r="B36" s="17" t="s">
        <v>155</v>
      </c>
      <c r="C36" s="20"/>
    </row>
    <row r="37" spans="2:3" x14ac:dyDescent="0.45">
      <c r="B37" s="17" t="s">
        <v>156</v>
      </c>
      <c r="C37" s="20"/>
    </row>
    <row r="38" spans="2:3" x14ac:dyDescent="0.45">
      <c r="B38" s="17" t="s">
        <v>157</v>
      </c>
      <c r="C38" s="20"/>
    </row>
    <row r="39" spans="2:3" x14ac:dyDescent="0.45">
      <c r="B39" s="17" t="s">
        <v>158</v>
      </c>
      <c r="C39" s="20"/>
    </row>
    <row r="40" spans="2:3" x14ac:dyDescent="0.45">
      <c r="B40" s="17" t="s">
        <v>159</v>
      </c>
      <c r="C40" s="20"/>
    </row>
    <row r="41" spans="2:3" x14ac:dyDescent="0.45">
      <c r="B41" s="17" t="s">
        <v>160</v>
      </c>
      <c r="C41" s="20"/>
    </row>
    <row r="42" spans="2:3" x14ac:dyDescent="0.45">
      <c r="B42" s="17" t="s">
        <v>161</v>
      </c>
      <c r="C42" s="20"/>
    </row>
    <row r="43" spans="2:3" x14ac:dyDescent="0.45">
      <c r="B43" s="17" t="s">
        <v>162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91"/>
  <sheetViews>
    <sheetView topLeftCell="AJ1" zoomScaleNormal="100" workbookViewId="0">
      <pane ySplit="1" topLeftCell="A2" activePane="bottomLeft" state="frozen"/>
      <selection activeCell="C3" sqref="C3"/>
      <selection pane="bottomLeft" activeCell="AR2" sqref="AR2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16384" width="9.1328125" style="3"/>
  </cols>
  <sheetData>
    <row r="1" spans="1:45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127</v>
      </c>
      <c r="Z1" s="1" t="s">
        <v>133</v>
      </c>
      <c r="AA1" s="1" t="s">
        <v>135</v>
      </c>
      <c r="AB1" s="1" t="s">
        <v>137</v>
      </c>
      <c r="AC1" s="1" t="s">
        <v>139</v>
      </c>
      <c r="AD1" s="1" t="s">
        <v>141</v>
      </c>
      <c r="AE1" s="1" t="s">
        <v>165</v>
      </c>
      <c r="AF1" s="1" t="s">
        <v>210</v>
      </c>
      <c r="AG1" s="1" t="s">
        <v>142</v>
      </c>
      <c r="AH1" s="1" t="s">
        <v>43</v>
      </c>
      <c r="AI1" s="1" t="s">
        <v>191</v>
      </c>
      <c r="AJ1" s="1" t="s">
        <v>234</v>
      </c>
      <c r="AK1" s="1" t="s">
        <v>44</v>
      </c>
      <c r="AL1" s="1" t="s">
        <v>119</v>
      </c>
      <c r="AM1" s="1" t="s">
        <v>120</v>
      </c>
      <c r="AN1" s="1" t="s">
        <v>218</v>
      </c>
      <c r="AO1" s="1" t="s">
        <v>217</v>
      </c>
      <c r="AP1" s="1" t="s">
        <v>219</v>
      </c>
      <c r="AQ1" s="1" t="s">
        <v>129</v>
      </c>
      <c r="AR1" s="1" t="s">
        <v>48</v>
      </c>
      <c r="AS1" s="3" t="s">
        <v>164</v>
      </c>
    </row>
    <row r="2" spans="1:45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128</v>
      </c>
      <c r="Z2" s="11" t="s">
        <v>134</v>
      </c>
      <c r="AA2" s="11" t="s">
        <v>136</v>
      </c>
      <c r="AB2" s="11" t="s">
        <v>138</v>
      </c>
      <c r="AC2" s="15" t="s">
        <v>140</v>
      </c>
      <c r="AD2" s="15" t="s">
        <v>128</v>
      </c>
      <c r="AE2" s="15" t="s">
        <v>166</v>
      </c>
      <c r="AF2" s="15" t="s">
        <v>211</v>
      </c>
      <c r="AG2" s="15" t="s">
        <v>143</v>
      </c>
      <c r="AH2" s="10" t="s">
        <v>46</v>
      </c>
      <c r="AI2" s="10" t="s">
        <v>192</v>
      </c>
      <c r="AJ2" s="10" t="s">
        <v>233</v>
      </c>
      <c r="AK2" s="14" t="s">
        <v>49</v>
      </c>
      <c r="AL2" s="14" t="s">
        <v>122</v>
      </c>
      <c r="AM2" s="14" t="s">
        <v>121</v>
      </c>
      <c r="AN2" s="11" t="s">
        <v>212</v>
      </c>
      <c r="AO2" s="11" t="s">
        <v>213</v>
      </c>
      <c r="AP2" s="11" t="s">
        <v>214</v>
      </c>
      <c r="AQ2" s="15" t="s">
        <v>130</v>
      </c>
      <c r="AR2" s="15" t="s">
        <v>126</v>
      </c>
      <c r="AS2" s="5" t="s">
        <v>11</v>
      </c>
    </row>
    <row r="3" spans="1:45" x14ac:dyDescent="0.45">
      <c r="A3" s="3" t="s">
        <v>55</v>
      </c>
    </row>
    <row r="4" spans="1:45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169</v>
      </c>
      <c r="AG4" s="5" t="s">
        <v>144</v>
      </c>
      <c r="AI4" s="5" t="s">
        <v>193</v>
      </c>
      <c r="AJ4" s="10" t="s">
        <v>230</v>
      </c>
      <c r="AL4" s="4" t="s">
        <v>56</v>
      </c>
      <c r="AM4" s="4" t="s">
        <v>56</v>
      </c>
      <c r="AN4" s="4"/>
      <c r="AO4" s="4"/>
      <c r="AP4" s="4"/>
      <c r="AQ4" s="4"/>
    </row>
    <row r="5" spans="1:45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V5" s="4" t="s">
        <v>54</v>
      </c>
      <c r="W5" s="4"/>
      <c r="AE5" s="5" t="s">
        <v>170</v>
      </c>
      <c r="AG5" s="5" t="s">
        <v>145</v>
      </c>
      <c r="AI5" s="5" t="s">
        <v>223</v>
      </c>
      <c r="AJ5" s="10" t="s">
        <v>231</v>
      </c>
      <c r="AL5" s="4" t="s">
        <v>54</v>
      </c>
      <c r="AM5" s="4" t="s">
        <v>54</v>
      </c>
      <c r="AN5" s="4"/>
      <c r="AO5" s="4"/>
      <c r="AP5" s="4"/>
      <c r="AQ5" s="4"/>
    </row>
    <row r="6" spans="1:45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V6" s="4" t="s">
        <v>57</v>
      </c>
      <c r="W6" s="4"/>
      <c r="AE6" s="5" t="s">
        <v>171</v>
      </c>
      <c r="AI6" s="5" t="s">
        <v>194</v>
      </c>
      <c r="AJ6" s="10" t="s">
        <v>239</v>
      </c>
      <c r="AL6" s="4" t="s">
        <v>57</v>
      </c>
      <c r="AM6" s="4" t="s">
        <v>57</v>
      </c>
      <c r="AN6" s="4"/>
      <c r="AO6" s="4"/>
      <c r="AP6" s="4"/>
      <c r="AQ6" s="4"/>
    </row>
    <row r="7" spans="1:45" x14ac:dyDescent="0.45">
      <c r="A7" s="5" t="s">
        <v>51</v>
      </c>
      <c r="B7" s="5" t="s">
        <v>70</v>
      </c>
      <c r="D7" s="4" t="s">
        <v>52</v>
      </c>
      <c r="E7" s="19" t="s">
        <v>95</v>
      </c>
      <c r="V7" s="4" t="s">
        <v>52</v>
      </c>
      <c r="W7" s="4"/>
      <c r="AE7" s="5" t="s">
        <v>172</v>
      </c>
      <c r="AI7" s="5" t="s">
        <v>195</v>
      </c>
      <c r="AJ7" s="10" t="s">
        <v>240</v>
      </c>
      <c r="AL7" s="4" t="s">
        <v>52</v>
      </c>
      <c r="AM7" s="4" t="s">
        <v>52</v>
      </c>
      <c r="AN7" s="4"/>
      <c r="AO7" s="4"/>
      <c r="AP7" s="4"/>
      <c r="AQ7" s="4"/>
    </row>
    <row r="8" spans="1:45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173</v>
      </c>
      <c r="AI8" s="5" t="s">
        <v>197</v>
      </c>
      <c r="AL8" s="4" t="s">
        <v>58</v>
      </c>
      <c r="AM8" s="4" t="s">
        <v>58</v>
      </c>
      <c r="AN8" s="4"/>
      <c r="AO8" s="4"/>
      <c r="AP8" s="4"/>
      <c r="AQ8" s="4"/>
    </row>
    <row r="9" spans="1:45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174</v>
      </c>
      <c r="AI9" s="5" t="s">
        <v>196</v>
      </c>
      <c r="AL9" s="4" t="s">
        <v>59</v>
      </c>
      <c r="AM9" s="4" t="s">
        <v>59</v>
      </c>
      <c r="AN9" s="4"/>
      <c r="AO9" s="4"/>
      <c r="AP9" s="4"/>
      <c r="AQ9" s="4"/>
    </row>
    <row r="10" spans="1:45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175</v>
      </c>
      <c r="AI10" s="5" t="s">
        <v>198</v>
      </c>
      <c r="AL10" s="4" t="s">
        <v>60</v>
      </c>
      <c r="AM10" s="4" t="s">
        <v>60</v>
      </c>
      <c r="AN10" s="4"/>
      <c r="AO10" s="4"/>
      <c r="AP10" s="4"/>
      <c r="AQ10" s="4"/>
    </row>
    <row r="11" spans="1:45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176</v>
      </c>
      <c r="AL11" s="4" t="s">
        <v>53</v>
      </c>
      <c r="AM11" s="4" t="s">
        <v>53</v>
      </c>
      <c r="AN11" s="4"/>
      <c r="AO11" s="4"/>
      <c r="AP11" s="4"/>
      <c r="AQ11" s="4"/>
    </row>
    <row r="12" spans="1:45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168</v>
      </c>
      <c r="AF12" s="5" t="s">
        <v>149</v>
      </c>
      <c r="AL12" s="4" t="s">
        <v>61</v>
      </c>
      <c r="AM12" s="4" t="s">
        <v>61</v>
      </c>
      <c r="AN12" s="4"/>
      <c r="AO12" s="4"/>
      <c r="AP12" s="4"/>
      <c r="AQ12" s="4"/>
    </row>
    <row r="13" spans="1:45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177</v>
      </c>
      <c r="AF13" s="5" t="s">
        <v>150</v>
      </c>
      <c r="AL13" s="4"/>
      <c r="AM13" s="4"/>
      <c r="AN13" s="4"/>
      <c r="AO13" s="4"/>
      <c r="AP13" s="4"/>
      <c r="AQ13" s="4"/>
    </row>
    <row r="14" spans="1:45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178</v>
      </c>
      <c r="AF14" s="5" t="s">
        <v>151</v>
      </c>
      <c r="AL14" s="4"/>
      <c r="AM14" s="4"/>
      <c r="AN14" s="4"/>
      <c r="AO14" s="4"/>
      <c r="AP14" s="4"/>
      <c r="AQ14" s="4"/>
    </row>
    <row r="15" spans="1:45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179</v>
      </c>
      <c r="AF15" s="5" t="s">
        <v>152</v>
      </c>
      <c r="AL15" s="4"/>
      <c r="AM15" s="4"/>
      <c r="AN15" s="4"/>
      <c r="AO15" s="4"/>
      <c r="AP15" s="4"/>
      <c r="AQ15" s="4"/>
    </row>
    <row r="16" spans="1:45" x14ac:dyDescent="0.45">
      <c r="A16" s="5" t="s">
        <v>51</v>
      </c>
      <c r="E16" s="19" t="s">
        <v>104</v>
      </c>
      <c r="AE16" s="5" t="s">
        <v>180</v>
      </c>
      <c r="AF16" s="5" t="s">
        <v>153</v>
      </c>
    </row>
    <row r="17" spans="1:35" ht="26.25" x14ac:dyDescent="0.45">
      <c r="A17" s="5" t="s">
        <v>51</v>
      </c>
      <c r="E17" s="19" t="s">
        <v>105</v>
      </c>
      <c r="AE17" s="5" t="s">
        <v>181</v>
      </c>
      <c r="AF17" s="5" t="s">
        <v>154</v>
      </c>
    </row>
    <row r="18" spans="1:35" x14ac:dyDescent="0.45">
      <c r="A18" s="5" t="s">
        <v>51</v>
      </c>
      <c r="E18" s="19" t="s">
        <v>106</v>
      </c>
      <c r="AE18" s="5" t="s">
        <v>182</v>
      </c>
      <c r="AF18" s="5" t="s">
        <v>155</v>
      </c>
    </row>
    <row r="19" spans="1:35" ht="39.4" x14ac:dyDescent="0.45">
      <c r="A19" s="5" t="s">
        <v>51</v>
      </c>
      <c r="E19" s="19" t="s">
        <v>107</v>
      </c>
      <c r="AE19" s="5" t="s">
        <v>183</v>
      </c>
      <c r="AF19" s="5" t="s">
        <v>156</v>
      </c>
    </row>
    <row r="20" spans="1:35" ht="26.25" x14ac:dyDescent="0.45">
      <c r="A20" s="5" t="s">
        <v>51</v>
      </c>
      <c r="E20" s="19" t="s">
        <v>108</v>
      </c>
      <c r="AE20" s="5" t="s">
        <v>184</v>
      </c>
      <c r="AF20" s="5" t="s">
        <v>157</v>
      </c>
    </row>
    <row r="21" spans="1:35" ht="26.25" x14ac:dyDescent="0.45">
      <c r="A21" s="5" t="s">
        <v>51</v>
      </c>
      <c r="E21" s="19" t="s">
        <v>109</v>
      </c>
      <c r="AE21" s="5" t="s">
        <v>185</v>
      </c>
      <c r="AF21" s="5" t="s">
        <v>158</v>
      </c>
    </row>
    <row r="22" spans="1:35" ht="26.25" x14ac:dyDescent="0.45">
      <c r="A22" s="5" t="s">
        <v>51</v>
      </c>
      <c r="E22" s="19" t="s">
        <v>110</v>
      </c>
      <c r="AE22" s="5" t="s">
        <v>186</v>
      </c>
      <c r="AF22" s="5" t="s">
        <v>159</v>
      </c>
    </row>
    <row r="23" spans="1:35" ht="26.25" x14ac:dyDescent="0.45">
      <c r="A23" s="5" t="s">
        <v>51</v>
      </c>
      <c r="E23" s="19" t="s">
        <v>111</v>
      </c>
      <c r="AE23" s="5" t="s">
        <v>187</v>
      </c>
      <c r="AF23" s="5" t="s">
        <v>160</v>
      </c>
    </row>
    <row r="24" spans="1:35" x14ac:dyDescent="0.45">
      <c r="A24" s="5" t="s">
        <v>51</v>
      </c>
      <c r="E24" s="19" t="s">
        <v>112</v>
      </c>
      <c r="AE24" s="5" t="s">
        <v>188</v>
      </c>
      <c r="AF24" s="5" t="s">
        <v>161</v>
      </c>
    </row>
    <row r="25" spans="1:35" x14ac:dyDescent="0.45">
      <c r="A25" s="5" t="s">
        <v>51</v>
      </c>
      <c r="E25" s="19" t="s">
        <v>113</v>
      </c>
      <c r="AE25" s="5" t="s">
        <v>189</v>
      </c>
      <c r="AF25" s="5" t="s">
        <v>162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Quasar9</v>
      </c>
      <c r="AI30" s="5" t="s">
        <v>193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Quasar9</v>
      </c>
      <c r="AI31" s="5" t="s">
        <v>223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Quasar9</v>
      </c>
      <c r="AI32" s="5" t="s">
        <v>194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Quasar9</v>
      </c>
      <c r="AI33" s="5" t="s">
        <v>195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Quasar9</v>
      </c>
      <c r="AI34" s="5" t="s">
        <v>197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Quasar9</v>
      </c>
      <c r="AI35" s="5" t="s">
        <v>196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Quasar9</v>
      </c>
      <c r="AI36" s="5" t="s">
        <v>198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149</v>
      </c>
      <c r="AG40" s="5" t="s">
        <v>145</v>
      </c>
      <c r="AH40" s="5" t="s">
        <v>202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150</v>
      </c>
      <c r="AG41" s="5" t="s">
        <v>145</v>
      </c>
      <c r="AH41" s="5" t="s">
        <v>203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162</v>
      </c>
      <c r="AG42" s="5" t="s">
        <v>145</v>
      </c>
      <c r="AH42" s="5" t="s">
        <v>204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153</v>
      </c>
      <c r="AG43" s="5" t="s">
        <v>145</v>
      </c>
      <c r="AH43" s="5" t="s">
        <v>205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154</v>
      </c>
      <c r="AG44" s="5" t="s">
        <v>145</v>
      </c>
      <c r="AH44" s="5" t="s">
        <v>206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155</v>
      </c>
      <c r="AG45" s="5" t="s">
        <v>145</v>
      </c>
      <c r="AH45" s="5" t="s">
        <v>205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149</v>
      </c>
      <c r="AG49" s="5" t="s">
        <v>145</v>
      </c>
      <c r="AH49" s="5" t="s">
        <v>202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225</v>
      </c>
      <c r="P50" s="5">
        <v>200</v>
      </c>
      <c r="Q50" s="5">
        <v>150</v>
      </c>
      <c r="W50" s="5">
        <v>180</v>
      </c>
      <c r="AG50" s="5" t="s">
        <v>145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226</v>
      </c>
      <c r="P51" s="5">
        <v>200</v>
      </c>
      <c r="Q51" s="5">
        <v>150</v>
      </c>
      <c r="W51" s="5">
        <v>180</v>
      </c>
      <c r="AG51" s="5" t="s">
        <v>145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145</v>
      </c>
      <c r="AI52" s="5" t="s">
        <v>193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145</v>
      </c>
      <c r="AI53" s="5" t="s">
        <v>223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145</v>
      </c>
      <c r="AI54" s="5" t="s">
        <v>194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145</v>
      </c>
      <c r="AI55" s="5" t="s">
        <v>195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145</v>
      </c>
      <c r="AI56" s="5" t="s">
        <v>197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145</v>
      </c>
      <c r="AI57" s="5" t="s">
        <v>193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145</v>
      </c>
      <c r="AI58" s="5" t="s">
        <v>223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145</v>
      </c>
      <c r="AI59" s="5" t="s">
        <v>194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145</v>
      </c>
      <c r="AI60" s="5" t="s">
        <v>195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145</v>
      </c>
      <c r="AI61" s="5" t="s">
        <v>197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145</v>
      </c>
      <c r="AI62" s="5" t="s">
        <v>193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145</v>
      </c>
      <c r="AI63" s="5" t="s">
        <v>223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145</v>
      </c>
      <c r="AI64" s="5" t="s">
        <v>194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145</v>
      </c>
      <c r="AI65" s="5" t="s">
        <v>195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145</v>
      </c>
      <c r="AI66" s="5" t="s">
        <v>197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145</v>
      </c>
      <c r="AI67" s="5" t="s">
        <v>193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145</v>
      </c>
      <c r="AI68" s="5" t="s">
        <v>223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145</v>
      </c>
      <c r="AI69" s="5" t="s">
        <v>194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145</v>
      </c>
      <c r="AI70" s="5" t="s">
        <v>195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145</v>
      </c>
      <c r="AI71" s="5" t="s">
        <v>197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145</v>
      </c>
      <c r="AJ73" s="10" t="s">
        <v>230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145</v>
      </c>
      <c r="AJ74" s="10" t="s">
        <v>231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145</v>
      </c>
      <c r="AJ75" s="10" t="s">
        <v>239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145</v>
      </c>
      <c r="AJ76" s="10" t="s">
        <v>240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149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150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151</v>
      </c>
      <c r="AL80" s="4" t="s">
        <v>58</v>
      </c>
    </row>
    <row r="81" spans="1:44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152</v>
      </c>
      <c r="AL81" s="4" t="s">
        <v>52</v>
      </c>
    </row>
    <row r="82" spans="1:44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153</v>
      </c>
      <c r="AL82" s="4" t="s">
        <v>57</v>
      </c>
    </row>
    <row r="83" spans="1:44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154</v>
      </c>
      <c r="AL83" s="4" t="s">
        <v>54</v>
      </c>
    </row>
    <row r="84" spans="1:44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155</v>
      </c>
      <c r="AL84" s="4" t="s">
        <v>56</v>
      </c>
    </row>
    <row r="85" spans="1:44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156</v>
      </c>
      <c r="AL85" s="4" t="s">
        <v>58</v>
      </c>
    </row>
    <row r="86" spans="1:44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157</v>
      </c>
      <c r="AL86" s="4" t="s">
        <v>52</v>
      </c>
    </row>
    <row r="87" spans="1:44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158</v>
      </c>
      <c r="AL87" s="4" t="s">
        <v>57</v>
      </c>
    </row>
    <row r="88" spans="1:44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159</v>
      </c>
      <c r="AL88" s="4" t="s">
        <v>54</v>
      </c>
    </row>
    <row r="89" spans="1:44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160</v>
      </c>
      <c r="AL89" s="4" t="s">
        <v>56</v>
      </c>
    </row>
    <row r="90" spans="1:44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161</v>
      </c>
      <c r="AL90" s="4" t="s">
        <v>58</v>
      </c>
    </row>
    <row r="91" spans="1:44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162</v>
      </c>
      <c r="AL91" s="4" t="s">
        <v>52</v>
      </c>
      <c r="AR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 x14ac:dyDescent="0.45"/>
  <sheetData>
    <row r="1" spans="1:2" x14ac:dyDescent="0.45">
      <c r="A1" s="51" t="s">
        <v>253</v>
      </c>
    </row>
    <row r="3" spans="1:2" x14ac:dyDescent="0.45">
      <c r="A3" t="s">
        <v>250</v>
      </c>
    </row>
    <row r="4" spans="1:2" x14ac:dyDescent="0.45">
      <c r="B4" t="s">
        <v>249</v>
      </c>
    </row>
    <row r="5" spans="1:2" x14ac:dyDescent="0.45">
      <c r="A5" t="s">
        <v>270</v>
      </c>
    </row>
    <row r="6" spans="1:2" x14ac:dyDescent="0.45">
      <c r="B6" t="s">
        <v>271</v>
      </c>
    </row>
    <row r="7" spans="1:2" x14ac:dyDescent="0.45">
      <c r="A7" t="s">
        <v>272</v>
      </c>
    </row>
    <row r="8" spans="1:2" x14ac:dyDescent="0.45">
      <c r="B8" t="s">
        <v>251</v>
      </c>
    </row>
    <row r="9" spans="1:2" x14ac:dyDescent="0.45">
      <c r="A9" t="s">
        <v>273</v>
      </c>
    </row>
    <row r="10" spans="1:2" x14ac:dyDescent="0.45">
      <c r="B10" t="s">
        <v>252</v>
      </c>
    </row>
    <row r="11" spans="1:2" x14ac:dyDescent="0.45">
      <c r="A11" t="s">
        <v>274</v>
      </c>
    </row>
    <row r="12" spans="1:2" x14ac:dyDescent="0.45">
      <c r="B12" t="s">
        <v>254</v>
      </c>
    </row>
    <row r="13" spans="1:2" x14ac:dyDescent="0.45">
      <c r="B13" t="s">
        <v>255</v>
      </c>
    </row>
    <row r="14" spans="1:2" x14ac:dyDescent="0.45">
      <c r="A14" t="s">
        <v>275</v>
      </c>
    </row>
    <row r="15" spans="1:2" x14ac:dyDescent="0.45">
      <c r="B15" t="s">
        <v>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>
      <selection activeCell="E5" sqref="E5"/>
    </sheetView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1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232</v>
      </c>
      <c r="B1" t="s">
        <v>201</v>
      </c>
      <c r="K1" t="s">
        <v>259</v>
      </c>
      <c r="L1" t="s">
        <v>231</v>
      </c>
      <c r="M1" t="s">
        <v>142</v>
      </c>
      <c r="N1" t="s">
        <v>230</v>
      </c>
      <c r="O1" t="s">
        <v>231</v>
      </c>
      <c r="P1" s="72" t="s">
        <v>142</v>
      </c>
      <c r="Q1" s="72"/>
      <c r="R1" s="72" t="s">
        <v>230</v>
      </c>
      <c r="S1" s="72"/>
      <c r="T1" s="72" t="s">
        <v>231</v>
      </c>
      <c r="U1" s="72"/>
      <c r="Y1" s="16" t="s">
        <v>142</v>
      </c>
      <c r="Z1" t="s">
        <v>145</v>
      </c>
    </row>
    <row r="2" spans="1:27" x14ac:dyDescent="0.45">
      <c r="A2" t="s">
        <v>146</v>
      </c>
      <c r="B2" s="52">
        <f ca="1">MAX(NETWORKDAYS($D$3,$E$6,$W$3:$W$12)/NETWORKDAYS($D$3,$E$3,$W$3:$W$12),0%)</f>
        <v>0.55172413793103448</v>
      </c>
      <c r="D2" s="30" t="s">
        <v>131</v>
      </c>
      <c r="E2" s="31" t="s">
        <v>132</v>
      </c>
      <c r="G2" s="22" t="s">
        <v>148</v>
      </c>
      <c r="H2" s="22" t="s">
        <v>131</v>
      </c>
      <c r="I2" s="22" t="s">
        <v>132</v>
      </c>
      <c r="J2" s="22" t="s">
        <v>216</v>
      </c>
      <c r="K2" s="22" t="s">
        <v>228</v>
      </c>
      <c r="L2" s="22" t="s">
        <v>228</v>
      </c>
      <c r="M2" s="22" t="s">
        <v>229</v>
      </c>
      <c r="N2" s="22" t="s">
        <v>229</v>
      </c>
      <c r="O2" s="22" t="s">
        <v>229</v>
      </c>
      <c r="P2" s="22" t="s">
        <v>247</v>
      </c>
      <c r="Q2" s="22" t="s">
        <v>248</v>
      </c>
      <c r="R2" s="22" t="s">
        <v>247</v>
      </c>
      <c r="S2" s="22" t="s">
        <v>248</v>
      </c>
      <c r="T2" s="22" t="s">
        <v>247</v>
      </c>
      <c r="U2" s="22" t="s">
        <v>248</v>
      </c>
      <c r="W2" s="27" t="s">
        <v>215</v>
      </c>
      <c r="Y2" s="16" t="s">
        <v>9</v>
      </c>
      <c r="Z2" t="s">
        <v>68</v>
      </c>
    </row>
    <row r="3" spans="1:27" x14ac:dyDescent="0.45">
      <c r="A3" t="s">
        <v>147</v>
      </c>
      <c r="B3" s="32">
        <f ca="1">MAX(100%,B2)-B2</f>
        <v>0.44827586206896552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>2350*(100%-K3)</f>
        <v>2350</v>
      </c>
      <c r="Q3" s="46">
        <v>2023</v>
      </c>
      <c r="R3" s="46">
        <f>1400*(100%-K3)</f>
        <v>1400</v>
      </c>
      <c r="S3" s="46">
        <v>918</v>
      </c>
      <c r="T3" s="46">
        <f t="shared" ref="T3:T15" si="0">675*(100%-L3)</f>
        <v>675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149</v>
      </c>
      <c r="H4" s="24">
        <v>43201</v>
      </c>
      <c r="I4" s="24">
        <v>43207</v>
      </c>
      <c r="J4" s="38">
        <f t="shared" ref="J4:J17" si="1">NETWORKDAYS(H4,I4,$W$3:$W$12)</f>
        <v>5</v>
      </c>
      <c r="K4" s="40">
        <f>SUM($J$4:J4)/SUM($J$4:$J$17)</f>
        <v>4.3103448275862072E-2</v>
      </c>
      <c r="L4" s="40">
        <f>SUM($J$4:J4)/SUM($J$4:$J$15)</f>
        <v>4.9504950495049507E-2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ref="P4:P17" si="2">2350*(100%-K4)</f>
        <v>2248.7068965517242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0"/>
        <v>641.58415841584156</v>
      </c>
      <c r="U4" s="46">
        <v>654</v>
      </c>
      <c r="W4" s="27">
        <v>43293</v>
      </c>
      <c r="Y4" s="16" t="s">
        <v>163</v>
      </c>
      <c r="Z4" t="s">
        <v>118</v>
      </c>
      <c r="AA4" t="s">
        <v>117</v>
      </c>
    </row>
    <row r="5" spans="1:27" x14ac:dyDescent="0.45">
      <c r="A5" s="44" t="s">
        <v>142</v>
      </c>
      <c r="D5" t="s">
        <v>237</v>
      </c>
      <c r="E5" s="27" t="s">
        <v>235</v>
      </c>
      <c r="G5" s="23" t="s">
        <v>150</v>
      </c>
      <c r="H5" s="24">
        <f>I4+1</f>
        <v>43208</v>
      </c>
      <c r="I5" s="24">
        <f>I4+14</f>
        <v>43221</v>
      </c>
      <c r="J5" s="38">
        <f t="shared" si="1"/>
        <v>10</v>
      </c>
      <c r="K5" s="40">
        <f>SUM($J$4:J5)/SUM($J$4:$J$17)</f>
        <v>0.12931034482758622</v>
      </c>
      <c r="L5" s="40">
        <f>SUM($J$4:J5)/SUM($J$4:$J$15)</f>
        <v>0.14851485148514851</v>
      </c>
      <c r="M5" s="43">
        <v>0.12559999999999999</v>
      </c>
      <c r="N5" s="43">
        <v>7.6499999999999999E-2</v>
      </c>
      <c r="O5" s="43">
        <v>0.18529999999999999</v>
      </c>
      <c r="P5" s="46">
        <f t="shared" si="2"/>
        <v>2046.1206896551726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0"/>
        <v>574.75247524752479</v>
      </c>
      <c r="U5" s="46">
        <v>525.5</v>
      </c>
      <c r="W5" s="27">
        <v>43294</v>
      </c>
      <c r="Y5" s="17" t="s">
        <v>238</v>
      </c>
      <c r="Z5" s="20">
        <v>800</v>
      </c>
      <c r="AA5" s="20"/>
    </row>
    <row r="6" spans="1:27" x14ac:dyDescent="0.45">
      <c r="A6" t="s">
        <v>146</v>
      </c>
      <c r="B6" s="52">
        <f>100%-GETPIVOTDATA("Epic Remaining Estimate",$Y$4)/GETPIVOTDATA("Epic Total Estimate",$Y$4)</f>
        <v>0.75</v>
      </c>
      <c r="C6" s="21"/>
      <c r="D6" s="21" t="s">
        <v>236</v>
      </c>
      <c r="E6" s="27">
        <f ca="1">TODAY()</f>
        <v>43299</v>
      </c>
      <c r="G6" s="23" t="s">
        <v>151</v>
      </c>
      <c r="H6" s="24">
        <f>I5+1</f>
        <v>43222</v>
      </c>
      <c r="I6" s="24">
        <f>I5+14</f>
        <v>43235</v>
      </c>
      <c r="J6" s="38">
        <f t="shared" si="1"/>
        <v>10</v>
      </c>
      <c r="K6" s="40">
        <f>SUM($J$4:J6)/SUM($J$4:$J$17)</f>
        <v>0.21551724137931033</v>
      </c>
      <c r="L6" s="40">
        <f>SUM($J$4:J6)/SUM($J$4:$J$15)</f>
        <v>0.24752475247524752</v>
      </c>
      <c r="M6" s="43">
        <v>0.2291</v>
      </c>
      <c r="N6" s="43">
        <v>0.14299999999999999</v>
      </c>
      <c r="O6" s="43">
        <v>0.30580000000000002</v>
      </c>
      <c r="P6" s="46">
        <f t="shared" si="2"/>
        <v>1843.5344827586209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0"/>
        <v>507.9207920792079</v>
      </c>
      <c r="U6" s="47">
        <v>462</v>
      </c>
      <c r="W6" s="27">
        <v>43297</v>
      </c>
      <c r="Y6" s="17" t="s">
        <v>225</v>
      </c>
      <c r="Z6" s="20">
        <v>200</v>
      </c>
      <c r="AA6" s="20">
        <v>150</v>
      </c>
    </row>
    <row r="7" spans="1:27" x14ac:dyDescent="0.45">
      <c r="A7" t="s">
        <v>147</v>
      </c>
      <c r="B7" s="32">
        <f>MAX(100%,B6)-B6</f>
        <v>0.25</v>
      </c>
      <c r="D7" s="21"/>
      <c r="E7" s="20"/>
      <c r="G7" s="23" t="s">
        <v>152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1"/>
        <v>9</v>
      </c>
      <c r="K7" s="40">
        <f>SUM($J$4:J7)/SUM($J$4:$J$17)</f>
        <v>0.29310344827586204</v>
      </c>
      <c r="L7" s="40">
        <f>SUM($J$4:J7)/SUM($J$4:$J$15)</f>
        <v>0.33663366336633666</v>
      </c>
      <c r="M7" s="43">
        <v>0.28570000000000001</v>
      </c>
      <c r="N7" s="43">
        <v>0.1867</v>
      </c>
      <c r="O7" s="43">
        <v>0.376</v>
      </c>
      <c r="P7" s="46">
        <f t="shared" si="2"/>
        <v>1661.206896551724</v>
      </c>
      <c r="Q7" s="47">
        <v>1741</v>
      </c>
      <c r="R7" s="50">
        <f t="shared" si="3"/>
        <v>989.65517241379303</v>
      </c>
      <c r="S7" s="47">
        <v>1161</v>
      </c>
      <c r="T7" s="46">
        <f t="shared" si="0"/>
        <v>447.77227722772273</v>
      </c>
      <c r="U7" s="47">
        <v>458</v>
      </c>
      <c r="W7" s="34">
        <v>43298</v>
      </c>
      <c r="Y7" s="17" t="s">
        <v>226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153</v>
      </c>
      <c r="H8" s="24">
        <f t="shared" si="4"/>
        <v>43250</v>
      </c>
      <c r="I8" s="24">
        <f t="shared" si="5"/>
        <v>43263</v>
      </c>
      <c r="J8" s="38">
        <f t="shared" si="1"/>
        <v>10</v>
      </c>
      <c r="K8" s="40">
        <f>SUM($J$4:J8)/SUM($J$4:$J$17)</f>
        <v>0.37931034482758619</v>
      </c>
      <c r="L8" s="40">
        <f>SUM($J$4:J8)/SUM($J$4:$J$15)</f>
        <v>0.43564356435643564</v>
      </c>
      <c r="M8" s="43">
        <v>0.35149999999999998</v>
      </c>
      <c r="N8" s="43">
        <v>0.26279999999999998</v>
      </c>
      <c r="O8" s="43">
        <v>0.43969999999999998</v>
      </c>
      <c r="P8" s="46">
        <f t="shared" si="2"/>
        <v>1458.6206896551726</v>
      </c>
      <c r="Q8" s="47">
        <v>1597</v>
      </c>
      <c r="R8" s="50">
        <f t="shared" si="3"/>
        <v>868.9655172413793</v>
      </c>
      <c r="S8" s="47">
        <v>1032.5</v>
      </c>
      <c r="T8" s="46">
        <f t="shared" si="0"/>
        <v>380.94059405940595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230</v>
      </c>
      <c r="B9" s="21"/>
      <c r="C9" s="21"/>
      <c r="D9" s="21"/>
      <c r="G9" s="23" t="s">
        <v>154</v>
      </c>
      <c r="H9" s="24">
        <f t="shared" si="4"/>
        <v>43264</v>
      </c>
      <c r="I9" s="24">
        <f t="shared" si="5"/>
        <v>43277</v>
      </c>
      <c r="J9" s="38">
        <f t="shared" si="1"/>
        <v>10</v>
      </c>
      <c r="K9" s="40">
        <f>SUM($J$4:J9)/SUM($J$4:$J$17)</f>
        <v>0.46551724137931033</v>
      </c>
      <c r="L9" s="40">
        <f>SUM($J$4:J9)/SUM($J$4:$J$15)</f>
        <v>0.53465346534653468</v>
      </c>
      <c r="M9" s="43">
        <v>0.47520000000000001</v>
      </c>
      <c r="N9" s="43">
        <v>0.3755</v>
      </c>
      <c r="O9" s="43">
        <v>0.57920000000000005</v>
      </c>
      <c r="P9" s="46">
        <f t="shared" ref="P9" si="6">2350*(100%-K9)</f>
        <v>1256.0344827586209</v>
      </c>
      <c r="Q9" s="47">
        <v>1184.5</v>
      </c>
      <c r="R9" s="50">
        <f t="shared" ref="R9" si="7">1400*(100%-K9)</f>
        <v>748.27586206896558</v>
      </c>
      <c r="S9" s="47">
        <v>743.5</v>
      </c>
      <c r="T9" s="46">
        <f t="shared" si="0"/>
        <v>314.10891089108907</v>
      </c>
      <c r="U9" s="47">
        <v>321.5</v>
      </c>
      <c r="W9" s="35">
        <v>43283</v>
      </c>
    </row>
    <row r="10" spans="1:27" x14ac:dyDescent="0.45">
      <c r="A10" t="s">
        <v>146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155</v>
      </c>
      <c r="H10" s="24">
        <f>I9+1</f>
        <v>43278</v>
      </c>
      <c r="I10" s="24">
        <f>I9+14</f>
        <v>43291</v>
      </c>
      <c r="J10" s="38">
        <f t="shared" si="1"/>
        <v>9</v>
      </c>
      <c r="K10" s="40">
        <f>SUM($J$4:J10)/SUM($J$4:$J$17)</f>
        <v>0.5431034482758621</v>
      </c>
      <c r="L10" s="40">
        <f>SUM($J$4:J10)/SUM($J$4:$J$15)</f>
        <v>0.62376237623762376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2"/>
        <v>1073.706896551724</v>
      </c>
      <c r="Q10" s="47">
        <v>1001</v>
      </c>
      <c r="R10" s="50">
        <f t="shared" si="3"/>
        <v>639.65517241379303</v>
      </c>
      <c r="S10" s="47">
        <v>634</v>
      </c>
      <c r="T10" s="46">
        <f t="shared" si="0"/>
        <v>253.96039603960395</v>
      </c>
      <c r="U10" s="47">
        <v>249.5</v>
      </c>
      <c r="W10" s="35">
        <v>43318</v>
      </c>
    </row>
    <row r="11" spans="1:27" x14ac:dyDescent="0.45">
      <c r="A11" t="s">
        <v>147</v>
      </c>
      <c r="B11" s="32">
        <f>MAX(100%,B10)-B10</f>
        <v>0.75</v>
      </c>
      <c r="G11" s="23" t="s">
        <v>156</v>
      </c>
      <c r="H11" s="24">
        <f t="shared" si="4"/>
        <v>43292</v>
      </c>
      <c r="I11" s="24">
        <f>I10+7</f>
        <v>43298</v>
      </c>
      <c r="J11" s="38">
        <f t="shared" si="1"/>
        <v>0</v>
      </c>
      <c r="K11" s="40">
        <f>SUM($J$4:J11)/SUM($J$4:$J$17)</f>
        <v>0.5431034482758621</v>
      </c>
      <c r="L11" s="40">
        <f>SUM($J$4:J11)/SUM($J$4:$J$15)</f>
        <v>0.62376237623762376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2"/>
        <v>1073.706896551724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0"/>
        <v>253.96039603960395</v>
      </c>
      <c r="U11" s="47">
        <v>259.5</v>
      </c>
      <c r="W11" s="35">
        <v>43346</v>
      </c>
    </row>
    <row r="12" spans="1:27" x14ac:dyDescent="0.45">
      <c r="G12" s="23" t="s">
        <v>157</v>
      </c>
      <c r="H12" s="24">
        <f t="shared" si="4"/>
        <v>43299</v>
      </c>
      <c r="I12" s="24">
        <f t="shared" si="5"/>
        <v>43312</v>
      </c>
      <c r="J12" s="38">
        <f t="shared" si="1"/>
        <v>10</v>
      </c>
      <c r="K12" s="40">
        <f>SUM($J$4:J12)/SUM($J$4:$J$17)</f>
        <v>0.62931034482758619</v>
      </c>
      <c r="L12" s="40">
        <f>SUM($J$4:J12)/SUM($J$4:$J$15)</f>
        <v>0.72277227722772275</v>
      </c>
      <c r="M12" s="43">
        <f>100%-GETPIVOTDATA("Epic Remaining Estimate",$Y$4)/GETPIVOTDATA("Epic Total Estimate",$Y$4)</f>
        <v>0.75</v>
      </c>
      <c r="N12" s="43">
        <f>100%-GETPIVOTDATA("Epic Remaining Estimate",$Y$4,"ST:Components","Diagram Editor")/GETPIVOTDATA("Epic Total Estimate",$Y$4,"ST:Components","Diagram Editor")</f>
        <v>0.25</v>
      </c>
      <c r="O12" s="43">
        <f>100%-GETPIVOTDATA("Epic Remaining Estimate",$Y$4,"ST:Components","Artifact List")/GETPIVOTDATA("Epic Total Estimate",$Y$4,"ST:Components","Artifact List")</f>
        <v>0.25</v>
      </c>
      <c r="P12" s="46">
        <f t="shared" si="2"/>
        <v>871.12068965517244</v>
      </c>
      <c r="Q12" s="47">
        <f>GETPIVOTDATA("Epic Remaining Estimate",$Y$4)</f>
        <v>300</v>
      </c>
      <c r="R12" s="50">
        <f t="shared" si="3"/>
        <v>518.9655172413793</v>
      </c>
      <c r="S12" s="47">
        <f>GETPIVOTDATA("Epic Remaining Estimate",$Y$4,"ST:Components","Diagram Editor")</f>
        <v>150</v>
      </c>
      <c r="T12" s="46">
        <f t="shared" si="0"/>
        <v>187.12871287128715</v>
      </c>
      <c r="U12" s="47">
        <f>GETPIVOTDATA("Epic Remaining Estimate",$Y$4,"ST:Components","Artifact List")</f>
        <v>150</v>
      </c>
      <c r="W12" s="35">
        <v>43381</v>
      </c>
    </row>
    <row r="13" spans="1:27" x14ac:dyDescent="0.45">
      <c r="A13" s="44" t="s">
        <v>231</v>
      </c>
      <c r="G13" s="23" t="s">
        <v>158</v>
      </c>
      <c r="H13" s="24">
        <f t="shared" si="4"/>
        <v>43313</v>
      </c>
      <c r="I13" s="24">
        <f t="shared" si="5"/>
        <v>43326</v>
      </c>
      <c r="J13" s="38">
        <f t="shared" si="1"/>
        <v>9</v>
      </c>
      <c r="K13" s="40">
        <f>SUM($J$4:J13)/SUM($J$4:$J$17)</f>
        <v>0.7068965517241379</v>
      </c>
      <c r="L13" s="40">
        <f>SUM($J$4:J13)/SUM($J$4:$J$15)</f>
        <v>0.81188118811881194</v>
      </c>
      <c r="M13" s="40"/>
      <c r="N13" s="40"/>
      <c r="O13" s="40"/>
      <c r="P13" s="46">
        <f t="shared" si="2"/>
        <v>688.79310344827593</v>
      </c>
      <c r="Q13" s="47"/>
      <c r="R13" s="50">
        <f t="shared" si="3"/>
        <v>410.34482758620692</v>
      </c>
      <c r="S13" s="47"/>
      <c r="T13" s="46">
        <f t="shared" si="0"/>
        <v>126.98019801980195</v>
      </c>
      <c r="U13" s="47"/>
    </row>
    <row r="14" spans="1:27" x14ac:dyDescent="0.45">
      <c r="A14" t="s">
        <v>146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159</v>
      </c>
      <c r="H14" s="24">
        <f t="shared" si="4"/>
        <v>43327</v>
      </c>
      <c r="I14" s="24">
        <f t="shared" si="5"/>
        <v>43340</v>
      </c>
      <c r="J14" s="38">
        <f t="shared" si="1"/>
        <v>10</v>
      </c>
      <c r="K14" s="40">
        <f>SUM($J$4:J14)/SUM($J$4:$J$17)</f>
        <v>0.7931034482758621</v>
      </c>
      <c r="L14" s="40">
        <f>SUM($J$4:J14)/SUM($J$4:$J$15)</f>
        <v>0.91089108910891092</v>
      </c>
      <c r="M14" s="40"/>
      <c r="N14" s="40"/>
      <c r="O14" s="40"/>
      <c r="P14" s="46">
        <f t="shared" si="2"/>
        <v>486.20689655172407</v>
      </c>
      <c r="Q14" s="47"/>
      <c r="R14" s="50">
        <f t="shared" si="3"/>
        <v>289.65517241379308</v>
      </c>
      <c r="S14" s="47"/>
      <c r="T14" s="46">
        <f t="shared" si="0"/>
        <v>60.148514851485125</v>
      </c>
      <c r="U14" s="47"/>
    </row>
    <row r="15" spans="1:27" x14ac:dyDescent="0.45">
      <c r="A15" t="s">
        <v>147</v>
      </c>
      <c r="B15" s="32">
        <f>MAX(100%,B14)-B14</f>
        <v>0.75</v>
      </c>
      <c r="G15" s="23" t="s">
        <v>160</v>
      </c>
      <c r="H15" s="24">
        <f t="shared" si="4"/>
        <v>43341</v>
      </c>
      <c r="I15" s="24">
        <f t="shared" si="5"/>
        <v>43354</v>
      </c>
      <c r="J15" s="38">
        <f t="shared" si="1"/>
        <v>9</v>
      </c>
      <c r="K15" s="40">
        <f>SUM($J$4:J15)/SUM($J$4:$J$17)</f>
        <v>0.87068965517241381</v>
      </c>
      <c r="L15" s="40">
        <f>SUM($J$4:J15)/SUM($J$4:$J$15)</f>
        <v>1</v>
      </c>
      <c r="M15" s="40"/>
      <c r="N15" s="40"/>
      <c r="O15" s="40"/>
      <c r="P15" s="46">
        <f t="shared" si="2"/>
        <v>303.87931034482756</v>
      </c>
      <c r="Q15" s="47"/>
      <c r="R15" s="50">
        <f t="shared" si="3"/>
        <v>181.03448275862067</v>
      </c>
      <c r="S15" s="47"/>
      <c r="T15" s="46">
        <f t="shared" si="0"/>
        <v>0</v>
      </c>
      <c r="U15" s="47"/>
    </row>
    <row r="16" spans="1:27" x14ac:dyDescent="0.45">
      <c r="G16" s="23" t="s">
        <v>161</v>
      </c>
      <c r="H16" s="24">
        <f t="shared" si="4"/>
        <v>43355</v>
      </c>
      <c r="I16" s="24">
        <f t="shared" si="5"/>
        <v>43368</v>
      </c>
      <c r="J16" s="38">
        <f t="shared" si="1"/>
        <v>10</v>
      </c>
      <c r="K16" s="40">
        <f>SUM($J$4:J16)/SUM($J$4:$J$17)</f>
        <v>0.9568965517241379</v>
      </c>
      <c r="L16" s="40"/>
      <c r="M16" s="40"/>
      <c r="N16" s="40"/>
      <c r="O16" s="40"/>
      <c r="P16" s="46">
        <f t="shared" si="2"/>
        <v>101.29310344827593</v>
      </c>
      <c r="Q16" s="47"/>
      <c r="R16" s="50">
        <f t="shared" si="3"/>
        <v>60.344827586206939</v>
      </c>
      <c r="S16" s="47"/>
      <c r="T16" s="46"/>
      <c r="U16" s="47"/>
    </row>
    <row r="17" spans="1:21" x14ac:dyDescent="0.45">
      <c r="A17" s="44" t="s">
        <v>257</v>
      </c>
      <c r="B17" s="44" t="s">
        <v>258</v>
      </c>
      <c r="G17" s="25" t="s">
        <v>162</v>
      </c>
      <c r="H17" s="26">
        <f t="shared" si="4"/>
        <v>43369</v>
      </c>
      <c r="I17" s="26">
        <f>I16+7</f>
        <v>43375</v>
      </c>
      <c r="J17" s="39">
        <f t="shared" si="1"/>
        <v>5</v>
      </c>
      <c r="K17" s="41">
        <f>SUM($J$4:J17)/SUM($J$4:$J$17)</f>
        <v>1</v>
      </c>
      <c r="L17" s="41"/>
      <c r="M17" s="41"/>
      <c r="N17" s="41"/>
      <c r="O17" s="41"/>
      <c r="P17" s="49">
        <f t="shared" si="2"/>
        <v>0</v>
      </c>
      <c r="Q17" s="48"/>
      <c r="R17" s="49">
        <f t="shared" si="3"/>
        <v>0</v>
      </c>
      <c r="S17" s="48"/>
      <c r="T17" s="49"/>
      <c r="U17" s="48"/>
    </row>
    <row r="18" spans="1:21" x14ac:dyDescent="0.45">
      <c r="A18" t="s">
        <v>146</v>
      </c>
      <c r="B18" s="52">
        <f ca="1">MAX(NETWORKDAYS($D$3,$E$6,$W$3:$W$12)/NETWORKDAYS($D$3,$E$4,$W$3:$W$12),0%)</f>
        <v>0.63366336633663367</v>
      </c>
    </row>
    <row r="19" spans="1:21" x14ac:dyDescent="0.45">
      <c r="A19" t="s">
        <v>147</v>
      </c>
      <c r="B19" s="32">
        <f ca="1">MAX(100%,B18)-B18</f>
        <v>0.36633663366336633</v>
      </c>
    </row>
    <row r="20" spans="1:21" x14ac:dyDescent="0.45">
      <c r="D20" s="16" t="s">
        <v>142</v>
      </c>
      <c r="E20" t="s">
        <v>145</v>
      </c>
      <c r="G20" s="16" t="s">
        <v>142</v>
      </c>
      <c r="H20" t="s">
        <v>145</v>
      </c>
    </row>
    <row r="21" spans="1:21" x14ac:dyDescent="0.45">
      <c r="A21" s="16" t="s">
        <v>142</v>
      </c>
      <c r="B21" t="s">
        <v>145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226</v>
      </c>
      <c r="G22" s="16" t="s">
        <v>20</v>
      </c>
      <c r="H22" t="s">
        <v>225</v>
      </c>
    </row>
    <row r="24" spans="1:21" x14ac:dyDescent="0.45">
      <c r="A24" s="16" t="s">
        <v>220</v>
      </c>
      <c r="D24" s="16" t="s">
        <v>220</v>
      </c>
      <c r="G24" s="16" t="s">
        <v>220</v>
      </c>
    </row>
    <row r="25" spans="1:21" x14ac:dyDescent="0.45">
      <c r="A25" s="17" t="s">
        <v>221</v>
      </c>
      <c r="B25" s="20">
        <v>900</v>
      </c>
      <c r="D25" s="17" t="s">
        <v>221</v>
      </c>
      <c r="E25" s="20">
        <v>50</v>
      </c>
      <c r="G25" s="17" t="s">
        <v>221</v>
      </c>
      <c r="H25" s="20">
        <v>50</v>
      </c>
    </row>
    <row r="26" spans="1:21" x14ac:dyDescent="0.45">
      <c r="A26" s="17" t="s">
        <v>222</v>
      </c>
      <c r="B26" s="20">
        <v>80</v>
      </c>
      <c r="D26" s="17" t="s">
        <v>222</v>
      </c>
      <c r="E26" s="20">
        <v>40</v>
      </c>
      <c r="G26" s="17" t="s">
        <v>222</v>
      </c>
      <c r="H26" s="20">
        <v>40</v>
      </c>
    </row>
    <row r="27" spans="1:21" x14ac:dyDescent="0.45">
      <c r="A27" s="17" t="s">
        <v>194</v>
      </c>
      <c r="B27" s="20">
        <v>120</v>
      </c>
      <c r="D27" s="17" t="s">
        <v>194</v>
      </c>
      <c r="E27" s="20">
        <v>60</v>
      </c>
      <c r="G27" s="17" t="s">
        <v>194</v>
      </c>
      <c r="H27" s="20">
        <v>60</v>
      </c>
    </row>
    <row r="28" spans="1:21" x14ac:dyDescent="0.45">
      <c r="A28" s="17" t="s">
        <v>223</v>
      </c>
      <c r="B28" s="20">
        <v>60</v>
      </c>
      <c r="D28" s="17" t="s">
        <v>223</v>
      </c>
      <c r="E28" s="20">
        <v>30</v>
      </c>
      <c r="G28" s="17" t="s">
        <v>223</v>
      </c>
      <c r="H28" s="20">
        <v>30</v>
      </c>
    </row>
    <row r="29" spans="1:21" x14ac:dyDescent="0.45">
      <c r="A29" s="17" t="s">
        <v>224</v>
      </c>
      <c r="B29" s="20">
        <v>840</v>
      </c>
      <c r="D29" s="17" t="s">
        <v>224</v>
      </c>
      <c r="E29" s="20">
        <v>20</v>
      </c>
      <c r="G29" s="17" t="s">
        <v>224</v>
      </c>
      <c r="H29" s="20">
        <v>20</v>
      </c>
    </row>
    <row r="31" spans="1:21" x14ac:dyDescent="0.45">
      <c r="A31" s="16" t="s">
        <v>142</v>
      </c>
      <c r="B31" t="s">
        <v>145</v>
      </c>
      <c r="D31" s="16" t="s">
        <v>142</v>
      </c>
      <c r="E31" t="s">
        <v>145</v>
      </c>
      <c r="G31" s="16" t="s">
        <v>142</v>
      </c>
      <c r="H31" t="s">
        <v>145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226</v>
      </c>
      <c r="G33" s="16" t="s">
        <v>20</v>
      </c>
      <c r="H33" t="s">
        <v>225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142</v>
      </c>
      <c r="B47" t="s">
        <v>145</v>
      </c>
    </row>
    <row r="49" spans="1:2" x14ac:dyDescent="0.45">
      <c r="A49" s="16" t="s">
        <v>163</v>
      </c>
      <c r="B49" t="s">
        <v>118</v>
      </c>
    </row>
    <row r="50" spans="1:2" x14ac:dyDescent="0.45">
      <c r="A50" s="17" t="s">
        <v>230</v>
      </c>
      <c r="B50" s="20">
        <v>200</v>
      </c>
    </row>
    <row r="51" spans="1:2" x14ac:dyDescent="0.45">
      <c r="A51" s="17" t="s">
        <v>231</v>
      </c>
      <c r="B51" s="20">
        <v>200</v>
      </c>
    </row>
    <row r="52" spans="1:2" x14ac:dyDescent="0.45">
      <c r="A52" s="17" t="s">
        <v>239</v>
      </c>
      <c r="B52" s="20">
        <v>200</v>
      </c>
    </row>
    <row r="53" spans="1:2" x14ac:dyDescent="0.45">
      <c r="A53" s="17" t="s">
        <v>240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2" priority="3" operator="notEqual">
      <formula>$A$35</formula>
    </cfRule>
  </conditionalFormatting>
  <conditionalFormatting sqref="E36">
    <cfRule type="cellIs" dxfId="1" priority="2" operator="notEqual">
      <formula>$D$36</formula>
    </cfRule>
  </conditionalFormatting>
  <conditionalFormatting sqref="H36">
    <cfRule type="cellIs" dxfId="0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142</v>
      </c>
      <c r="E1" s="74"/>
      <c r="F1" s="74"/>
      <c r="G1" s="74"/>
      <c r="H1" s="74"/>
      <c r="I1" s="74"/>
      <c r="J1" s="74"/>
      <c r="K1" s="74"/>
      <c r="L1" s="74" t="s">
        <v>230</v>
      </c>
      <c r="M1" s="74"/>
      <c r="N1" s="74"/>
      <c r="O1" s="74"/>
      <c r="P1" s="74"/>
      <c r="Q1" s="74"/>
      <c r="R1" s="74"/>
      <c r="S1" s="74"/>
      <c r="T1" s="74" t="s">
        <v>231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242</v>
      </c>
      <c r="B2" s="56" t="s">
        <v>131</v>
      </c>
      <c r="C2" s="56" t="s">
        <v>132</v>
      </c>
      <c r="D2" s="57" t="s">
        <v>260</v>
      </c>
      <c r="E2" s="58" t="s">
        <v>261</v>
      </c>
      <c r="F2" s="59" t="s">
        <v>123</v>
      </c>
      <c r="G2" s="59" t="s">
        <v>262</v>
      </c>
      <c r="H2" s="59" t="s">
        <v>263</v>
      </c>
      <c r="I2" s="59" t="s">
        <v>264</v>
      </c>
      <c r="J2" s="59" t="s">
        <v>265</v>
      </c>
      <c r="K2" s="60" t="s">
        <v>266</v>
      </c>
      <c r="L2" s="57" t="s">
        <v>260</v>
      </c>
      <c r="M2" s="58" t="s">
        <v>261</v>
      </c>
      <c r="N2" s="59" t="s">
        <v>123</v>
      </c>
      <c r="O2" s="59" t="s">
        <v>262</v>
      </c>
      <c r="P2" s="59" t="s">
        <v>263</v>
      </c>
      <c r="Q2" s="59" t="s">
        <v>264</v>
      </c>
      <c r="R2" s="59" t="s">
        <v>265</v>
      </c>
      <c r="S2" s="60" t="s">
        <v>266</v>
      </c>
      <c r="T2" s="61" t="s">
        <v>260</v>
      </c>
      <c r="U2" s="58" t="s">
        <v>261</v>
      </c>
      <c r="V2" s="59" t="s">
        <v>123</v>
      </c>
      <c r="W2" s="59" t="s">
        <v>262</v>
      </c>
      <c r="X2" s="59" t="s">
        <v>263</v>
      </c>
      <c r="Y2" s="59" t="s">
        <v>264</v>
      </c>
      <c r="Z2" s="59" t="s">
        <v>265</v>
      </c>
      <c r="AA2" s="60" t="s">
        <v>266</v>
      </c>
      <c r="AB2" s="62"/>
    </row>
    <row r="3" spans="1:34" x14ac:dyDescent="0.45">
      <c r="A3" t="s">
        <v>267</v>
      </c>
      <c r="B3" s="64"/>
      <c r="C3" s="64"/>
      <c r="D3" s="65">
        <v>2023</v>
      </c>
      <c r="E3" s="66">
        <v>2350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675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149</v>
      </c>
      <c r="B4" s="68">
        <v>43194</v>
      </c>
      <c r="C4" s="68">
        <v>43207</v>
      </c>
      <c r="D4" s="65">
        <v>2442</v>
      </c>
      <c r="E4" s="66">
        <v>2350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675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150</v>
      </c>
      <c r="B5" s="68">
        <v>43208</v>
      </c>
      <c r="C5" s="68">
        <v>43221</v>
      </c>
      <c r="D5" s="65">
        <v>2743.8</v>
      </c>
      <c r="E5" s="66">
        <v>2350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675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151</v>
      </c>
      <c r="B6" s="68">
        <v>43222</v>
      </c>
      <c r="C6" s="68">
        <v>43235</v>
      </c>
      <c r="D6" s="65">
        <v>2412</v>
      </c>
      <c r="E6" s="66">
        <v>2350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675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152</v>
      </c>
      <c r="B7" s="68">
        <v>43236</v>
      </c>
      <c r="C7" s="68">
        <v>43249</v>
      </c>
      <c r="D7" s="65">
        <v>2437.5</v>
      </c>
      <c r="E7" s="66">
        <v>2350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675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153</v>
      </c>
      <c r="B8" s="68">
        <v>43250</v>
      </c>
      <c r="C8" s="68">
        <v>43263</v>
      </c>
      <c r="D8" s="65">
        <v>2462.5</v>
      </c>
      <c r="E8" s="66">
        <v>2350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675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142</v>
      </c>
      <c r="AE8" t="s">
        <v>227</v>
      </c>
    </row>
    <row r="9" spans="1:34" x14ac:dyDescent="0.45">
      <c r="A9" t="s">
        <v>154</v>
      </c>
      <c r="B9" s="68">
        <v>43264</v>
      </c>
      <c r="C9" s="68">
        <v>43277</v>
      </c>
      <c r="D9" s="65">
        <v>2257</v>
      </c>
      <c r="E9" s="66">
        <v>2350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675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155</v>
      </c>
      <c r="B10" s="68">
        <v>43278</v>
      </c>
      <c r="C10" s="68">
        <v>43291</v>
      </c>
      <c r="D10" s="65">
        <v>2264.5</v>
      </c>
      <c r="E10" s="66">
        <v>2350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675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209</v>
      </c>
    </row>
    <row r="11" spans="1:34" x14ac:dyDescent="0.45">
      <c r="A11" t="s">
        <v>156</v>
      </c>
      <c r="B11" s="68">
        <v>43292</v>
      </c>
      <c r="C11" s="68">
        <v>43298</v>
      </c>
      <c r="D11" s="65">
        <v>2220.5</v>
      </c>
      <c r="E11" s="66">
        <v>2350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675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157</v>
      </c>
      <c r="B12" s="68">
        <v>43299</v>
      </c>
      <c r="C12" s="68">
        <v>43312</v>
      </c>
      <c r="D12" s="65">
        <f>GETPIVOTDATA("Epic Total Estimate", $AD$8, "Type", "Epic")</f>
        <v>1200</v>
      </c>
      <c r="E12" s="66">
        <v>2350</v>
      </c>
      <c r="F12" s="46">
        <f>GETPIVOTDATA("Stories Estimate", $AD$8, "Type", "Epic")</f>
        <v>0</v>
      </c>
      <c r="G12" s="46">
        <f>GETPIVOTDATA("Epic Decomposed", $AD$8, "Type", "Epic")</f>
        <v>360</v>
      </c>
      <c r="H12" s="46">
        <f t="shared" ref="H12" si="10">D12-I12</f>
        <v>900</v>
      </c>
      <c r="I12" s="46">
        <f>GETPIVOTDATA("Epic Remaining Estimate", $AD$8, "Type", "Epic")</f>
        <v>300</v>
      </c>
      <c r="J12" s="36">
        <f t="shared" ref="J12" si="11" xml:space="preserve"> G12/D12</f>
        <v>0.3</v>
      </c>
      <c r="K12" s="36">
        <f t="shared" ref="K12" si="12" xml:space="preserve"> H12/D12</f>
        <v>0.75</v>
      </c>
      <c r="L12" s="67">
        <f>GETPIVOTDATA("Epic Total Estimate", $AD$8, "Type", "Epic", "ST:Components", "Diagram Editor")</f>
        <v>200</v>
      </c>
      <c r="M12" s="66">
        <v>1400</v>
      </c>
      <c r="N12" s="46">
        <f>GETPIVOTDATA("Stories Estimate", $AD$8, "Type", "Epic", "ST:Components", "Diagram Editor")</f>
        <v>0</v>
      </c>
      <c r="O12" s="46">
        <f>GETPIVOTDATA("Epic Decomposed", $AD$8, "Type", "Epic", "ST:Components", "Diagram Editor")</f>
        <v>180</v>
      </c>
      <c r="P12" s="46">
        <f t="shared" ref="P12" si="13">L12-Q12</f>
        <v>50</v>
      </c>
      <c r="Q12" s="46">
        <f>GETPIVOTDATA("Epic Remaining Estimate", $AD$8, "Type", "Epic", "ST:Components", "Diagram Editor")</f>
        <v>150</v>
      </c>
      <c r="R12" s="36">
        <f t="shared" ref="R12" si="14" xml:space="preserve"> O12/L12</f>
        <v>0.9</v>
      </c>
      <c r="S12" s="36">
        <f t="shared" ref="S12" si="15" xml:space="preserve"> P12/L12</f>
        <v>0.25</v>
      </c>
      <c r="T12" s="65">
        <f>GETPIVOTDATA("Epic Total Estimate", $AD$8, "Type", "Epic", "ST:Components", "Artifact List")</f>
        <v>200</v>
      </c>
      <c r="U12" s="66">
        <v>675</v>
      </c>
      <c r="V12" s="46">
        <f>GETPIVOTDATA("Stories Estimate", $AD$8, "Type", "Epic", "ST:Components", "Artifact List")</f>
        <v>0</v>
      </c>
      <c r="W12" s="46">
        <f>GETPIVOTDATA("Epic Decomposed", $AD$8, "Type", "Epic", "ST:Components", "Artifact List")</f>
        <v>180</v>
      </c>
      <c r="X12" s="46">
        <f t="shared" ref="X12" si="16">T12-Y12</f>
        <v>50</v>
      </c>
      <c r="Y12" s="46">
        <f>GETPIVOTDATA("Epic Remaining Estimate", $AD$8, "Type", "Epic", "ST:Components", "Artifact List")</f>
        <v>150</v>
      </c>
      <c r="Z12" s="36">
        <f t="shared" ref="Z12" si="17" xml:space="preserve"> W12/T12</f>
        <v>0.9</v>
      </c>
      <c r="AA12" s="36">
        <f t="shared" ref="AA12" si="18">X12/T12</f>
        <v>0.25</v>
      </c>
      <c r="AD12" s="16" t="s">
        <v>163</v>
      </c>
      <c r="AE12" t="s">
        <v>118</v>
      </c>
      <c r="AF12" t="s">
        <v>268</v>
      </c>
      <c r="AG12" t="s">
        <v>269</v>
      </c>
      <c r="AH12" t="s">
        <v>117</v>
      </c>
    </row>
    <row r="13" spans="1:34" x14ac:dyDescent="0.45">
      <c r="A13" t="s">
        <v>158</v>
      </c>
      <c r="B13" s="68">
        <v>43313</v>
      </c>
      <c r="C13" s="68">
        <v>43326</v>
      </c>
      <c r="E13" s="66">
        <v>2350</v>
      </c>
      <c r="M13" s="66">
        <v>1400</v>
      </c>
      <c r="U13" s="66">
        <v>675</v>
      </c>
      <c r="AD13" s="17" t="s">
        <v>225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159</v>
      </c>
      <c r="B14" s="68">
        <v>43327</v>
      </c>
      <c r="C14" s="68">
        <v>43340</v>
      </c>
      <c r="E14" s="66">
        <v>2350</v>
      </c>
      <c r="M14" s="66">
        <v>1400</v>
      </c>
      <c r="U14" s="66">
        <v>675</v>
      </c>
      <c r="AD14" s="17" t="s">
        <v>226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160</v>
      </c>
      <c r="B15" s="68">
        <v>43341</v>
      </c>
      <c r="C15" s="68">
        <v>43354</v>
      </c>
      <c r="E15" s="66">
        <v>2350</v>
      </c>
      <c r="M15" s="66">
        <v>1400</v>
      </c>
      <c r="U15" s="66">
        <v>675</v>
      </c>
      <c r="AD15" s="17" t="s">
        <v>238</v>
      </c>
      <c r="AE15" s="20">
        <v>800</v>
      </c>
      <c r="AF15" s="20"/>
      <c r="AG15" s="20"/>
      <c r="AH15" s="20"/>
    </row>
    <row r="16" spans="1:34" x14ac:dyDescent="0.45">
      <c r="A16" t="s">
        <v>161</v>
      </c>
      <c r="B16" s="68">
        <v>43355</v>
      </c>
      <c r="C16" s="68">
        <v>43368</v>
      </c>
      <c r="E16" s="66">
        <v>2350</v>
      </c>
      <c r="M16" s="66">
        <v>1400</v>
      </c>
      <c r="U16" s="66">
        <v>675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162</v>
      </c>
      <c r="B17" s="70">
        <v>43369</v>
      </c>
      <c r="C17" s="70">
        <v>43382</v>
      </c>
      <c r="E17" s="66">
        <v>2350</v>
      </c>
      <c r="M17" s="66">
        <v>1400</v>
      </c>
      <c r="U17" s="66">
        <v>675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14.33203125" customWidth="1"/>
    <col min="5" max="5" width="9.46484375" customWidth="1"/>
    <col min="6" max="6" width="8.19921875" bestFit="1" customWidth="1"/>
    <col min="7" max="7" width="10.9296875" bestFit="1" customWidth="1"/>
    <col min="8" max="8" width="10.19921875" bestFit="1" customWidth="1"/>
    <col min="9" max="9" width="10.9296875" bestFit="1" customWidth="1"/>
    <col min="10" max="10" width="10.19921875" bestFit="1" customWidth="1"/>
  </cols>
  <sheetData>
    <row r="3" spans="2:3" x14ac:dyDescent="0.45">
      <c r="B3" s="16" t="s">
        <v>163</v>
      </c>
      <c r="C3" t="s">
        <v>244</v>
      </c>
    </row>
    <row r="4" spans="2:3" x14ac:dyDescent="0.45">
      <c r="B4" s="17" t="s">
        <v>68</v>
      </c>
      <c r="C4" s="20">
        <v>840</v>
      </c>
    </row>
    <row r="5" spans="2:3" x14ac:dyDescent="0.45">
      <c r="B5" s="17" t="s">
        <v>50</v>
      </c>
      <c r="C5" s="20">
        <v>840</v>
      </c>
    </row>
    <row r="9" spans="2:3" x14ac:dyDescent="0.45">
      <c r="B9" s="16" t="s">
        <v>9</v>
      </c>
      <c r="C9" t="s">
        <v>199</v>
      </c>
    </row>
    <row r="10" spans="2:3" x14ac:dyDescent="0.45">
      <c r="B10" s="16" t="s">
        <v>0</v>
      </c>
      <c r="C10" t="s">
        <v>199</v>
      </c>
    </row>
    <row r="12" spans="2:3" x14ac:dyDescent="0.45">
      <c r="B12" t="s">
        <v>190</v>
      </c>
    </row>
    <row r="13" spans="2:3" x14ac:dyDescent="0.45">
      <c r="B13" s="20">
        <v>150</v>
      </c>
    </row>
    <row r="20" spans="2:4" x14ac:dyDescent="0.45">
      <c r="B20" t="s">
        <v>242</v>
      </c>
      <c r="C20" t="s">
        <v>245</v>
      </c>
      <c r="D20" t="s">
        <v>246</v>
      </c>
    </row>
    <row r="21" spans="2:4" x14ac:dyDescent="0.45">
      <c r="B21" t="s">
        <v>149</v>
      </c>
      <c r="C21">
        <v>1872.5</v>
      </c>
      <c r="D21">
        <v>227.5</v>
      </c>
    </row>
    <row r="22" spans="2:4" x14ac:dyDescent="0.45">
      <c r="B22" t="s">
        <v>150</v>
      </c>
      <c r="C22">
        <v>1932.75</v>
      </c>
      <c r="D22">
        <v>291</v>
      </c>
    </row>
    <row r="23" spans="2:4" x14ac:dyDescent="0.45">
      <c r="B23" t="s">
        <v>151</v>
      </c>
      <c r="C23">
        <v>1438</v>
      </c>
      <c r="D23">
        <v>286</v>
      </c>
    </row>
    <row r="24" spans="2:4" x14ac:dyDescent="0.45">
      <c r="B24" t="s">
        <v>152</v>
      </c>
      <c r="C24">
        <v>1265</v>
      </c>
      <c r="D24">
        <v>339.5</v>
      </c>
    </row>
    <row r="25" spans="2:4" x14ac:dyDescent="0.45">
      <c r="B25" t="s">
        <v>153</v>
      </c>
      <c r="C25">
        <v>1099</v>
      </c>
      <c r="D25">
        <v>348</v>
      </c>
    </row>
    <row r="26" spans="2:4" x14ac:dyDescent="0.45">
      <c r="B26" t="s">
        <v>154</v>
      </c>
      <c r="C26">
        <v>779</v>
      </c>
      <c r="D26">
        <v>348</v>
      </c>
    </row>
    <row r="27" spans="2:4" x14ac:dyDescent="0.45">
      <c r="B27" t="s">
        <v>155</v>
      </c>
      <c r="C27">
        <v>701</v>
      </c>
      <c r="D27">
        <v>217</v>
      </c>
    </row>
    <row r="28" spans="2:4" x14ac:dyDescent="0.45">
      <c r="B28" t="s">
        <v>156</v>
      </c>
      <c r="C28">
        <v>521</v>
      </c>
      <c r="D28">
        <v>222.5</v>
      </c>
    </row>
    <row r="29" spans="2:4" x14ac:dyDescent="0.45">
      <c r="B29" t="s">
        <v>157</v>
      </c>
      <c r="C29">
        <f t="shared" ref="C28:C29" si="0">GETPIVOTDATA("Epic Not Decomposed Estimate",$B$3)</f>
        <v>840</v>
      </c>
      <c r="D29">
        <f t="shared" ref="D28:D29" si="1">GETPIVOTDATA("Story Points",$B$12)</f>
        <v>150</v>
      </c>
    </row>
    <row r="30" spans="2:4" x14ac:dyDescent="0.45">
      <c r="B30" t="s">
        <v>158</v>
      </c>
    </row>
    <row r="31" spans="2:4" x14ac:dyDescent="0.45">
      <c r="B31" t="s">
        <v>159</v>
      </c>
    </row>
    <row r="32" spans="2:4" x14ac:dyDescent="0.45">
      <c r="B32" t="s">
        <v>160</v>
      </c>
    </row>
    <row r="33" spans="2:2" x14ac:dyDescent="0.45">
      <c r="B33" t="s">
        <v>161</v>
      </c>
    </row>
    <row r="34" spans="2:2" x14ac:dyDescent="0.45">
      <c r="B34" t="s">
        <v>162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ivotSelection pane="bottomRight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142</v>
      </c>
      <c r="B1" t="s">
        <v>145</v>
      </c>
      <c r="D1" s="16" t="s">
        <v>142</v>
      </c>
      <c r="E1" t="s">
        <v>145</v>
      </c>
      <c r="G1" s="16" t="s">
        <v>142</v>
      </c>
      <c r="H1" t="s">
        <v>145</v>
      </c>
      <c r="J1" s="16" t="s">
        <v>142</v>
      </c>
      <c r="K1" t="s">
        <v>145</v>
      </c>
    </row>
    <row r="2" spans="1:11" x14ac:dyDescent="0.45">
      <c r="A2" s="16" t="s">
        <v>9</v>
      </c>
      <c r="B2" t="s">
        <v>199</v>
      </c>
      <c r="D2" s="16" t="s">
        <v>9</v>
      </c>
      <c r="E2" t="s">
        <v>199</v>
      </c>
      <c r="G2" s="16" t="s">
        <v>9</v>
      </c>
      <c r="H2" t="s">
        <v>199</v>
      </c>
      <c r="J2" s="16" t="s">
        <v>9</v>
      </c>
      <c r="K2" t="s">
        <v>199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163</v>
      </c>
      <c r="B5" t="s">
        <v>190</v>
      </c>
      <c r="D5" s="16" t="s">
        <v>163</v>
      </c>
      <c r="E5" t="s">
        <v>190</v>
      </c>
      <c r="G5" s="16" t="s">
        <v>163</v>
      </c>
      <c r="H5" t="s">
        <v>190</v>
      </c>
      <c r="J5" s="16" t="s">
        <v>163</v>
      </c>
      <c r="K5" t="s">
        <v>190</v>
      </c>
    </row>
    <row r="6" spans="1:11" x14ac:dyDescent="0.45">
      <c r="A6" s="17" t="s">
        <v>197</v>
      </c>
      <c r="B6" s="20">
        <v>10</v>
      </c>
      <c r="D6" s="17" t="s">
        <v>197</v>
      </c>
      <c r="E6" s="20">
        <v>20</v>
      </c>
      <c r="G6" s="17" t="s">
        <v>197</v>
      </c>
      <c r="H6" s="20">
        <v>30</v>
      </c>
      <c r="J6" s="17" t="s">
        <v>197</v>
      </c>
      <c r="K6" s="20">
        <v>40</v>
      </c>
    </row>
    <row r="7" spans="1:11" x14ac:dyDescent="0.45">
      <c r="A7" s="17" t="s">
        <v>195</v>
      </c>
      <c r="B7" s="20">
        <v>10</v>
      </c>
      <c r="D7" s="17" t="s">
        <v>195</v>
      </c>
      <c r="E7" s="20">
        <v>20</v>
      </c>
      <c r="G7" s="17" t="s">
        <v>195</v>
      </c>
      <c r="H7" s="20">
        <v>30</v>
      </c>
      <c r="J7" s="17" t="s">
        <v>195</v>
      </c>
      <c r="K7" s="20">
        <v>40</v>
      </c>
    </row>
    <row r="8" spans="1:11" x14ac:dyDescent="0.45">
      <c r="A8" s="17" t="s">
        <v>194</v>
      </c>
      <c r="B8" s="20">
        <v>10</v>
      </c>
      <c r="D8" s="17" t="s">
        <v>194</v>
      </c>
      <c r="E8" s="20">
        <v>20</v>
      </c>
      <c r="G8" s="17" t="s">
        <v>194</v>
      </c>
      <c r="H8" s="20">
        <v>30</v>
      </c>
      <c r="J8" s="17" t="s">
        <v>194</v>
      </c>
      <c r="K8" s="20">
        <v>40</v>
      </c>
    </row>
    <row r="9" spans="1:11" x14ac:dyDescent="0.45">
      <c r="A9" s="17" t="s">
        <v>223</v>
      </c>
      <c r="B9" s="20">
        <v>10</v>
      </c>
      <c r="D9" s="17" t="s">
        <v>223</v>
      </c>
      <c r="E9" s="20">
        <v>20</v>
      </c>
      <c r="G9" s="17" t="s">
        <v>223</v>
      </c>
      <c r="H9" s="20">
        <v>30</v>
      </c>
      <c r="J9" s="17" t="s">
        <v>223</v>
      </c>
      <c r="K9" s="20">
        <v>40</v>
      </c>
    </row>
    <row r="10" spans="1:11" x14ac:dyDescent="0.45">
      <c r="A10" s="17" t="s">
        <v>193</v>
      </c>
      <c r="B10" s="20">
        <v>10</v>
      </c>
      <c r="D10" s="17" t="s">
        <v>193</v>
      </c>
      <c r="E10" s="20">
        <v>20</v>
      </c>
      <c r="G10" s="17" t="s">
        <v>193</v>
      </c>
      <c r="H10" s="20">
        <v>30</v>
      </c>
      <c r="J10" s="17" t="s">
        <v>193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2018-07-18T15:40:11Z</dcterms:modified>
</cp:coreProperties>
</file>