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27D64716-1C92-4931-8875-AA4FD95992D8}" xr6:coauthVersionLast="45" xr6:coauthVersionMax="45" xr10:uidLastSave="{00000000-0000-0000-0000-000000000000}"/>
  <bookViews>
    <workbookView xWindow="-120" yWindow="-16320" windowWidth="29040" windowHeight="15840" tabRatio="741" firstSheet="7" activeTab="19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16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E6" i="30"/>
  <c r="I6" i="30"/>
  <c r="F6" i="30"/>
  <c r="G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E5" i="29"/>
  <c r="H5" i="29"/>
  <c r="J5" i="29"/>
  <c r="G5" i="29"/>
  <c r="F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AE9" i="26"/>
  <c r="AD9" i="26"/>
  <c r="I9" i="26"/>
  <c r="AW9" i="26"/>
  <c r="AT9" i="26"/>
  <c r="F9" i="26"/>
  <c r="L9" i="26"/>
  <c r="O9" i="26"/>
  <c r="D21" i="24"/>
  <c r="AG9" i="26"/>
  <c r="AU9" i="26"/>
  <c r="W9" i="26"/>
  <c r="AB9" i="26"/>
  <c r="C21" i="24"/>
  <c r="G9" i="26"/>
  <c r="T9" i="26"/>
  <c r="V9" i="26"/>
  <c r="Y9" i="26"/>
  <c r="AR9" i="26"/>
  <c r="Q9" i="26"/>
  <c r="N9" i="26"/>
  <c r="D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P9" i="9"/>
  <c r="R9" i="9"/>
  <c r="AG9" i="9"/>
  <c r="O9" i="9"/>
  <c r="M9" i="9"/>
  <c r="N9" i="9"/>
  <c r="AI9" i="9"/>
  <c r="V9" i="9"/>
  <c r="X9" i="9"/>
  <c r="T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B18" i="9"/>
  <c r="AG21" i="9"/>
  <c r="B14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<sst xmlns="http://schemas.openxmlformats.org/spreadsheetml/2006/main" count="1241" uniqueCount="320">
  <si>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</si>
  <si>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</si>
  <si>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</si>
  <si>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</si>
  <si>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</si>
  <si>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</si>
  <si>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</si>
  <si>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</si>
  <si>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</si>
  <si>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</si>
  <si>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</si>
  <si>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</si>
  <si>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</si>
  <si>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</si>
  <si>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</si>
  <si>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</si>
  <si>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</si>
  <si>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</si>
  <si>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</si>
  <si>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</si>
  <si>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</si>
  <si>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</si>
  <si>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</si>
  <si>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</si>
  <si>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</si>
  <si>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</si>
  <si>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</si>
  <si>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</si>
  <si>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</si>
  <si>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</si>
  <si>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</si>
  <si>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</si>
  <si>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</si>
  <si>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</si>
  <si>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</si>
  <si>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</si>
  <si>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</si>
  <si>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</si>
  <si>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</si>
  <si>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</si>
  <si>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</si>
  <si>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</si>
  <si>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</si>
  <si>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</si>
  <si>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</si>
  <si>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</si>
  <si>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</si>
  <si>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</si>
  <si>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</si>
  <si>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</si>
  <si>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</si>
  <si>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</si>
  <si>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</si>
  <si>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</si>
  <si>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</si>
  <si>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</si>
  <si>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</si>
  <si>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</si>
  <si>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</si>
  <si>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</si>
  <si>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</si>
  <si>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</si>
  <si>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</si>
  <si>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</si>
  <si>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</si>
  <si>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</si>
  <si>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</si>
  <si>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</si>
  <si>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</si>
  <si>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</si>
  <si>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</si>
  <si>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</si>
  <si>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</si>
  <si>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</si>
  <si>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</si>
  <si>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</si>
  <si>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</si>
  <si>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</si>
  <si>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</si>
  <si>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</si>
  <si>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</si>
  <si>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</si>
  <si>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</si>
  <si>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</si>
  <si>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</si>
  <si>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</si>
  <si>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</si>
  <si>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</si>
  <si>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</si>
  <si>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</si>
  <si>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</si>
  <si>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</si>
  <si>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</si>
  <si>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</si>
  <si>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</si>
  <si>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</si>
  <si>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</si>
  <si>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</si>
  <si>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</si>
  <si>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</si>
  <si>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</si>
  <si>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</si>
  <si>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</si>
  <si>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</si>
  <si>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</si>
  <si>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</si>
  <si>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</si>
  <si>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</si>
  <si>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</si>
  <si>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</si>
  <si>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</si>
  <si>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</si>
  <si>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</si>
  <si>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</si>
  <si>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</si>
  <si>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</si>
  <si>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</si>
  <si>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</si>
  <si>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</si>
  <si>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</si>
  <si>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</si>
  <si>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</si>
  <si>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</si>
  <si>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</si>
  <si>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</si>
  <si>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</si>
  <si>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</si>
  <si>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</si>
  <si>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</si>
  <si>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</si>
  <si>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</si>
  <si>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</si>
  <si>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</si>
  <si>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</si>
  <si>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</si>
  <si>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</si>
  <si>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</si>
  <si>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</si>
  <si>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</si>
  <si>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</si>
  <si>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</si>
  <si>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</si>
  <si>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</si>
  <si>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</si>
  <si>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</si>
  <si>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</si>
  <si>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</si>
  <si>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</si>
  <si>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</si>
  <si>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</si>
  <si>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</si>
  <si>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</si>
  <si>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</si>
  <si>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</si>
  <si>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</si>
  <si>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</si>
  <si>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</si>
  <si>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</si>
  <si>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</si>
  <si>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</si>
  <si>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</si>
  <si>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</si>
  <si>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</si>
  <si>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</si>
  <si>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</si>
  <si>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</si>
  <si>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</si>
  <si>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</si>
  <si>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</si>
  <si>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</si>
  <si>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</si>
  <si>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</si>
  <si>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</si>
  <si>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</si>
  <si>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</si>
  <si>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</si>
  <si>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</si>
  <si>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</si>
  <si>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</si>
  <si>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</si>
  <si>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</si>
  <si>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</si>
  <si>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</si>
  <si>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</si>
  <si>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</si>
  <si>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</si>
  <si>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</si>
  <si>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</si>
  <si>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</si>
  <si>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</si>
  <si>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</si>
  <si>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</si>
  <si>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</si>
  <si>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</si>
  <si>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</si>
  <si>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</si>
  <si>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</si>
  <si>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</si>
  <si>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</si>
  <si>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</si>
  <si>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</si>
  <si>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</si>
  <si>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</si>
  <si>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</si>
  <si>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</si>
  <si>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</si>
  <si>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</si>
  <si>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</si>
  <si>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</si>
  <si>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</si>
  <si>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</si>
  <si>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</si>
  <si>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</si>
  <si>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</si>
  <si>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</si>
  <si>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</si>
  <si>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</si>
  <si>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</si>
  <si>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</si>
  <si>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</si>
  <si>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</si>
  <si>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</si>
  <si>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</si>
  <si>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</si>
  <si>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</si>
  <si>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</si>
  <si>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</si>
  <si>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</si>
  <si>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</si>
  <si>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</si>
  <si>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</si>
  <si>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</si>
  <si>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</si>
  <si>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</si>
  <si>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</si>
  <si>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</si>
  <si>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</si>
  <si>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</si>
  <si>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</si>
  <si>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</si>
  <si>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</si>
  <si>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</si>
  <si>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</si>
  <si>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</si>
  <si>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</si>
  <si>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</si>
  <si>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</si>
  <si>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</si>
  <si>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</si>
  <si>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</si>
  <si>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</si>
  <si>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</si>
  <si>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</si>
  <si>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</si>
  <si>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</si>
  <si>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</si>
  <si>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</si>
  <si>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</si>
  <si>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</si>
  <si>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</si>
  <si>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</si>
  <si>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</si>
  <si>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</si>
  <si>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</si>
  <si>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</si>
  <si>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</si>
  <si>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</si>
  <si>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</si>
  <si>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</si>
  <si>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</si>
  <si>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</si>
  <si>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</si>
  <si>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</si>
  <si>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</si>
  <si>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</si>
  <si>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</si>
  <si>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</si>
  <si>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</si>
  <si>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</si>
  <si>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</si>
  <si>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</si>
  <si>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</si>
  <si>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</si>
  <si>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</si>
  <si>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</si>
  <si>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</si>
  <si>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</si>
  <si>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</si>
  <si>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</si>
  <si>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</si>
  <si>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</si>
  <si>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</si>
  <si>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</si>
  <si>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</si>
  <si>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</si>
  <si>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</si>
  <si>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</si>
  <si>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</si>
  <si>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</si>
  <si>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</si>
  <si>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</si>
  <si>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</si>
  <si>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</si>
  <si>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Admn</t>
  </si>
  <si>
    <t>Active in Release #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</si>
  <si>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</si>
  <si>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</si>
  <si>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</si>
  <si>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</si>
  <si>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</si>
  <si>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</si>
  <si>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</si>
  <si>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</si>
  <si>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</si>
  <si>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${bpHelper.getReleaseComponent(issue)}&lt;/jt:forEach&gt;</t>
  </si>
  <si>
    <t>${bpHelper.getReleaseComponent(issue)}</t>
  </si>
  <si>
    <t>Release Component New</t>
  </si>
  <si>
    <t>&lt;mt:execute script="field-helper-tool.groovy"/&gt;&lt;mt:execute script="blueprint-helper.groovy"/&gt;&lt;mt:execute script="blueprint-dublin-dashboard-helper.groovy"/&gt;</t>
  </si>
  <si>
    <t>Dublin (12.5)</t>
  </si>
  <si>
    <t>$[SUBSTITUTE(SUBSTITUTE(AE2, "gypt", ""), "ublin",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</si>
</sst>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5.5344827586206895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250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5.5344827586206895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5.5344827586206895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[Dublin-Dashboard.xlsx]_ReleaseData!PivotTable6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5.5344827586206895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1350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  <c:pt idx="6">
                  <c:v>(blank)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  <c:pt idx="6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[Dublin-Dashboard.xlsx]_ReleaseData!PivotTable11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5.5344827586206895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1880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553%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495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370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439.600398726849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91">
        <s v="$[SUBSTITUTE(SUBSTITUTE(AE2, &quot;ublin&quot;, &quot;&quot;), &quot;anada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$[SUBSTITUTE(SUBSTITUTE(AE2, &quot;ustin&quot;, &quot;&quot;), &quot;-Ray&quot;, &quot;&quot;)]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X4" u="1"/>
        <s v="T4" u="1"/>
        <s v="Q9" u="1"/>
        <s v="P4" u="1"/>
        <s v="V7" u="1"/>
        <s v="U2" u="1"/>
        <s v="R7" u="1"/>
        <s v="Q2" u="1"/>
        <s v="W5" u="1"/>
        <s v="$[SUBSTITUTE(SUBSTITUTE(AE2, &quot;elarus&quot;, &quot;&quot;), &quot;ustin&quot;, &quot;&quot;)]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4">
        <s v="${issue.fixVersions.name}"/>
        <m/>
        <s v="Dublin (12.5)"/>
        <s v="Rocket" u="1"/>
        <s v="Venus" u="1"/>
        <s v="Titan" u="1"/>
        <s v="Saturn" u="1"/>
        <s v="Ursa" u="1"/>
        <s v="Quasar" u="1"/>
        <s v="X-Ray" u="1"/>
        <s v="Pegasus" u="1"/>
        <s v="Astin" u="1"/>
        <s v="Austin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String="0" containsBlank="1" containsNumber="1" minValue="11.4" maxValue="1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m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m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m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2"/>
    <x v="1"/>
    <x v="3"/>
    <x v="3"/>
    <m/>
    <x v="2"/>
    <s v="RD"/>
    <m/>
    <m/>
    <m/>
    <m/>
    <m/>
    <x v="1"/>
    <x v="2"/>
    <x v="2"/>
    <m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m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m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m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m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m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m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m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m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2"/>
    <x v="1"/>
    <x v="1"/>
    <x v="1"/>
    <m/>
    <x v="1"/>
    <m/>
    <m/>
    <m/>
    <m/>
    <m/>
    <m/>
    <x v="1"/>
    <x v="2"/>
    <x v="2"/>
    <m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m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m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m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m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m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m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m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m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m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m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m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m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m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m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m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m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  <n v="12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  <n v="12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  <n v="12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  <n v="12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  <n v="12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5"/>
    <x v="1"/>
    <x v="1"/>
    <m/>
    <x v="2"/>
    <m/>
    <m/>
    <m/>
    <m/>
    <m/>
    <m/>
    <x v="1"/>
    <x v="2"/>
    <x v="1"/>
    <n v="12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  <m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  <m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2"/>
    <x v="1"/>
    <x v="1"/>
    <x v="8"/>
    <m/>
    <x v="2"/>
    <m/>
    <n v="30"/>
    <n v="60"/>
    <n v="40"/>
    <m/>
    <m/>
    <x v="1"/>
    <x v="2"/>
    <x v="1"/>
    <m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  <m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2"/>
    <x v="1"/>
    <x v="2"/>
    <x v="4"/>
    <m/>
    <x v="2"/>
    <m/>
    <n v="30"/>
    <n v="60"/>
    <n v="40"/>
    <m/>
    <m/>
    <x v="1"/>
    <x v="2"/>
    <x v="1"/>
    <m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2"/>
    <x v="1"/>
    <x v="4"/>
    <x v="1"/>
    <m/>
    <x v="2"/>
    <m/>
    <m/>
    <m/>
    <m/>
    <m/>
    <m/>
    <x v="1"/>
    <x v="2"/>
    <x v="1"/>
    <m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2"/>
    <x v="1"/>
    <x v="5"/>
    <x v="1"/>
    <m/>
    <x v="2"/>
    <m/>
    <m/>
    <m/>
    <m/>
    <m/>
    <m/>
    <x v="1"/>
    <x v="2"/>
    <x v="1"/>
    <m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  <m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  <m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  <m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  <m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  <m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2"/>
    <x v="1"/>
    <x v="1"/>
    <x v="3"/>
    <m/>
    <x v="5"/>
    <m/>
    <m/>
    <m/>
    <m/>
    <m/>
    <m/>
    <x v="1"/>
    <x v="1"/>
    <x v="1"/>
    <m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2"/>
    <x v="1"/>
    <x v="1"/>
    <x v="2"/>
    <m/>
    <x v="6"/>
    <m/>
    <m/>
    <m/>
    <m/>
    <m/>
    <m/>
    <x v="1"/>
    <x v="2"/>
    <x v="1"/>
    <m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  <m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  <m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m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m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m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m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m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m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m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2"/>
    <x v="1"/>
    <x v="1"/>
    <m/>
    <x v="2"/>
    <m/>
    <m/>
    <m/>
    <m/>
    <m/>
    <m/>
    <x v="1"/>
    <x v="2"/>
    <x v="1"/>
    <n v="11.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3"/>
    <x v="1"/>
    <x v="1"/>
    <m/>
    <x v="2"/>
    <m/>
    <m/>
    <m/>
    <m/>
    <m/>
    <m/>
    <x v="1"/>
    <x v="2"/>
    <x v="1"/>
    <n v="11.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4"/>
    <x v="1"/>
    <x v="1"/>
    <m/>
    <x v="2"/>
    <m/>
    <m/>
    <m/>
    <m/>
    <m/>
    <m/>
    <x v="1"/>
    <x v="2"/>
    <x v="1"/>
    <n v="11.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5"/>
    <x v="1"/>
    <x v="1"/>
    <m/>
    <x v="2"/>
    <m/>
    <m/>
    <m/>
    <m/>
    <m/>
    <m/>
    <x v="1"/>
    <x v="2"/>
    <x v="1"/>
    <n v="11.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6"/>
    <x v="1"/>
    <x v="1"/>
    <m/>
    <x v="2"/>
    <m/>
    <m/>
    <m/>
    <m/>
    <m/>
    <m/>
    <x v="1"/>
    <x v="2"/>
    <x v="1"/>
    <n v="11.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9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13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3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22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10">
    <i>
      <x v="3"/>
    </i>
    <i>
      <x v="14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3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3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2">
        <item h="1" m="1" x="63"/>
        <item h="1" m="1" x="56"/>
        <item h="1" m="1" x="10"/>
        <item h="1" m="1" x="81"/>
        <item h="1" m="1" x="68"/>
        <item h="1" m="1" x="57"/>
        <item h="1" m="1" x="45"/>
        <item h="1" m="1" x="27"/>
        <item h="1" m="1" x="16"/>
        <item h="1" m="1" x="88"/>
        <item h="1" m="1" x="76"/>
        <item h="1" x="1"/>
        <item h="1" m="1" x="29"/>
        <item h="1" m="1" x="30"/>
        <item h="1" m="1" x="32"/>
        <item h="1" m="1" x="34"/>
        <item h="1" m="1" x="35"/>
        <item h="1" m="1" x="44"/>
        <item h="1" m="1" x="42"/>
        <item h="1" m="1" x="41"/>
        <item h="1" m="1" x="28"/>
        <item h="1" m="1" x="17"/>
        <item h="1" m="1" x="89"/>
        <item h="1" m="1" x="77"/>
        <item h="1" m="1" x="66"/>
        <item h="1" m="1" x="53"/>
        <item h="1" m="1" x="73"/>
        <item h="1" m="1" x="62"/>
        <item h="1" m="1" x="48"/>
        <item h="1" m="1" x="36"/>
        <item h="1" m="1" x="19"/>
        <item h="1" m="1" x="9"/>
        <item h="1" m="1" x="80"/>
        <item h="1" m="1" x="52"/>
        <item h="1" m="1" x="40"/>
        <item h="1" m="1" x="21"/>
        <item h="1" m="1" x="12"/>
        <item h="1" m="1" x="84"/>
        <item h="1" m="1" x="72"/>
        <item h="1" m="1" x="60"/>
        <item h="1" m="1" x="26"/>
        <item h="1" m="1" x="61"/>
        <item h="1" m="1" x="25"/>
        <item h="1" m="1" x="15"/>
        <item h="1" m="1" x="86"/>
        <item h="1" m="1" x="75"/>
        <item h="1" m="1" x="65"/>
        <item h="1" m="1" x="51"/>
        <item h="1" m="1" x="39"/>
        <item h="1" m="1" x="8"/>
        <item h="1" m="1" x="79"/>
        <item h="1" m="1" x="67"/>
        <item h="1" m="1" x="55"/>
        <item h="1" m="1" x="43"/>
        <item h="1" m="1" x="24"/>
        <item h="1" m="1" x="14"/>
        <item h="1" m="1" x="22"/>
        <item h="1" m="1" x="87"/>
        <item h="1" m="1" x="70"/>
        <item h="1" m="1" x="59"/>
        <item h="1" m="1" x="47"/>
        <item h="1" m="1" x="33"/>
        <item h="1" m="1" x="18"/>
        <item h="1" m="1" x="90"/>
        <item h="1" m="1" x="78"/>
        <item h="1" m="1" x="54"/>
        <item h="1" m="1" x="50"/>
        <item h="1" m="1" x="38"/>
        <item h="1" m="1" x="20"/>
        <item h="1" m="1" x="11"/>
        <item h="1" m="1" x="82"/>
        <item h="1" m="1" x="69"/>
        <item h="1" m="1" x="58"/>
        <item h="1" m="1" x="46"/>
        <item h="1" m="1" x="31"/>
        <item h="1" m="1" x="71"/>
        <item m="1" x="23"/>
        <item m="1" x="13"/>
        <item m="1" x="85"/>
        <item m="1" x="74"/>
        <item m="1" x="64"/>
        <item m="1" x="49"/>
        <item h="1" m="1" x="37"/>
        <item h="1" x="2"/>
        <item h="1" x="3"/>
        <item h="1" x="4"/>
        <item h="1" x="5"/>
        <item h="1" x="6"/>
        <item h="1" x="7"/>
        <item h="1" m="1" x="83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2">
        <item m="1" x="63"/>
        <item m="1" x="44"/>
        <item m="1" x="56"/>
        <item m="1" x="26"/>
        <item m="1" x="54"/>
        <item m="1" x="87"/>
        <item m="1" x="61"/>
        <item m="1" x="71"/>
        <item m="1" x="22"/>
        <item m="1" x="37"/>
        <item m="1" x="41"/>
        <item m="1" x="42"/>
        <item x="2"/>
        <item x="3"/>
        <item x="4"/>
        <item x="5"/>
        <item x="6"/>
        <item x="7"/>
        <item m="1" x="28"/>
        <item m="1" x="17"/>
        <item m="1" x="89"/>
        <item m="1" x="77"/>
        <item m="1" x="66"/>
        <item m="1" x="53"/>
        <item m="1" x="10"/>
        <item m="1" x="29"/>
        <item m="1" x="30"/>
        <item m="1" x="32"/>
        <item m="1" x="34"/>
        <item m="1" x="35"/>
        <item m="1" x="81"/>
        <item m="1" x="68"/>
        <item m="1" x="57"/>
        <item m="1" x="45"/>
        <item m="1" x="27"/>
        <item m="1" x="16"/>
        <item m="1" x="88"/>
        <item m="1" x="76"/>
        <item m="1" x="73"/>
        <item m="1" x="62"/>
        <item m="1" x="48"/>
        <item m="1" x="36"/>
        <item m="1" x="19"/>
        <item m="1" x="9"/>
        <item m="1" x="80"/>
        <item m="1" x="52"/>
        <item m="1" x="40"/>
        <item m="1" x="21"/>
        <item m="1" x="12"/>
        <item m="1" x="84"/>
        <item m="1" x="72"/>
        <item m="1" x="60"/>
        <item m="1" x="25"/>
        <item m="1" x="15"/>
        <item m="1" x="86"/>
        <item m="1" x="75"/>
        <item m="1" x="65"/>
        <item m="1" x="51"/>
        <item m="1" x="39"/>
        <item m="1" x="8"/>
        <item m="1" x="79"/>
        <item m="1" x="67"/>
        <item m="1" x="55"/>
        <item m="1" x="43"/>
        <item m="1" x="24"/>
        <item m="1" x="14"/>
        <item m="1" x="70"/>
        <item m="1" x="59"/>
        <item m="1" x="47"/>
        <item m="1" x="33"/>
        <item m="1" x="18"/>
        <item m="1" x="90"/>
        <item m="1" x="78"/>
        <item m="1" x="50"/>
        <item m="1" x="38"/>
        <item m="1" x="20"/>
        <item m="1" x="11"/>
        <item m="1" x="82"/>
        <item m="1" x="69"/>
        <item m="1" x="58"/>
        <item m="1" x="46"/>
        <item m="1" x="31"/>
        <item m="1" x="23"/>
        <item m="1" x="13"/>
        <item m="1" x="85"/>
        <item m="1" x="74"/>
        <item m="1" x="64"/>
        <item m="1" x="49"/>
        <item x="1"/>
        <item m="1" x="83"/>
        <item x="0"/>
        <item t="default"/>
      </items>
    </pivotField>
    <pivotField axis="axisPage" showAll="0">
      <items count="15">
        <item x="0"/>
        <item m="1" x="12"/>
        <item m="1" x="10"/>
        <item m="1" x="8"/>
        <item m="1" x="3"/>
        <item m="1" x="6"/>
        <item m="1" x="5"/>
        <item m="1" x="7"/>
        <item m="1" x="4"/>
        <item m="1" x="13"/>
        <item m="1" x="9"/>
        <item x="1"/>
        <item m="1" x="11"/>
        <item x="2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3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1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0"/>
        <item x="2"/>
        <item h="1" m="1" x="26"/>
        <item h="1" m="1" x="18"/>
        <item h="1" x="6"/>
        <item h="1" x="5"/>
        <item h="1" m="1" x="21"/>
        <item h="1" m="1" x="17"/>
        <item h="1" m="1" x="13"/>
        <item h="1" m="1" x="11"/>
        <item h="1" m="1" x="23"/>
        <item h="1" m="1" x="16"/>
        <item h="1" m="1" x="24"/>
        <item h="1" m="1" x="20"/>
        <item h="1" m="1" x="22"/>
        <item h="1" x="4"/>
        <item h="1" m="1" x="27"/>
        <item h="1" m="1" x="12"/>
        <item h="1" m="1" x="15"/>
        <item h="1" m="1" x="19"/>
        <item h="1" m="1" x="25"/>
        <item h="1" m="1" x="14"/>
        <item h="1" x="1"/>
        <item h="1" x="7"/>
        <item h="1" x="8"/>
        <item h="1" x="9"/>
        <item h="1" x="10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m="1" x="12"/>
        <item m="1" x="10"/>
        <item m="1" x="8"/>
        <item m="1" x="3"/>
        <item m="1" x="6"/>
        <item m="1" x="5"/>
        <item m="1" x="7"/>
        <item m="1" x="4"/>
        <item m="1" x="13"/>
        <item m="1" x="9"/>
        <item x="1"/>
        <item m="1"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4"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hier="-1"/>
    <pageField fld="1" item="3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16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8" firstHeaderRow="0" firstDataRow="1" firstDataCol="1" rowPageCount="3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m="1" x="12"/>
        <item m="1" x="10"/>
        <item m="1" x="8"/>
        <item m="1" x="3"/>
        <item m="1" x="6"/>
        <item m="1" x="5"/>
        <item m="1" x="7"/>
        <item m="1" x="4"/>
        <item m="1" x="13"/>
        <item m="1" x="9"/>
        <item x="1"/>
        <item m="1" x="11"/>
        <item x="2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11">
    <i>
      <x v="3"/>
    </i>
    <i r="1">
      <x v="2"/>
    </i>
    <i r="2">
      <x v="25"/>
    </i>
    <i>
      <x v="13"/>
    </i>
    <i r="1">
      <x v="2"/>
    </i>
    <i r="2">
      <x v="35"/>
    </i>
    <i r="2">
      <x v="36"/>
    </i>
    <i r="2">
      <x v="38"/>
    </i>
    <i r="2">
      <x v="40"/>
    </i>
    <i r="2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2" item="13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m="1" x="10"/>
        <item m="1" x="8"/>
        <item m="1" x="3"/>
        <item m="1" x="6"/>
        <item m="1" x="5"/>
        <item m="1" x="7"/>
        <item m="1" x="4"/>
        <item m="1" x="13"/>
        <item x="1"/>
        <item m="1" x="9"/>
        <item m="1" x="12"/>
        <item m="1"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3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10"/>
        <item m="1" x="8"/>
        <item x="1"/>
        <item m="1" x="3"/>
        <item m="1" x="6"/>
        <item m="1" x="5"/>
        <item m="1" x="7"/>
        <item m="1" x="4"/>
        <item m="1" x="13"/>
        <item m="1" x="9"/>
        <item m="1" x="12"/>
        <item m="1" x="1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3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6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5">
        <item h="1" x="0"/>
        <item m="1" x="10"/>
        <item m="1" x="8"/>
        <item h="1" x="1"/>
        <item m="1" x="3"/>
        <item m="1" x="6"/>
        <item h="1" m="1" x="5"/>
        <item h="1" m="1" x="7"/>
        <item h="1" m="1" x="4"/>
        <item h="1" m="1" x="13"/>
        <item m="1" x="9"/>
        <item h="1" m="1" x="12"/>
        <item h="1" m="1" x="11"/>
        <item h="1"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77734375" bestFit="1" customWidth="1"/>
    <col min="2" max="2" width="17.886718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318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105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495</v>
      </c>
    </row>
    <row r="13" spans="1:2" x14ac:dyDescent="0.3">
      <c r="A13" s="17" t="s">
        <v>50</v>
      </c>
      <c r="B13">
        <f>GETPIVOTDATA("Story Points", $A$6)</f>
        <v>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77734375" bestFit="1" customWidth="1"/>
    <col min="3" max="3" width="17.886718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255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256</v>
      </c>
      <c r="C7" s="20"/>
      <c r="K7" t="s">
        <v>255</v>
      </c>
      <c r="L7">
        <v>118</v>
      </c>
    </row>
    <row r="8" spans="2:13" x14ac:dyDescent="0.3">
      <c r="B8" s="17" t="s">
        <v>257</v>
      </c>
      <c r="C8" s="20"/>
      <c r="K8" t="s">
        <v>256</v>
      </c>
      <c r="L8">
        <v>71.5</v>
      </c>
    </row>
    <row r="9" spans="2:13" x14ac:dyDescent="0.3">
      <c r="B9" s="17" t="s">
        <v>258</v>
      </c>
      <c r="C9" s="20"/>
      <c r="K9" t="s">
        <v>257</v>
      </c>
      <c r="L9">
        <v>85.5</v>
      </c>
    </row>
    <row r="10" spans="2:13" x14ac:dyDescent="0.3">
      <c r="B10" s="17" t="s">
        <v>259</v>
      </c>
      <c r="C10" s="20"/>
      <c r="K10" t="s">
        <v>258</v>
      </c>
      <c r="L10">
        <v>96.25</v>
      </c>
    </row>
    <row r="11" spans="2:13" x14ac:dyDescent="0.3">
      <c r="B11" s="17" t="s">
        <v>267</v>
      </c>
      <c r="C11" s="20"/>
      <c r="K11" t="s">
        <v>259</v>
      </c>
      <c r="L11">
        <v>57</v>
      </c>
    </row>
    <row r="12" spans="2:13" x14ac:dyDescent="0.3">
      <c r="B12" s="17" t="s">
        <v>50</v>
      </c>
      <c r="C12" s="20"/>
      <c r="K12" t="s">
        <v>267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77734375" bestFit="1" customWidth="1"/>
    <col min="5" max="5" width="17.886718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275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77734375" bestFit="1" customWidth="1"/>
    <col min="3" max="3" width="17.3320312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318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10" x14ac:dyDescent="0.3">
      <c r="B18" s="17" t="s">
        <v>50</v>
      </c>
      <c r="C18">
        <f>GETPIVOTDATA("Key", $B$9)</f>
        <v>5</v>
      </c>
    </row>
    <row r="21" spans="2:10" x14ac:dyDescent="0.3">
      <c r="J21" s="95"/>
    </row>
    <row r="23" spans="2:10" x14ac:dyDescent="0.3">
      <c r="B23" s="16" t="s">
        <v>134</v>
      </c>
      <c r="C23" t="s">
        <v>183</v>
      </c>
    </row>
    <row r="24" spans="2:10" x14ac:dyDescent="0.3">
      <c r="B24" s="16" t="s">
        <v>162</v>
      </c>
      <c r="C24" t="s">
        <v>279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/>
    </row>
    <row r="30" spans="2:10" x14ac:dyDescent="0.3">
      <c r="B30" s="17" t="s">
        <v>155</v>
      </c>
      <c r="C30" s="20"/>
    </row>
    <row r="31" spans="2:10" x14ac:dyDescent="0.3">
      <c r="B31" s="17" t="s">
        <v>156</v>
      </c>
      <c r="C31" s="20"/>
    </row>
    <row r="32" spans="2:10" x14ac:dyDescent="0.3">
      <c r="B32" s="17" t="s">
        <v>157</v>
      </c>
      <c r="C32" s="20"/>
    </row>
    <row r="33" spans="2:8" x14ac:dyDescent="0.3">
      <c r="B33" s="17" t="s">
        <v>158</v>
      </c>
      <c r="C33" s="20"/>
    </row>
    <row r="34" spans="2:8" x14ac:dyDescent="0.3">
      <c r="B34" s="17" t="s">
        <v>50</v>
      </c>
      <c r="C34" s="20"/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304</v>
      </c>
      <c r="AW1" s="1" t="s">
        <v>270</v>
      </c>
      <c r="AX1" s="1" t="s">
        <v>204</v>
      </c>
      <c r="AY1" s="1" t="s">
        <v>296</v>
      </c>
      <c r="AZ1" s="1" t="s">
        <v>297</v>
      </c>
      <c r="BA1" s="1" t="s">
        <v>316</v>
      </c>
      <c r="BB1" s="3" t="s">
        <v>317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319</v>
      </c>
      <c r="AG2" s="15" t="s">
        <v>135</v>
      </c>
      <c r="AH2" s="10" t="s">
        <v>46</v>
      </c>
      <c r="AI2" s="10" t="s">
        <v>145</v>
      </c>
      <c r="AJ2" s="10" t="s">
        <v>315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269</v>
      </c>
      <c r="AV2" s="15"/>
      <c r="AW2" s="15" t="s">
        <v>299</v>
      </c>
      <c r="AX2" s="15" t="s">
        <v>295</v>
      </c>
      <c r="AY2" s="15" t="s">
        <v>298</v>
      </c>
      <c r="AZ2" s="15" t="s">
        <v>305</v>
      </c>
      <c r="BA2" s="15" t="s">
        <v>314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273</v>
      </c>
      <c r="AG4" s="5" t="s">
        <v>318</v>
      </c>
      <c r="AI4" s="5" t="s">
        <v>146</v>
      </c>
      <c r="AJ4" s="10" t="s">
        <v>260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/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274</v>
      </c>
      <c r="AG5" s="5" t="s">
        <v>318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/>
      <c r="AX5" s="5" t="s">
        <v>217</v>
      </c>
      <c r="BA5" s="5" t="s">
        <v>306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275</v>
      </c>
      <c r="AI6" s="5" t="s">
        <v>147</v>
      </c>
      <c r="AJ6" s="5" t="s">
        <v>261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307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276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308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277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309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310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273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311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274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312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275</v>
      </c>
      <c r="AF12" s="5" t="s">
        <v>271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313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276</v>
      </c>
      <c r="AF13" s="5" t="s">
        <v>272</v>
      </c>
      <c r="AL13" s="4"/>
      <c r="AM13" s="4"/>
      <c r="AN13" s="4"/>
      <c r="AO13" s="4"/>
      <c r="AP13" s="4"/>
      <c r="AQ13" s="4"/>
      <c r="AT13" s="5" t="s">
        <v>217</v>
      </c>
      <c r="AV13" s="96"/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303</v>
      </c>
      <c r="N14" s="5">
        <v>0</v>
      </c>
      <c r="V14" s="4" t="s">
        <v>221</v>
      </c>
      <c r="W14" s="4"/>
      <c r="AE14" s="5" t="s">
        <v>277</v>
      </c>
      <c r="AF14" s="5" t="s">
        <v>279</v>
      </c>
      <c r="AG14" s="5" t="s">
        <v>318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/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278</v>
      </c>
      <c r="AF15" s="5" t="s">
        <v>280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273</v>
      </c>
      <c r="AF16" s="5" t="s">
        <v>281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278</v>
      </c>
      <c r="AF17" s="5" t="s">
        <v>282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275</v>
      </c>
      <c r="AF18" s="5" t="s">
        <v>271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276</v>
      </c>
      <c r="AF19" s="5" t="s">
        <v>272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277</v>
      </c>
      <c r="AF20" s="5" t="s">
        <v>279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277</v>
      </c>
      <c r="AF21" s="5" t="s">
        <v>280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273</v>
      </c>
      <c r="AF22" s="5" t="s">
        <v>281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278</v>
      </c>
      <c r="AF23" s="5" t="s">
        <v>282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277</v>
      </c>
      <c r="AF24" s="5" t="s">
        <v>281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277</v>
      </c>
      <c r="AF25" s="5" t="s">
        <v>281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318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278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278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278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278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278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278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278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278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271</v>
      </c>
      <c r="AG40" s="5" t="s">
        <v>318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272</v>
      </c>
      <c r="AG41" s="5" t="s">
        <v>318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279</v>
      </c>
      <c r="AG42" s="5" t="s">
        <v>318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280</v>
      </c>
      <c r="AG43" s="5" t="s">
        <v>318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281</v>
      </c>
      <c r="AG44" s="5" t="s">
        <v>318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271</v>
      </c>
      <c r="AG45" s="5" t="s">
        <v>318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271</v>
      </c>
      <c r="AG46" s="5" t="s">
        <v>318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G47" s="5" t="s">
        <v>318</v>
      </c>
      <c r="AT47" s="5" t="s">
        <v>217</v>
      </c>
      <c r="AV47" s="96"/>
    </row>
    <row r="48" spans="1:48" x14ac:dyDescent="0.3">
      <c r="A48" s="5" t="str">
        <f t="shared" si="0"/>
        <v>key 48</v>
      </c>
      <c r="AG48" s="5" t="s">
        <v>318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271</v>
      </c>
      <c r="AG49" s="5" t="s">
        <v>318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318</v>
      </c>
      <c r="AJ50" s="5" t="s">
        <v>262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264</v>
      </c>
      <c r="P51" s="5">
        <v>50</v>
      </c>
      <c r="Q51" s="5">
        <v>150</v>
      </c>
      <c r="W51" s="5">
        <v>180</v>
      </c>
      <c r="AG51" s="5" t="s">
        <v>318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261</v>
      </c>
      <c r="N52" s="5">
        <v>10</v>
      </c>
      <c r="P52" s="5">
        <v>50</v>
      </c>
      <c r="Q52" s="5">
        <v>150</v>
      </c>
      <c r="W52" s="5">
        <v>180</v>
      </c>
      <c r="AG52" s="5" t="s">
        <v>318</v>
      </c>
      <c r="AI52" s="5" t="s">
        <v>146</v>
      </c>
      <c r="AJ52" s="5" t="s">
        <v>261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261</v>
      </c>
      <c r="N53" s="5">
        <v>10</v>
      </c>
      <c r="P53" s="5">
        <v>50</v>
      </c>
      <c r="Q53" s="5">
        <v>150</v>
      </c>
      <c r="AG53" s="5" t="s">
        <v>318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261</v>
      </c>
      <c r="N54" s="5">
        <v>10</v>
      </c>
      <c r="P54" s="5">
        <v>750</v>
      </c>
      <c r="Q54" s="5">
        <v>150</v>
      </c>
      <c r="AG54" s="5" t="s">
        <v>318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318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318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318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318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318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318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318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318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318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277</v>
      </c>
      <c r="AF64" s="5" t="s">
        <v>271</v>
      </c>
      <c r="AG64" s="5" t="s">
        <v>318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277</v>
      </c>
      <c r="AF65" s="5" t="s">
        <v>271</v>
      </c>
      <c r="AG65" s="5" t="s">
        <v>318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318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318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318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318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318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318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318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318</v>
      </c>
      <c r="AJ73" s="5" t="s">
        <v>261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318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318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318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318</v>
      </c>
      <c r="AJ77" s="10" t="s">
        <v>260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271</v>
      </c>
      <c r="AG78" s="5" t="s">
        <v>318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272</v>
      </c>
      <c r="AG79" s="5" t="s">
        <v>318</v>
      </c>
      <c r="AJ79" s="10" t="s">
        <v>260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279</v>
      </c>
      <c r="AG80" s="5" t="s">
        <v>318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280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281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281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271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272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279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280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281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271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271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272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271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275</v>
      </c>
      <c r="AF105" s="5" t="s">
        <v>279</v>
      </c>
      <c r="AG105" s="5" t="s">
        <v>318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275</v>
      </c>
      <c r="AF106" s="5" t="s">
        <v>279</v>
      </c>
      <c r="AG106" s="5" t="s">
        <v>318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275</v>
      </c>
      <c r="AF107" s="5" t="s">
        <v>279</v>
      </c>
      <c r="AG107" s="5" t="s">
        <v>318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275</v>
      </c>
      <c r="AF108" s="5" t="s">
        <v>279</v>
      </c>
      <c r="AG108" s="5" t="s">
        <v>318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275</v>
      </c>
      <c r="AF109" s="5" t="s">
        <v>279</v>
      </c>
      <c r="AG109" s="5" t="s">
        <v>318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G110" s="5" t="s">
        <v>318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290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318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291</v>
      </c>
      <c r="K112" s="17" t="s">
        <v>286</v>
      </c>
      <c r="O112" s="5">
        <v>290</v>
      </c>
      <c r="P112" s="5">
        <v>300</v>
      </c>
      <c r="Q112" s="5">
        <v>50</v>
      </c>
      <c r="W112" s="5">
        <v>280</v>
      </c>
      <c r="AG112" s="5" t="s">
        <v>318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292</v>
      </c>
      <c r="K113" s="17" t="s">
        <v>287</v>
      </c>
      <c r="O113" s="5">
        <v>390</v>
      </c>
      <c r="P113" s="5">
        <v>400</v>
      </c>
      <c r="Q113" s="5">
        <v>50</v>
      </c>
      <c r="W113" s="5">
        <v>380</v>
      </c>
      <c r="AG113" s="5" t="s">
        <v>318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293</v>
      </c>
      <c r="K114" s="17" t="s">
        <v>288</v>
      </c>
      <c r="O114" s="5">
        <v>490</v>
      </c>
      <c r="P114" s="5">
        <v>500</v>
      </c>
      <c r="Q114" s="5">
        <v>50</v>
      </c>
      <c r="W114" s="5">
        <v>480</v>
      </c>
      <c r="AG114" s="5" t="s">
        <v>318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294</v>
      </c>
      <c r="K115" s="17" t="s">
        <v>289</v>
      </c>
      <c r="AG115" s="5" t="s">
        <v>318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1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12.77734375" bestFit="1" customWidth="1"/>
    <col min="17" max="17" width="23.88671875" bestFit="1" customWidth="1"/>
    <col min="18" max="18" width="21.6640625" bestFit="1" customWidth="1"/>
    <col min="19" max="19" width="22.88671875" bestFit="1" customWidth="1"/>
    <col min="20" max="20" width="29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284</v>
      </c>
      <c r="H2" s="91" t="s">
        <v>204</v>
      </c>
      <c r="I2" s="91" t="s">
        <v>205</v>
      </c>
      <c r="J2" s="91" t="s">
        <v>285</v>
      </c>
    </row>
    <row r="3" spans="2:20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176</v>
      </c>
    </row>
    <row r="4" spans="2:20" x14ac:dyDescent="0.3">
      <c r="B4" t="s">
        <v>272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61</v>
      </c>
    </row>
    <row r="5" spans="2:20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0.83333333333333337</v>
      </c>
      <c r="F5" s="94">
        <f>GETPIVOTDATA("Epic Total Estimate", $P$7, "Type", "Epic")</f>
        <v>300</v>
      </c>
      <c r="G5" s="94">
        <f>GETPIVOTDATA("Stories Estimate", $P$7, "Type", "Epic")</f>
        <v>190</v>
      </c>
      <c r="H5" s="94">
        <f>GETPIVOTDATA("Epic Decomposed", $P$7, "Type", "Epic")</f>
        <v>180</v>
      </c>
      <c r="I5" s="94">
        <f>F5-J5</f>
        <v>250</v>
      </c>
      <c r="J5" s="94">
        <f>GETPIVOTDATA("Epic Remaining Estimate", $P$7, "Type", "Epic")</f>
        <v>50</v>
      </c>
      <c r="K5" s="33"/>
      <c r="P5" s="16" t="s">
        <v>245</v>
      </c>
      <c r="Q5" t="s">
        <v>217</v>
      </c>
    </row>
    <row r="6" spans="2:20" x14ac:dyDescent="0.3">
      <c r="B6" t="s">
        <v>280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253</v>
      </c>
      <c r="Q8" s="20">
        <v>300</v>
      </c>
      <c r="R8" s="20">
        <v>190</v>
      </c>
      <c r="S8" s="20">
        <v>180</v>
      </c>
      <c r="T8" s="20">
        <v>50</v>
      </c>
    </row>
    <row r="9" spans="2:20" x14ac:dyDescent="0.3">
      <c r="P9" s="93" t="s">
        <v>183</v>
      </c>
      <c r="Q9" s="20">
        <v>100</v>
      </c>
      <c r="R9" s="20"/>
      <c r="S9" s="20"/>
      <c r="T9" s="20"/>
    </row>
    <row r="10" spans="2:20" x14ac:dyDescent="0.3">
      <c r="P10" s="93" t="s">
        <v>290</v>
      </c>
      <c r="Q10" s="20">
        <v>200</v>
      </c>
      <c r="R10" s="20">
        <v>190</v>
      </c>
      <c r="S10" s="20">
        <v>180</v>
      </c>
      <c r="T10" s="20">
        <v>50</v>
      </c>
    </row>
    <row r="11" spans="2:20" x14ac:dyDescent="0.3">
      <c r="P11" s="17" t="s">
        <v>50</v>
      </c>
      <c r="Q11" s="20">
        <v>300</v>
      </c>
      <c r="R11" s="20">
        <v>190</v>
      </c>
      <c r="S11" s="20">
        <v>180</v>
      </c>
      <c r="T11" s="20">
        <v>50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8"/>
  <sheetViews>
    <sheetView tabSelected="1" topLeftCell="F1" workbookViewId="0">
      <selection activeCell="P3" sqref="P3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7.109375" bestFit="1" customWidth="1"/>
    <col min="16" max="16" width="17.88671875" bestFit="1" customWidth="1"/>
    <col min="17" max="17" width="26.5546875" bestFit="1" customWidth="1"/>
    <col min="18" max="18" width="24.3320312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300</v>
      </c>
      <c r="H2" s="91" t="s">
        <v>205</v>
      </c>
      <c r="I2" s="91" t="s">
        <v>285</v>
      </c>
    </row>
    <row r="3" spans="2:18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134</v>
      </c>
      <c r="P3" t="s">
        <v>318</v>
      </c>
    </row>
    <row r="4" spans="2:18" x14ac:dyDescent="0.3">
      <c r="B4" t="s">
        <v>272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152</v>
      </c>
    </row>
    <row r="5" spans="2:18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280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495</v>
      </c>
      <c r="G6" s="94">
        <f>GETPIVOTDATA("Story Decomposed SP", O7)</f>
        <v>0</v>
      </c>
      <c r="H6" s="94">
        <f>F6-I6</f>
        <v>495</v>
      </c>
      <c r="I6" s="94">
        <f>GETPIVOTDATA("Story Remaining SP", O7)</f>
        <v>0</v>
      </c>
      <c r="J6" s="33"/>
    </row>
    <row r="7" spans="2:18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301</v>
      </c>
      <c r="R7" t="s">
        <v>302</v>
      </c>
    </row>
    <row r="8" spans="2:18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253</v>
      </c>
      <c r="P8" s="20">
        <v>5</v>
      </c>
      <c r="Q8" s="20">
        <v>0</v>
      </c>
      <c r="R8" s="20">
        <v>0</v>
      </c>
    </row>
    <row r="9" spans="2:18" x14ac:dyDescent="0.3">
      <c r="O9" s="93" t="s">
        <v>183</v>
      </c>
      <c r="P9" s="20">
        <v>5</v>
      </c>
      <c r="Q9" s="20">
        <v>0</v>
      </c>
      <c r="R9" s="20">
        <v>0</v>
      </c>
    </row>
    <row r="10" spans="2:18" x14ac:dyDescent="0.3">
      <c r="O10" s="97" t="s">
        <v>86</v>
      </c>
      <c r="P10" s="20">
        <v>5</v>
      </c>
      <c r="Q10" s="20">
        <v>0</v>
      </c>
      <c r="R10" s="20">
        <v>0</v>
      </c>
    </row>
    <row r="11" spans="2:18" x14ac:dyDescent="0.3">
      <c r="O11" s="17" t="s">
        <v>183</v>
      </c>
      <c r="P11" s="20">
        <v>490</v>
      </c>
      <c r="Q11" s="20">
        <v>0</v>
      </c>
      <c r="R11" s="20">
        <v>0</v>
      </c>
    </row>
    <row r="12" spans="2:18" x14ac:dyDescent="0.3">
      <c r="O12" s="93" t="s">
        <v>183</v>
      </c>
      <c r="P12" s="20">
        <v>490</v>
      </c>
      <c r="Q12" s="20">
        <v>0</v>
      </c>
      <c r="R12" s="20">
        <v>0</v>
      </c>
    </row>
    <row r="13" spans="2:18" x14ac:dyDescent="0.3">
      <c r="O13" s="97" t="s">
        <v>99</v>
      </c>
      <c r="P13" s="20">
        <v>100</v>
      </c>
      <c r="Q13" s="20">
        <v>0</v>
      </c>
      <c r="R13" s="20">
        <v>0</v>
      </c>
    </row>
    <row r="14" spans="2:18" x14ac:dyDescent="0.3">
      <c r="O14" s="97" t="s">
        <v>96</v>
      </c>
      <c r="P14" s="20">
        <v>100</v>
      </c>
      <c r="Q14" s="20">
        <v>0</v>
      </c>
      <c r="R14" s="20">
        <v>0</v>
      </c>
    </row>
    <row r="15" spans="2:18" x14ac:dyDescent="0.3">
      <c r="O15" s="97" t="s">
        <v>93</v>
      </c>
      <c r="P15" s="20">
        <v>90</v>
      </c>
      <c r="Q15" s="20">
        <v>0</v>
      </c>
      <c r="R15" s="20">
        <v>0</v>
      </c>
    </row>
    <row r="16" spans="2:18" x14ac:dyDescent="0.3">
      <c r="O16" s="97" t="s">
        <v>95</v>
      </c>
      <c r="P16" s="20">
        <v>100</v>
      </c>
      <c r="Q16" s="20">
        <v>0</v>
      </c>
      <c r="R16" s="20">
        <v>0</v>
      </c>
    </row>
    <row r="17" spans="15:18" x14ac:dyDescent="0.3">
      <c r="O17" s="97" t="s">
        <v>97</v>
      </c>
      <c r="P17" s="20">
        <v>100</v>
      </c>
      <c r="Q17" s="20">
        <v>0</v>
      </c>
      <c r="R17" s="20">
        <v>0</v>
      </c>
    </row>
    <row r="18" spans="15:18" x14ac:dyDescent="0.3">
      <c r="O18" s="17" t="s">
        <v>50</v>
      </c>
      <c r="P18" s="20">
        <v>495</v>
      </c>
      <c r="Q18" s="20">
        <v>0</v>
      </c>
      <c r="R18" s="20">
        <v>0</v>
      </c>
    </row>
  </sheetData>
  <conditionalFormatting pivot="1" sqref="P9 P12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268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3.5546875" bestFit="1" customWidth="1"/>
    <col min="2" max="2" width="14.5546875" bestFit="1" customWidth="1"/>
    <col min="3" max="3" width="10.21875" bestFit="1" customWidth="1"/>
    <col min="4" max="4" width="15.44140625" bestFit="1" customWidth="1"/>
    <col min="5" max="5" width="14.5546875" bestFit="1" customWidth="1"/>
    <col min="6" max="6" width="17.77734375" bestFit="1" customWidth="1"/>
    <col min="7" max="7" width="23.5546875" bestFit="1" customWidth="1"/>
    <col min="8" max="8" width="22.33203125" bestFit="1" customWidth="1"/>
    <col min="9" max="9" width="12" customWidth="1"/>
    <col min="10" max="10" width="23.5546875" bestFit="1" customWidth="1"/>
    <col min="11" max="11" width="32.44140625" bestFit="1" customWidth="1"/>
    <col min="12" max="12" width="14.5546875" customWidth="1"/>
    <col min="13" max="13" width="23.5546875" bestFit="1" customWidth="1"/>
    <col min="14" max="14" width="36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2.88671875" bestFit="1" customWidth="1"/>
    <col min="29" max="29" width="23.5546875" bestFit="1" customWidth="1"/>
    <col min="30" max="30" width="28.332031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263</v>
      </c>
      <c r="L1" t="s">
        <v>261</v>
      </c>
      <c r="M1" t="s">
        <v>134</v>
      </c>
      <c r="N1" t="s">
        <v>253</v>
      </c>
      <c r="O1" t="s">
        <v>260</v>
      </c>
      <c r="P1" t="s">
        <v>261</v>
      </c>
      <c r="Q1" s="98" t="s">
        <v>134</v>
      </c>
      <c r="R1" s="98"/>
      <c r="S1" s="98" t="s">
        <v>253</v>
      </c>
      <c r="T1" s="98"/>
      <c r="U1" s="98" t="s">
        <v>260</v>
      </c>
      <c r="V1" s="98"/>
      <c r="W1" s="98" t="s">
        <v>261</v>
      </c>
      <c r="X1" s="98"/>
      <c r="AB1" s="16" t="s">
        <v>134</v>
      </c>
      <c r="AC1" t="s">
        <v>152</v>
      </c>
      <c r="AF1" s="98" t="s">
        <v>262</v>
      </c>
      <c r="AG1" s="98"/>
      <c r="AH1" s="98"/>
      <c r="AI1" s="98"/>
    </row>
    <row r="2" spans="1:35" x14ac:dyDescent="0.3">
      <c r="A2" t="s">
        <v>136</v>
      </c>
      <c r="B2" s="44">
        <f ca="1">MAX(NETWORKDAYS($D$3,$E$6,$Z$3:$Z$9)/NETWORKDAYS($D$3,$E$3,$Z$3:$Z$9),0%)</f>
        <v>5.5344827586206895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255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256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44439</v>
      </c>
      <c r="G6" s="23" t="s">
        <v>257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50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258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259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267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5.5344827586206895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262</v>
      </c>
      <c r="AG20" s="21"/>
    </row>
    <row r="21" spans="1:33" x14ac:dyDescent="0.3">
      <c r="A21" s="39" t="s">
        <v>266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5.5344827586206895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318</v>
      </c>
      <c r="G24" s="16" t="s">
        <v>134</v>
      </c>
      <c r="H24" t="s">
        <v>318</v>
      </c>
      <c r="J24" s="16" t="s">
        <v>134</v>
      </c>
      <c r="K24" t="s">
        <v>318</v>
      </c>
      <c r="M24" s="16" t="s">
        <v>134</v>
      </c>
      <c r="N24" t="s">
        <v>318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318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264</v>
      </c>
      <c r="J26" s="16" t="s">
        <v>20</v>
      </c>
      <c r="K26" t="s">
        <v>261</v>
      </c>
      <c r="M26" s="16" t="s">
        <v>20</v>
      </c>
      <c r="N26" t="s">
        <v>265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260</v>
      </c>
      <c r="Q27">
        <v>50</v>
      </c>
    </row>
    <row r="28" spans="1:33" x14ac:dyDescent="0.3">
      <c r="L28" s="16"/>
      <c r="O28" s="16"/>
      <c r="P28" t="s">
        <v>261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1350</v>
      </c>
      <c r="D30" s="17" t="s">
        <v>172</v>
      </c>
      <c r="E30" s="20">
        <v>250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140</v>
      </c>
      <c r="D34" s="17" t="s">
        <v>175</v>
      </c>
      <c r="E34" s="20">
        <v>120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318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318</v>
      </c>
      <c r="G37" s="16" t="s">
        <v>134</v>
      </c>
      <c r="H37" t="s">
        <v>318</v>
      </c>
      <c r="J37" s="16" t="s">
        <v>134</v>
      </c>
      <c r="K37" t="s">
        <v>318</v>
      </c>
      <c r="M37" s="16" t="s">
        <v>134</v>
      </c>
      <c r="N37" t="s">
        <v>318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264</v>
      </c>
      <c r="J39" s="16" t="s">
        <v>20</v>
      </c>
      <c r="K39" t="s">
        <v>261</v>
      </c>
      <c r="M39" s="16" t="s">
        <v>20</v>
      </c>
      <c r="N39" t="s">
        <v>265</v>
      </c>
    </row>
    <row r="40" spans="1:14" x14ac:dyDescent="0.3">
      <c r="A40" t="s">
        <v>111</v>
      </c>
    </row>
    <row r="41" spans="1:14" x14ac:dyDescent="0.3">
      <c r="A41" s="20">
        <v>2000</v>
      </c>
      <c r="B41">
        <f>SUM(B30:B34)</f>
        <v>1880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300</v>
      </c>
      <c r="E42">
        <f>SUM(E30:E34)</f>
        <v>370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318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260</v>
      </c>
      <c r="B55" s="20">
        <v>100</v>
      </c>
      <c r="E55" s="17" t="s">
        <v>242</v>
      </c>
      <c r="F55" s="20">
        <v>10</v>
      </c>
    </row>
    <row r="56" spans="1:7" x14ac:dyDescent="0.3">
      <c r="A56" s="17" t="s">
        <v>261</v>
      </c>
      <c r="B56" s="20">
        <v>150</v>
      </c>
      <c r="E56" s="17" t="s">
        <v>243</v>
      </c>
      <c r="F56" s="20">
        <v>10</v>
      </c>
    </row>
    <row r="57" spans="1:7" x14ac:dyDescent="0.3">
      <c r="A57" s="17" t="s">
        <v>262</v>
      </c>
      <c r="B57" s="20">
        <v>100</v>
      </c>
      <c r="E57" s="17" t="s">
        <v>239</v>
      </c>
      <c r="F57" s="20">
        <v>10</v>
      </c>
    </row>
    <row r="58" spans="1:7" x14ac:dyDescent="0.3">
      <c r="A58" s="17" t="s">
        <v>253</v>
      </c>
      <c r="B58" s="20">
        <v>150</v>
      </c>
      <c r="E58" s="17" t="s">
        <v>244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183</v>
      </c>
      <c r="B61" s="20">
        <v>1400</v>
      </c>
    </row>
    <row r="62" spans="1:7" x14ac:dyDescent="0.3">
      <c r="A62" s="17" t="s">
        <v>50</v>
      </c>
      <c r="B62" s="20">
        <v>2000</v>
      </c>
    </row>
    <row r="66" spans="2:6" x14ac:dyDescent="0.3">
      <c r="B66">
        <f>GETPIVOTDATA("Epic Total Estimate",$A$54)</f>
        <v>2000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55.21875" bestFit="1" customWidth="1"/>
    <col min="39" max="39" width="23.88671875" bestFit="1" customWidth="1"/>
    <col min="40" max="40" width="21.6640625" bestFit="1" customWidth="1"/>
    <col min="41" max="41" width="22.88671875" bestFit="1" customWidth="1"/>
    <col min="42" max="42" width="29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100"/>
      <c r="B1" s="100"/>
      <c r="C1" s="100"/>
      <c r="D1" s="99" t="s">
        <v>134</v>
      </c>
      <c r="E1" s="99"/>
      <c r="F1" s="99"/>
      <c r="G1" s="99"/>
      <c r="H1" s="99"/>
      <c r="I1" s="99"/>
      <c r="J1" s="99"/>
      <c r="K1" s="99"/>
      <c r="L1" s="99" t="s">
        <v>253</v>
      </c>
      <c r="M1" s="99"/>
      <c r="N1" s="99"/>
      <c r="O1" s="99"/>
      <c r="P1" s="99"/>
      <c r="Q1" s="99"/>
      <c r="R1" s="99"/>
      <c r="S1" s="99"/>
      <c r="T1" s="99" t="s">
        <v>260</v>
      </c>
      <c r="U1" s="99"/>
      <c r="V1" s="99"/>
      <c r="W1" s="99"/>
      <c r="X1" s="99"/>
      <c r="Y1" s="99"/>
      <c r="Z1" s="99"/>
      <c r="AA1" s="99"/>
      <c r="AB1" s="99" t="s">
        <v>261</v>
      </c>
      <c r="AC1" s="99"/>
      <c r="AD1" s="99"/>
      <c r="AE1" s="99"/>
      <c r="AF1" s="99"/>
      <c r="AG1" s="99"/>
      <c r="AH1" s="99"/>
      <c r="AI1" s="99"/>
      <c r="AR1" s="99" t="s">
        <v>262</v>
      </c>
      <c r="AS1" s="99"/>
      <c r="AT1" s="99"/>
      <c r="AU1" s="99"/>
      <c r="AV1" s="99"/>
      <c r="AW1" s="99"/>
      <c r="AX1" s="99"/>
      <c r="AY1" s="99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255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256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257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258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318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259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267</v>
      </c>
      <c r="B9" s="60">
        <v>44055</v>
      </c>
      <c r="C9" s="60">
        <v>44068</v>
      </c>
      <c r="D9" s="57">
        <f>GETPIVOTDATA("Epic Total Estimate", $AL$8, "Type", "Epic")</f>
        <v>2000</v>
      </c>
      <c r="E9" s="34">
        <f>_ReleaseData!$Q$25</f>
        <v>420</v>
      </c>
      <c r="F9" s="40">
        <f>GETPIVOTDATA("Stories Estimate", $AL$8, "Type", "Epic")</f>
        <v>1360</v>
      </c>
      <c r="G9" s="40">
        <f>GETPIVOTDATA("Epic Decomposed", $AL$8, "Type", "Epic")</f>
        <v>1860</v>
      </c>
      <c r="H9" s="40">
        <f t="shared" ref="H9" si="64">D9-I9</f>
        <v>1350</v>
      </c>
      <c r="I9" s="40">
        <f>GETPIVOTDATA("Epic Remaining Estimate", $AL$8, "Type", "Epic")</f>
        <v>650</v>
      </c>
      <c r="J9" s="33">
        <f t="shared" ref="J9" si="65" xml:space="preserve"> G9/D9</f>
        <v>0.93</v>
      </c>
      <c r="K9" s="33">
        <f t="shared" ref="K9" si="66" xml:space="preserve"> H9/D9</f>
        <v>0.67500000000000004</v>
      </c>
      <c r="L9" s="59">
        <f>GETPIVOTDATA("Epic Total Estimate", $AL$8, "Type", "Epic", "ST:Components", "Admin")</f>
        <v>300</v>
      </c>
      <c r="M9" s="58">
        <f>_ReleaseData!$Q$26</f>
        <v>50</v>
      </c>
      <c r="N9" s="40">
        <f>GETPIVOTDATA("Stories Estimate", $AL$8, "Type", "Epic", "ST:Components", "Admin")</f>
        <v>190</v>
      </c>
      <c r="O9" s="40">
        <f>GETPIVOTDATA("Epic Decomposed", $AL$8, "Type", "Epic", "ST:Components", "Admin")</f>
        <v>180</v>
      </c>
      <c r="P9" s="40">
        <f t="shared" ref="P9" si="67">L9-Q9</f>
        <v>250</v>
      </c>
      <c r="Q9" s="40">
        <f>GETPIVOTDATA("Epic Remaining Estimate", $AL$8, "Type", "Epic", "ST:Components", "Admin")</f>
        <v>50</v>
      </c>
      <c r="R9" s="33">
        <f t="shared" ref="R9" si="68" xml:space="preserve"> O9/L9</f>
        <v>0.6</v>
      </c>
      <c r="S9" s="33">
        <f t="shared" ref="S9" si="69" xml:space="preserve"> P9/L9</f>
        <v>0.83333333333333337</v>
      </c>
      <c r="T9" s="57">
        <f>GETPIVOTDATA("Epic Total Estimate", $AL$8, "Type", "Epic", "ST:Components", "BluePrism Integration")</f>
        <v>50</v>
      </c>
      <c r="U9" s="58">
        <f>_ReleaseData!$Q$27</f>
        <v>50</v>
      </c>
      <c r="V9" s="40">
        <f>GETPIVOTDATA("Stories Estimate", $AL$8, "Type", "Epic", "ST:Components", "BluePrism Integration")</f>
        <v>0</v>
      </c>
      <c r="W9" s="40">
        <f>GETPIVOTDATA("Epic Decomposed", $AL$8, "Type", "Epic", "ST:Components", "BluePrism Integration")</f>
        <v>180</v>
      </c>
      <c r="X9" s="40">
        <f t="shared" ref="X9" si="70">T9-Y9</f>
        <v>-100</v>
      </c>
      <c r="Y9" s="40">
        <f>GETPIVOTDATA("Epic Remaining Estimate", $AL$8, "Type", "Epic", "ST:Components", "BluePrism Integration")</f>
        <v>150</v>
      </c>
      <c r="Z9" s="33">
        <f t="shared" ref="Z9" si="71" xml:space="preserve"> W9/T9</f>
        <v>3.6</v>
      </c>
      <c r="AA9" s="33">
        <f t="shared" ref="AA9" si="72">X9/T9</f>
        <v>-2</v>
      </c>
      <c r="AB9" s="57">
        <f>GETPIVOTDATA("Epic Total Estimate", $AL$8, "Type", "Epic", "ST:Components", "Automation Anywhere Integration")</f>
        <v>50</v>
      </c>
      <c r="AC9" s="58">
        <f>_ReleaseData!$Q$28</f>
        <v>80</v>
      </c>
      <c r="AD9" s="40">
        <f>GETPIVOTDATA("Stories Estimate", $AL$8, "Type", "Epic", "ST:Components", "Automation Anywhere Integration")</f>
        <v>0</v>
      </c>
      <c r="AE9" s="40">
        <f>GETPIVOTDATA("Epic Decomposed", $AL$8, "Type", "Epic", "ST:Components", "Automation Anywhere Integration")</f>
        <v>180</v>
      </c>
      <c r="AF9" s="40">
        <f t="shared" ref="AF9" si="73">AB9-AG9</f>
        <v>-100</v>
      </c>
      <c r="AG9" s="40">
        <f>GETPIVOTDATA("Epic Remaining Estimate", $AL$8, "Type", "Epic", "ST:Components", "Automation Anywhere Integration")</f>
        <v>150</v>
      </c>
      <c r="AH9" s="33">
        <f t="shared" ref="AH9" si="74" xml:space="preserve"> AE9/AB9</f>
        <v>3.6</v>
      </c>
      <c r="AI9" s="33">
        <f t="shared" ref="AI9" si="75">AF9/AB9</f>
        <v>-2</v>
      </c>
      <c r="AR9" s="57">
        <f>GETPIVOTDATA("Epic Total Estimate", $AL$8, "Type", "Epic", "ST:Components", "Microsoft Power Automate Integration")</f>
        <v>100</v>
      </c>
      <c r="AS9" s="58">
        <f>_ReleaseData!$Q$29</f>
        <v>100</v>
      </c>
      <c r="AT9" s="40">
        <f>GETPIVOTDATA("Stories Estimate", $AL$8, "Type", "Epic", "ST:Components", "Microsoft Power Automate Integration")</f>
        <v>0</v>
      </c>
      <c r="AU9" s="40">
        <f>GETPIVOTDATA("Epic Decomposed", $AL$8, "Type", "Epic", "ST:Components", "Microsoft Power Automate Integration")</f>
        <v>180</v>
      </c>
      <c r="AV9" s="40">
        <f t="shared" ref="AV9" si="76">AR9-AW9</f>
        <v>-50</v>
      </c>
      <c r="AW9" s="40">
        <f>GETPIVOTDATA("Epic Remaining Estimate", $AL$8, "Type", "Epic", "ST:Components", "Microsoft Power Automate Integration")</f>
        <v>150</v>
      </c>
      <c r="AX9" s="33">
        <f t="shared" ref="AX9" si="77" xml:space="preserve"> AU9/AR9</f>
        <v>1.8</v>
      </c>
      <c r="AY9" s="33">
        <f t="shared" ref="AY9" si="78">AV9/AR9</f>
        <v>-0.5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253</v>
      </c>
      <c r="AM14" s="20">
        <v>300</v>
      </c>
      <c r="AN14" s="20">
        <v>190</v>
      </c>
      <c r="AO14" s="20">
        <v>180</v>
      </c>
      <c r="AP14" s="20">
        <v>50</v>
      </c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265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264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261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286</v>
      </c>
      <c r="AM18" s="20">
        <v>300</v>
      </c>
      <c r="AN18" s="20">
        <v>290</v>
      </c>
      <c r="AO18" s="20">
        <v>280</v>
      </c>
      <c r="AP18" s="20">
        <v>50</v>
      </c>
    </row>
    <row r="19" spans="2:51" x14ac:dyDescent="0.3">
      <c r="AL19" s="17" t="s">
        <v>287</v>
      </c>
      <c r="AM19" s="20">
        <v>400</v>
      </c>
      <c r="AN19" s="20">
        <v>390</v>
      </c>
      <c r="AO19" s="20">
        <v>380</v>
      </c>
      <c r="AP19" s="20">
        <v>50</v>
      </c>
    </row>
    <row r="20" spans="2:51" x14ac:dyDescent="0.3">
      <c r="AL20" s="17" t="s">
        <v>288</v>
      </c>
      <c r="AM20" s="20">
        <v>500</v>
      </c>
      <c r="AN20" s="20">
        <v>490</v>
      </c>
      <c r="AO20" s="20">
        <v>480</v>
      </c>
      <c r="AP20" s="20">
        <v>50</v>
      </c>
    </row>
    <row r="21" spans="2:51" x14ac:dyDescent="0.3">
      <c r="AL21" s="17" t="s">
        <v>289</v>
      </c>
      <c r="AM21" s="20"/>
      <c r="AN21" s="20"/>
      <c r="AO21" s="20"/>
      <c r="AP21" s="20"/>
    </row>
    <row r="22" spans="2:51" x14ac:dyDescent="0.3">
      <c r="AL22" s="17" t="s">
        <v>50</v>
      </c>
      <c r="AM22" s="20">
        <v>2000</v>
      </c>
      <c r="AN22" s="20">
        <v>1360</v>
      </c>
      <c r="AO22" s="20">
        <v>1860</v>
      </c>
      <c r="AP22" s="20">
        <v>650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77734375" bestFit="1" customWidth="1"/>
    <col min="3" max="3" width="34.88671875" bestFit="1" customWidth="1"/>
    <col min="4" max="4" width="14.33203125" customWidth="1"/>
    <col min="5" max="5" width="9.44140625" customWidth="1"/>
    <col min="6" max="6" width="8.21875" bestFit="1" customWidth="1"/>
    <col min="7" max="7" width="13.77734375" bestFit="1" customWidth="1"/>
    <col min="8" max="8" width="17.886718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255</v>
      </c>
      <c r="C16" s="20">
        <v>114.5</v>
      </c>
      <c r="D16" s="20">
        <v>157.5</v>
      </c>
    </row>
    <row r="17" spans="2:4" x14ac:dyDescent="0.3">
      <c r="B17" t="s">
        <v>256</v>
      </c>
      <c r="C17" s="20">
        <v>31</v>
      </c>
      <c r="D17" s="20">
        <v>86</v>
      </c>
    </row>
    <row r="18" spans="2:4" x14ac:dyDescent="0.3">
      <c r="B18" t="s">
        <v>257</v>
      </c>
      <c r="C18" s="20">
        <v>89.5</v>
      </c>
      <c r="D18" s="20">
        <v>107</v>
      </c>
    </row>
    <row r="19" spans="2:4" x14ac:dyDescent="0.3">
      <c r="B19" t="s">
        <v>258</v>
      </c>
      <c r="C19" s="20">
        <v>128</v>
      </c>
      <c r="D19" s="20">
        <v>144</v>
      </c>
    </row>
    <row r="20" spans="2:4" x14ac:dyDescent="0.3">
      <c r="B20" t="s">
        <v>259</v>
      </c>
      <c r="C20" s="20">
        <v>122</v>
      </c>
      <c r="D20" s="20">
        <v>145.5</v>
      </c>
    </row>
    <row r="21" spans="2:4" x14ac:dyDescent="0.3">
      <c r="B21" t="s">
        <v>267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2021-08-31T18:25:46Z</dcterms:modified>
</cp:coreProperties>
</file>