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98C5BE64-672B-4DBD-8E5E-76C12D548EF9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Angular 8" sheetId="20" r:id="rId3"/>
    <sheet name="Excel Expor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externalReferences>
    <externalReference r:id="rId19"/>
  </externalReference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77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" i="26" l="1"/>
  <c r="U8" i="26"/>
  <c r="M8" i="26"/>
  <c r="E8" i="26"/>
  <c r="D20" i="24"/>
  <c r="C20" i="24"/>
  <c r="W8" i="26"/>
  <c r="I8" i="26"/>
  <c r="AD8" i="26"/>
  <c r="Y8" i="26"/>
  <c r="V8" i="26"/>
  <c r="G8" i="26"/>
  <c r="F8" i="26"/>
  <c r="Q8" i="26"/>
  <c r="AB8" i="26"/>
  <c r="N8" i="26"/>
  <c r="AG8" i="26"/>
  <c r="D8" i="26"/>
  <c r="O8" i="26"/>
  <c r="T8" i="26"/>
  <c r="AE8" i="26"/>
  <c r="L8" i="26"/>
  <c r="P8" i="26" l="1"/>
  <c r="S8" i="26" s="1"/>
  <c r="AH8" i="26"/>
  <c r="X8" i="26"/>
  <c r="AA8" i="26" s="1"/>
  <c r="R8" i="26"/>
  <c r="H8" i="26"/>
  <c r="K8" i="26" s="1"/>
  <c r="AF8" i="26"/>
  <c r="AI8" i="26" s="1"/>
  <c r="J8" i="26"/>
  <c r="Z8" i="26"/>
  <c r="X8" i="9"/>
  <c r="V8" i="9"/>
  <c r="T8" i="9"/>
  <c r="R8" i="9"/>
  <c r="P8" i="9"/>
  <c r="M8" i="9"/>
  <c r="O8" i="9"/>
  <c r="N8" i="9"/>
  <c r="AC7" i="26" l="1"/>
  <c r="U7" i="26"/>
  <c r="M7" i="26"/>
  <c r="E7" i="26"/>
  <c r="J7" i="26" l="1"/>
  <c r="AH7" i="26"/>
  <c r="P7" i="26"/>
  <c r="S7" i="26" s="1"/>
  <c r="R7" i="26"/>
  <c r="X7" i="26"/>
  <c r="AA7" i="26" s="1"/>
  <c r="H7" i="26"/>
  <c r="K7" i="26" s="1"/>
  <c r="AF7" i="26"/>
  <c r="AI7" i="26" s="1"/>
  <c r="Z7" i="26"/>
  <c r="AC6" i="26"/>
  <c r="U6" i="26"/>
  <c r="M6" i="26"/>
  <c r="E6" i="26"/>
  <c r="H6" i="26" l="1"/>
  <c r="K6" i="26" s="1"/>
  <c r="AH6" i="26"/>
  <c r="P6" i="26"/>
  <c r="S6" i="26" s="1"/>
  <c r="J6" i="26"/>
  <c r="R6" i="26"/>
  <c r="X6" i="26"/>
  <c r="AA6" i="26" s="1"/>
  <c r="AF6" i="26"/>
  <c r="AI6" i="26" s="1"/>
  <c r="Z6" i="26"/>
  <c r="AC5" i="26"/>
  <c r="U5" i="26"/>
  <c r="M5" i="26"/>
  <c r="E5" i="26"/>
  <c r="AI5" i="26" l="1"/>
  <c r="X5" i="26"/>
  <c r="AA5" i="26" s="1"/>
  <c r="R5" i="26"/>
  <c r="AH5" i="26"/>
  <c r="P5" i="26"/>
  <c r="S5" i="26" s="1"/>
  <c r="H5" i="26"/>
  <c r="K5" i="26" s="1"/>
  <c r="Z5" i="26"/>
  <c r="J5" i="26"/>
  <c r="AC10" i="26" l="1"/>
  <c r="AC9" i="26"/>
  <c r="U10" i="26"/>
  <c r="U9" i="26"/>
  <c r="M10" i="26"/>
  <c r="M9" i="26"/>
  <c r="E10" i="26"/>
  <c r="E9" i="26"/>
  <c r="B10" i="9"/>
  <c r="B14" i="9"/>
  <c r="B18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E15" i="12"/>
  <c r="B6" i="9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B7" i="9"/>
  <c r="K7" i="9" l="1"/>
  <c r="K6" i="9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U8" i="9" s="1"/>
  <c r="L5" i="9"/>
  <c r="U5" i="9" s="1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<sst xmlns="http://schemas.openxmlformats.org/spreadsheetml/2006/main" count="1136" uniqueCount="281">
  <si>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</si>
  <si>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</si>
  <si>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</si>
  <si>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</si>
  <si>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</si>
  <si>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</si>
  <si>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</si>
  <si>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</si>
  <si>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</si>
  <si>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</si>
  <si>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</si>
  <si>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</si>
  <si>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</si>
  <si>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</si>
  <si>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</si>
  <si>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</si>
  <si>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</si>
  <si>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</si>
  <si>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</si>
  <si>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</si>
  <si>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</si>
  <si>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</si>
  <si>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</si>
  <si>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</si>
  <si>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</si>
  <si>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</si>
  <si>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</si>
  <si>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</si>
  <si>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</si>
  <si>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</si>
  <si>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</si>
  <si>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</si>
  <si>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</si>
  <si>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</si>
  <si>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</si>
  <si>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</si>
  <si>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</si>
  <si>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</si>
  <si>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</si>
  <si>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</si>
  <si>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</si>
  <si>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</si>
  <si>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</si>
  <si>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</si>
  <si>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</si>
  <si>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</si>
  <si>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</si>
  <si>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</si>
  <si>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</si>
  <si>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</si>
  <si>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</si>
  <si>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</si>
  <si>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</si>
  <si>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</si>
  <si>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</si>
  <si>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</si>
  <si>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</si>
  <si>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</si>
  <si>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</si>
  <si>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</si>
  <si>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</si>
  <si>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</si>
  <si>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</si>
  <si>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</si>
  <si>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</si>
  <si>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</si>
  <si>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</si>
  <si>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</si>
  <si>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</si>
  <si>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</si>
  <si>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</si>
  <si>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</si>
  <si>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</si>
  <si>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</si>
  <si>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</si>
  <si>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</si>
  <si>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</si>
  <si>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</si>
  <si>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</si>
  <si>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</si>
  <si>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</si>
  <si>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</si>
  <si>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</si>
  <si>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</si>
  <si>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</si>
  <si>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</si>
  <si>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</si>
  <si>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</si>
  <si>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</si>
  <si>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</si>
  <si>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</si>
  <si>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</si>
  <si>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</si>
  <si>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</si>
  <si>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</si>
  <si>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</si>
  <si>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</si>
  <si>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</si>
  <si>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</si>
  <si>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</si>
  <si>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</si>
  <si>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</si>
  <si>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</si>
  <si>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</si>
  <si>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</si>
  <si>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</si>
  <si>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</si>
  <si>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</si>
  <si>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</si>
  <si>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</si>
  <si>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</si>
  <si>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</si>
  <si>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</si>
  <si>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</si>
  <si>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</si>
  <si>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</si>
  <si>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</si>
  <si>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</si>
  <si>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</si>
  <si>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</si>
  <si>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</si>
  <si>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</si>
  <si>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</si>
  <si>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</si>
  <si>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</si>
  <si>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</si>
  <si>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</si>
  <si>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</si>
  <si>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</si>
  <si>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</si>
  <si>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</si>
  <si>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</si>
  <si>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</si>
  <si>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</si>
  <si>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</si>
  <si>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</si>
  <si>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</si>
  <si>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</si>
  <si>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</si>
  <si>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</si>
  <si>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</si>
  <si>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</si>
  <si>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</si>
  <si>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</si>
  <si>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</si>
  <si>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</si>
  <si>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</si>
  <si>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</si>
  <si>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</si>
  <si>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</si>
  <si>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</si>
  <si>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</si>
  <si>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</si>
  <si>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</si>
  <si>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</si>
  <si>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</si>
  <si>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</si>
  <si>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</si>
  <si>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</si>
  <si>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</si>
  <si>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</si>
  <si>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</si>
  <si>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</si>
  <si>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</si>
  <si>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</si>
  <si>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</si>
  <si>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</si>
  <si>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</si>
  <si>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</si>
  <si>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</si>
  <si>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</si>
  <si>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</si>
  <si>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</si>
  <si>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</si>
  <si>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</si>
  <si>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</si>
  <si>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</si>
  <si>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</si>
  <si>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</si>
  <si>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</si>
  <si>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</si>
  <si>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</si>
  <si>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</si>
  <si>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</si>
  <si>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</si>
  <si>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</si>
  <si>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</si>
  <si>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</si>
  <si>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</si>
  <si>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</si>
  <si>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</si>
  <si>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</si>
  <si>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</si>
  <si>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</si>
  <si>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</si>
  <si>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</si>
  <si>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</si>
  <si>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</si>
  <si>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</si>
  <si>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</si>
  <si>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</si>
  <si>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</si>
  <si>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</si>
  <si>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</si>
  <si>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</si>
  <si>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</si>
  <si>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</si>
  <si>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</si>
  <si>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</si>
  <si>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</si>
  <si>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</si>
  <si>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</si>
  <si>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</si>
  <si>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</si>
  <si>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</si>
  <si>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</si>
  <si>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</si>
  <si>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</si>
  <si>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</si>
  <si>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</si>
  <si>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</si>
  <si>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</si>
  <si>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</si>
  <si>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</si>
  <si>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</si>
  <si>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</si>
  <si>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</si>
  <si>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</si>
  <si>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</si>
  <si>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</si>
  <si>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</si>
  <si>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</si>
  <si>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</si>
  <si>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</si>
  <si>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</si>
  <si>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</si>
  <si>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</si>
  <si>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</si>
  <si>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</si>
  <si>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</si>
  <si>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</si>
  <si>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</si>
  <si>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</si>
  <si>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</si>
  <si>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</si>
  <si>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</si>
  <si>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</si>
  <si>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</si>
  <si>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</si>
  <si>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</si>
  <si>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</si>
  <si>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</si>
  <si>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Time Elapsed Glossary</t>
  </si>
  <si>
    <t>Chart Total</t>
  </si>
  <si>
    <t>Ursa</t>
  </si>
  <si>
    <t>Sum of Stories Estimate</t>
  </si>
  <si>
    <t>Sum of Epic Decomposed</t>
  </si>
  <si>
    <t>&lt;mt:execute script="field-helper-tool.groovy"/&gt;&lt;mt:execute script="blueprint-helper.groovy"/&gt;&lt;mt:execute script="blueprint-venus-dashboard-helper.groovy"/&gt;</t>
  </si>
  <si>
    <t>V1</t>
  </si>
  <si>
    <t>V2</t>
  </si>
  <si>
    <t>V3</t>
  </si>
  <si>
    <t>V4</t>
  </si>
  <si>
    <t>V5</t>
  </si>
  <si>
    <t>V6</t>
  </si>
  <si>
    <t>V7</t>
  </si>
  <si>
    <t>Admin</t>
  </si>
  <si>
    <t>Angular 8</t>
  </si>
  <si>
    <t>Excel Export</t>
  </si>
  <si>
    <t>Release, Admin, Angular 8</t>
  </si>
  <si>
    <t>Venus1</t>
  </si>
  <si>
    <t>Venus2</t>
  </si>
  <si>
    <t>Venus3</t>
  </si>
  <si>
    <t>Venus4</t>
  </si>
  <si>
    <t>Venus5</t>
  </si>
  <si>
    <t>Venus6</t>
  </si>
  <si>
    <t>Venus7</t>
  </si>
  <si>
    <t>$[SUBSTITUTE(SUBSTITUTE(AE2, "enus", ""), "rsa", "")]</t>
  </si>
  <si>
    <t>Venus</t>
  </si>
  <si>
    <t>Angular 8 Migration</t>
  </si>
  <si>
    <t>Venus Component</t>
  </si>
  <si>
    <t>${bpHelper.getVenusComponent(issue)}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</si>
</sst>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0.5625</c:v>
                </c:pt>
                <c:pt idx="1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0.51</c:v>
                </c:pt>
                <c:pt idx="4">
                  <c:v>0.61</c:v>
                </c:pt>
                <c:pt idx="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180</c:v>
                </c:pt>
                <c:pt idx="1">
                  <c:v>151.42857142857142</c:v>
                </c:pt>
                <c:pt idx="2">
                  <c:v>122.85714285714286</c:v>
                </c:pt>
                <c:pt idx="3">
                  <c:v>94.285714285714292</c:v>
                </c:pt>
                <c:pt idx="4">
                  <c:v>82.857142857142861</c:v>
                </c:pt>
                <c:pt idx="5">
                  <c:v>57.142857142857139</c:v>
                </c:pt>
                <c:pt idx="6">
                  <c:v>28.571428571428569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174</c:v>
                </c:pt>
                <c:pt idx="1">
                  <c:v>209.8</c:v>
                </c:pt>
                <c:pt idx="2">
                  <c:v>155.80000000000001</c:v>
                </c:pt>
                <c:pt idx="3">
                  <c:v>111.3</c:v>
                </c:pt>
                <c:pt idx="4">
                  <c:v>91.8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195</c:v>
                </c:pt>
                <c:pt idx="1">
                  <c:v>242.3</c:v>
                </c:pt>
                <c:pt idx="2">
                  <c:v>218.8</c:v>
                </c:pt>
                <c:pt idx="3">
                  <c:v>225.8</c:v>
                </c:pt>
                <c:pt idx="4">
                  <c:v>233.3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195</c:v>
                </c:pt>
                <c:pt idx="1">
                  <c:v>197.3</c:v>
                </c:pt>
                <c:pt idx="2">
                  <c:v>218.8</c:v>
                </c:pt>
                <c:pt idx="3">
                  <c:v>225.8</c:v>
                </c:pt>
                <c:pt idx="4">
                  <c:v>233.3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136</c:v>
                </c:pt>
                <c:pt idx="1">
                  <c:v>144.30000000000001</c:v>
                </c:pt>
                <c:pt idx="2">
                  <c:v>211.8</c:v>
                </c:pt>
                <c:pt idx="3">
                  <c:v>217.8</c:v>
                </c:pt>
                <c:pt idx="4">
                  <c:v>225.3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21</c:v>
                </c:pt>
                <c:pt idx="1">
                  <c:v>32.5</c:v>
                </c:pt>
                <c:pt idx="2">
                  <c:v>63</c:v>
                </c:pt>
                <c:pt idx="3">
                  <c:v>114.50000000000001</c:v>
                </c:pt>
                <c:pt idx="4">
                  <c:v>141.5</c:v>
                </c:pt>
                <c:pt idx="5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0.5625</c:v>
                </c:pt>
                <c:pt idx="1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Angular 8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Angular 8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0.18</c:v>
                </c:pt>
                <c:pt idx="2">
                  <c:v>0.62</c:v>
                </c:pt>
                <c:pt idx="3">
                  <c:v>0.72</c:v>
                </c:pt>
                <c:pt idx="4">
                  <c:v>0.72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150</c:v>
                </c:pt>
                <c:pt idx="1">
                  <c:v>126.19047619047619</c:v>
                </c:pt>
                <c:pt idx="2">
                  <c:v>102.38095238095238</c:v>
                </c:pt>
                <c:pt idx="3">
                  <c:v>78.571428571428569</c:v>
                </c:pt>
                <c:pt idx="4">
                  <c:v>69.047619047619051</c:v>
                </c:pt>
                <c:pt idx="5">
                  <c:v>47.619047619047613</c:v>
                </c:pt>
                <c:pt idx="6">
                  <c:v>23.809523809523807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  <c:pt idx="1">
                  <c:v>122</c:v>
                </c:pt>
                <c:pt idx="2">
                  <c:v>57</c:v>
                </c:pt>
                <c:pt idx="3">
                  <c:v>42</c:v>
                </c:pt>
                <c:pt idx="4">
                  <c:v>42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8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124</c:v>
                </c:pt>
                <c:pt idx="1">
                  <c:v>129</c:v>
                </c:pt>
                <c:pt idx="2">
                  <c:v>141</c:v>
                </c:pt>
                <c:pt idx="3">
                  <c:v>140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27</c:v>
                </c:pt>
                <c:pt idx="2">
                  <c:v>93</c:v>
                </c:pt>
                <c:pt idx="3">
                  <c:v>108</c:v>
                </c:pt>
                <c:pt idx="4">
                  <c:v>108</c:v>
                </c:pt>
                <c:pt idx="5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0.5625</c:v>
                </c:pt>
                <c:pt idx="1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Excel Export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0.34</c:v>
                </c:pt>
                <c:pt idx="3">
                  <c:v>0.54</c:v>
                </c:pt>
                <c:pt idx="4">
                  <c:v>0.62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23.015873015873016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64</c:v>
                </c:pt>
                <c:pt idx="1">
                  <c:v>52</c:v>
                </c:pt>
                <c:pt idx="2">
                  <c:v>42</c:v>
                </c:pt>
                <c:pt idx="3">
                  <c:v>31</c:v>
                </c:pt>
                <c:pt idx="4">
                  <c:v>26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Export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69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69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62</c:v>
                </c:pt>
                <c:pt idx="4">
                  <c:v>59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36</c:v>
                </c:pt>
                <c:pt idx="4">
                  <c:v>43</c:v>
                </c:pt>
                <c:pt idx="5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[Venus-Dashboard.xlsx]_ReleaseData!PivotTable6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140</c:v>
                </c:pt>
                <c:pt idx="1">
                  <c:v>68</c:v>
                </c:pt>
                <c:pt idx="2">
                  <c:v>33</c:v>
                </c:pt>
                <c:pt idx="3">
                  <c:v>38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221.25</c:v>
                </c:pt>
                <c:pt idx="1">
                  <c:v>187.25</c:v>
                </c:pt>
                <c:pt idx="2">
                  <c:v>115.5</c:v>
                </c:pt>
                <c:pt idx="3">
                  <c:v>118.5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0.05</c:v>
                </c:pt>
                <c:pt idx="1">
                  <c:v>0.14000000000000001</c:v>
                </c:pt>
                <c:pt idx="2">
                  <c:v>0.36</c:v>
                </c:pt>
                <c:pt idx="3">
                  <c:v>0.56999999999999995</c:v>
                </c:pt>
                <c:pt idx="4">
                  <c:v>0.59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5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Venus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Angular 8</c:v>
                </c:pt>
                <c:pt idx="2">
                  <c:v>Excel Export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500</c:v>
                </c:pt>
                <c:pt idx="1">
                  <c:v>420.63492063492066</c:v>
                </c:pt>
                <c:pt idx="2">
                  <c:v>341.26984126984127</c:v>
                </c:pt>
                <c:pt idx="3">
                  <c:v>261.90476190476193</c:v>
                </c:pt>
                <c:pt idx="4">
                  <c:v>230.15873015873018</c:v>
                </c:pt>
                <c:pt idx="5">
                  <c:v>158.73015873015873</c:v>
                </c:pt>
                <c:pt idx="6">
                  <c:v>79.365079365079367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408.5</c:v>
                </c:pt>
                <c:pt idx="1">
                  <c:v>430.3</c:v>
                </c:pt>
                <c:pt idx="2">
                  <c:v>330.3</c:v>
                </c:pt>
                <c:pt idx="3">
                  <c:v>210.8</c:v>
                </c:pt>
                <c:pt idx="4">
                  <c:v>217.3</c:v>
                </c:pt>
                <c:pt idx="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429.5</c:v>
                </c:pt>
                <c:pt idx="1">
                  <c:v>501.8</c:v>
                </c:pt>
                <c:pt idx="2">
                  <c:v>516.29999999999995</c:v>
                </c:pt>
                <c:pt idx="3">
                  <c:v>490.3</c:v>
                </c:pt>
                <c:pt idx="4">
                  <c:v>535.79999999999995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429.5</c:v>
                </c:pt>
                <c:pt idx="1">
                  <c:v>456.8</c:v>
                </c:pt>
                <c:pt idx="2">
                  <c:v>474.3</c:v>
                </c:pt>
                <c:pt idx="3">
                  <c:v>485.3</c:v>
                </c:pt>
                <c:pt idx="4">
                  <c:v>530.79999999999995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339.5</c:v>
                </c:pt>
                <c:pt idx="1">
                  <c:v>362.8</c:v>
                </c:pt>
                <c:pt idx="2">
                  <c:v>448.3</c:v>
                </c:pt>
                <c:pt idx="3">
                  <c:v>457.3</c:v>
                </c:pt>
                <c:pt idx="4">
                  <c:v>497.8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21</c:v>
                </c:pt>
                <c:pt idx="1">
                  <c:v>71.5</c:v>
                </c:pt>
                <c:pt idx="2">
                  <c:v>185.99999999999994</c:v>
                </c:pt>
                <c:pt idx="3">
                  <c:v>279.5</c:v>
                </c:pt>
                <c:pt idx="4">
                  <c:v>318.49999999999994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0.5625</c:v>
                </c:pt>
                <c:pt idx="1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olomechine/Documents/BLUEPRINT/Releases/Venus/Venus%20Dashboard%20-%20after%20V4%20Dec%2031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"/>
      <sheetName val="Admin"/>
      <sheetName val="Angular 8"/>
      <sheetName val="Excel Export"/>
      <sheetName val="_ReleaseData"/>
      <sheetName val="_CumulativeFlowData "/>
      <sheetName val="Readiness"/>
      <sheetName val="_ReadinessData"/>
      <sheetName val="Team Backlog"/>
      <sheetName val="_TeamBacklogData"/>
      <sheetName val="Team Velocity"/>
      <sheetName val="_TeamVelocityData"/>
      <sheetName val="Active Sprint"/>
      <sheetName val="_ActiveSprintData"/>
      <sheetName val="Bugs"/>
      <sheetName val="_BugsData"/>
      <sheetName val="Issue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5">
          <cell r="Q25">
            <v>500</v>
          </cell>
        </row>
        <row r="26">
          <cell r="Q26">
            <v>180</v>
          </cell>
        </row>
        <row r="27">
          <cell r="Q27">
            <v>150</v>
          </cell>
        </row>
        <row r="28">
          <cell r="Q28">
            <v>50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32.31517465278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7">
        <s v="${fieldHelper.getFieldValueByName(issue, &quot;ST:Components&quot;)}"/>
        <m/>
        <s v="Admin"/>
        <s v="Angular 8 Migration"/>
        <s v="Excel Export"/>
        <s v="Doc Gen" u="1"/>
        <s v="Reuse" u="1"/>
        <s v="Diagram Editor" u="1"/>
        <s v="Traces" u="1"/>
        <s v="DevOps" u="1"/>
        <s v="Artifact List" u="1"/>
        <s v="Glossary" u="1"/>
        <s v="Cross Project Move" u="1"/>
        <s v="Drag &amp; Drop" u="1"/>
        <s v="Excel Import" u="1"/>
        <s v="Version Compare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9">
        <s v="${bpHelper.getLastSprint(issue)}"/>
        <m/>
        <s v="Venus1"/>
        <s v="Venus2"/>
        <s v="Venus3"/>
        <s v="Venus4"/>
        <s v="Venus5"/>
        <s v="Venus6"/>
        <s v="Venus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Quasar1" u="1"/>
        <s v="Pegasus5" u="1"/>
        <s v="Ursa5" u="1"/>
        <s v="Saturn2" u="1"/>
        <s v="Quasar2" u="1"/>
        <s v="Saturn3" u="1"/>
        <s v="Quasar3" u="1"/>
        <s v="Saturn4" u="1"/>
        <s v="Titan1" u="1"/>
        <s v="Quasar12" u="1"/>
        <s v="Ursa4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65">
        <s v="$[SUBSTITUTE(SUBSTITUTE(AE2, &quot;enus&quot;, &quot;&quot;), &quot;rsa&quot;, &quot;&quot;)]"/>
        <m/>
        <s v="V1"/>
        <s v="V2"/>
        <s v="V3"/>
        <s v="V4"/>
        <s v="V5"/>
        <s v="V6"/>
        <s v="V7"/>
        <s v="U2" u="1"/>
        <s v="$[SUBSTITUTE(SUBSTITUTE(AE2, &quot;itan&quot;, &quot;&quot;), &quot;aturn&quot;, &quot;&quot;)]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U1" u="1"/>
        <s v="$[=SUBSTITUTE(SUBSTITUTE(SUBSTITUTE(AE3, &quot;ocket&quot;, &quot;&quot;), &quot;uasar&quot;, &quot;&quot;), &quot;egasus&quot;, &quot;&quot;)]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9">
        <s v="${issue.fixVersions.name}"/>
        <m/>
        <s v="Ursa"/>
        <s v="Venus"/>
        <s v="Rocket" u="1"/>
        <s v="Titan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Venus Component" numFmtId="0">
      <sharedItems containsBlank="1" count="9">
        <s v="${bpHelper.getVenusComponent(issue)}"/>
        <m/>
        <s v="Angular 8"/>
        <s v="Admin"/>
        <s v="Excel Export"/>
        <s v="DevOps"/>
        <s v="R&amp;D Bucket"/>
        <s v="Other"/>
        <s v="CI/CD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7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7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6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7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7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5"/>
    </i>
    <i>
      <x v="1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8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66">
        <item h="1" m="1" x="63"/>
        <item h="1" m="1" x="54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0">
        <item x="0"/>
        <item m="1" x="18"/>
        <item m="1" x="9"/>
        <item m="1" x="54"/>
        <item m="1" x="40"/>
        <item m="1" x="27"/>
        <item m="1" x="19"/>
        <item m="1" x="11"/>
        <item m="1" x="55"/>
        <item m="1" x="26"/>
        <item m="1" x="58"/>
        <item m="1" x="51"/>
        <item m="1" x="35"/>
        <item m="1" x="25"/>
        <item m="1" x="16"/>
        <item m="1" x="30"/>
        <item m="1" x="32"/>
        <item m="1" x="37"/>
        <item m="1" x="42"/>
        <item m="1" x="45"/>
        <item m="1" x="49"/>
        <item m="1" x="53"/>
        <item m="1" x="56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29"/>
        <item m="1" x="31"/>
        <item m="1" x="33"/>
        <item m="1" x="39"/>
        <item m="1" x="43"/>
        <item m="1" x="46"/>
        <item m="1" x="34"/>
        <item m="1" x="38"/>
        <item m="1" x="41"/>
        <item m="1" x="44"/>
        <item m="1" x="47"/>
        <item m="1" x="50"/>
        <item m="1" x="52"/>
        <item m="1" x="12"/>
        <item m="1" x="57"/>
        <item m="1" x="48"/>
        <item m="1" x="36"/>
        <item m="1" x="28"/>
        <item m="1" x="21"/>
        <item m="1" x="14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66">
        <item h="1" m="1" x="63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54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7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6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7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7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x="1"/>
        <item m="1" x="10"/>
        <item m="1" x="7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0">
        <item h="1" x="0"/>
        <item m="1" x="8"/>
        <item m="1" x="7"/>
        <item h="1" x="1"/>
        <item m="1" x="4"/>
        <item m="1" x="6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axis="axisRow" multipleItemSelectionAllowed="1" showAll="0">
      <items count="10">
        <item h="1" x="0"/>
        <item x="3"/>
        <item x="2"/>
        <item x="4"/>
        <item x="6"/>
        <item m="1" x="8"/>
        <item x="5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3">
    <pageField fld="1" item="2" hier="-1"/>
    <pageField fld="32" item="8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7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7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8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277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258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259</v>
      </c>
      <c r="C7" s="20">
        <v>60</v>
      </c>
      <c r="K7" t="s">
        <v>258</v>
      </c>
      <c r="L7">
        <v>57.25</v>
      </c>
    </row>
    <row r="8" spans="2:13" x14ac:dyDescent="0.3">
      <c r="B8" s="17" t="s">
        <v>260</v>
      </c>
      <c r="C8" s="20">
        <v>30</v>
      </c>
      <c r="K8" t="s">
        <v>259</v>
      </c>
      <c r="L8">
        <v>115</v>
      </c>
    </row>
    <row r="9" spans="2:13" x14ac:dyDescent="0.3">
      <c r="B9" s="17" t="s">
        <v>261</v>
      </c>
      <c r="C9" s="20">
        <v>60</v>
      </c>
      <c r="K9" t="s">
        <v>260</v>
      </c>
      <c r="L9">
        <v>92</v>
      </c>
    </row>
    <row r="10" spans="2:13" x14ac:dyDescent="0.3">
      <c r="B10" s="17" t="s">
        <v>262</v>
      </c>
      <c r="C10" s="20">
        <v>60</v>
      </c>
      <c r="K10" t="s">
        <v>261</v>
      </c>
      <c r="L10">
        <v>33.5</v>
      </c>
    </row>
    <row r="11" spans="2:13" x14ac:dyDescent="0.3">
      <c r="B11" s="17" t="s">
        <v>263</v>
      </c>
      <c r="C11" s="20">
        <v>60</v>
      </c>
      <c r="K11" t="s">
        <v>262</v>
      </c>
    </row>
    <row r="12" spans="2:13" x14ac:dyDescent="0.3">
      <c r="B12" s="17" t="s">
        <v>264</v>
      </c>
      <c r="C12" s="20"/>
      <c r="K12" t="s">
        <v>263</v>
      </c>
    </row>
    <row r="13" spans="2:13" x14ac:dyDescent="0.3">
      <c r="B13" s="17" t="s">
        <v>50</v>
      </c>
      <c r="C13" s="20">
        <v>370</v>
      </c>
      <c r="K13" t="s">
        <v>264</v>
      </c>
      <c r="M13" s="20"/>
    </row>
    <row r="14" spans="2:13" x14ac:dyDescent="0.3">
      <c r="K14" t="s">
        <v>187</v>
      </c>
      <c r="L14">
        <f>SUBTOTAL(109,Table1[R&amp;D])</f>
        <v>297.75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Venus5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273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1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>
        <v>30</v>
      </c>
    </row>
    <row r="13" spans="1:5" x14ac:dyDescent="0.3">
      <c r="D13" s="17" t="s">
        <v>50</v>
      </c>
      <c r="E13" s="20">
        <v>36</v>
      </c>
    </row>
    <row r="15" spans="1:5" x14ac:dyDescent="0.3">
      <c r="D15" t="s">
        <v>50</v>
      </c>
      <c r="E15">
        <f>GETPIVOTDATA("Story Points", $D$5)</f>
        <v>36</v>
      </c>
    </row>
    <row r="16" spans="1:5" x14ac:dyDescent="0.3">
      <c r="D16" t="s">
        <v>253</v>
      </c>
      <c r="E16" t="str">
        <f>"Sprint " &amp; SUBSTITUTE($B$1,"Venus", "") &amp; " Progress"</f>
        <v>Sprint 5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4" x14ac:dyDescent="0.3"/>
  <cols>
    <col min="2" max="2" width="13.109375" bestFit="1" customWidth="1"/>
    <col min="3" max="3" width="12.6640625" bestFit="1" customWidth="1"/>
    <col min="5" max="5" width="12.109375" bestFit="1" customWidth="1"/>
    <col min="6" max="6" width="8" customWidth="1"/>
    <col min="7" max="7" width="10.218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277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3" x14ac:dyDescent="0.3">
      <c r="B18" s="17" t="s">
        <v>50</v>
      </c>
      <c r="C18">
        <f>GETPIVOTDATA("Key", $B$9)</f>
        <v>5</v>
      </c>
    </row>
    <row r="24" spans="2:3" x14ac:dyDescent="0.3">
      <c r="B24" s="16" t="s">
        <v>135</v>
      </c>
      <c r="C24" t="s">
        <v>277</v>
      </c>
    </row>
    <row r="25" spans="2:3" x14ac:dyDescent="0.3">
      <c r="B25" s="16" t="s">
        <v>9</v>
      </c>
      <c r="C25" t="s">
        <v>66</v>
      </c>
    </row>
    <row r="26" spans="2:3" x14ac:dyDescent="0.3">
      <c r="B26" s="16" t="s">
        <v>113</v>
      </c>
      <c r="C26" t="s">
        <v>177</v>
      </c>
    </row>
    <row r="27" spans="2:3" x14ac:dyDescent="0.3">
      <c r="B27" s="16" t="s">
        <v>0</v>
      </c>
      <c r="C27" t="s">
        <v>81</v>
      </c>
    </row>
    <row r="29" spans="2:3" x14ac:dyDescent="0.3">
      <c r="B29" s="16" t="s">
        <v>140</v>
      </c>
      <c r="C29" t="s">
        <v>160</v>
      </c>
    </row>
    <row r="30" spans="2:3" x14ac:dyDescent="0.3">
      <c r="B30" s="17" t="s">
        <v>258</v>
      </c>
      <c r="C30" s="20">
        <v>1</v>
      </c>
    </row>
    <row r="31" spans="2:3" x14ac:dyDescent="0.3">
      <c r="B31" s="17" t="s">
        <v>259</v>
      </c>
      <c r="C31" s="20"/>
    </row>
    <row r="32" spans="2:3" x14ac:dyDescent="0.3">
      <c r="B32" s="17" t="s">
        <v>260</v>
      </c>
      <c r="C32" s="20"/>
    </row>
    <row r="33" spans="2:3" x14ac:dyDescent="0.3">
      <c r="B33" s="17" t="s">
        <v>261</v>
      </c>
      <c r="C33" s="20">
        <v>1</v>
      </c>
    </row>
    <row r="34" spans="2:3" x14ac:dyDescent="0.3">
      <c r="B34" s="17" t="s">
        <v>262</v>
      </c>
      <c r="C34" s="20"/>
    </row>
    <row r="35" spans="2:3" x14ac:dyDescent="0.3">
      <c r="B35" s="17" t="s">
        <v>263</v>
      </c>
      <c r="C35" s="20"/>
    </row>
    <row r="36" spans="2:3" x14ac:dyDescent="0.3">
      <c r="B36" s="17" t="s">
        <v>264</v>
      </c>
      <c r="C36" s="20"/>
    </row>
    <row r="37" spans="2:3" x14ac:dyDescent="0.3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17.777343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279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257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276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269</v>
      </c>
      <c r="AG4" s="5" t="s">
        <v>254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270</v>
      </c>
      <c r="AI5" s="5" t="s">
        <v>175</v>
      </c>
      <c r="AJ5" s="10" t="s">
        <v>265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271</v>
      </c>
      <c r="AI6" s="5" t="s">
        <v>148</v>
      </c>
      <c r="AJ6" s="5" t="s">
        <v>267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272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273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274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275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270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271</v>
      </c>
      <c r="AF12" s="5" t="s">
        <v>258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272</v>
      </c>
      <c r="AF13" s="5" t="s">
        <v>259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273</v>
      </c>
      <c r="AF14" s="5" t="s">
        <v>260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274</v>
      </c>
      <c r="AF15" s="5" t="s">
        <v>261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269</v>
      </c>
      <c r="AF16" s="5" t="s">
        <v>262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275</v>
      </c>
      <c r="AF17" s="5" t="s">
        <v>263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271</v>
      </c>
      <c r="AF18" s="5" t="s">
        <v>258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272</v>
      </c>
      <c r="AF19" s="5" t="s">
        <v>259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273</v>
      </c>
      <c r="AF20" s="5" t="s">
        <v>260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274</v>
      </c>
      <c r="AF21" s="5" t="s">
        <v>261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269</v>
      </c>
      <c r="AF22" s="5" t="s">
        <v>262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270</v>
      </c>
      <c r="AF23" s="5" t="s">
        <v>263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275</v>
      </c>
      <c r="AF24" s="5" t="s">
        <v>258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272</v>
      </c>
      <c r="AF25" s="5" t="s">
        <v>258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254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Venus5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Venus5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Venus5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Venus5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Venus5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Venus5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Venus5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269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258</v>
      </c>
      <c r="AG40" s="5" t="s">
        <v>277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259</v>
      </c>
      <c r="AG41" s="5" t="s">
        <v>277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260</v>
      </c>
      <c r="AG42" s="5" t="s">
        <v>277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261</v>
      </c>
      <c r="AG43" s="5" t="s">
        <v>277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262</v>
      </c>
      <c r="AG44" s="5" t="s">
        <v>277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263</v>
      </c>
      <c r="AG45" s="5" t="s">
        <v>277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264</v>
      </c>
      <c r="AG46" s="5" t="s">
        <v>277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258</v>
      </c>
      <c r="AG49" s="5" t="s">
        <v>277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277</v>
      </c>
      <c r="AJ50" s="5" t="s">
        <v>265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278</v>
      </c>
      <c r="P51" s="5">
        <v>50</v>
      </c>
      <c r="Q51" s="5">
        <v>150</v>
      </c>
      <c r="W51" s="5">
        <v>180</v>
      </c>
      <c r="AG51" s="5" t="s">
        <v>277</v>
      </c>
      <c r="AJ51" s="10" t="s">
        <v>265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267</v>
      </c>
      <c r="N52" s="5">
        <v>10</v>
      </c>
      <c r="P52" s="5">
        <v>50</v>
      </c>
      <c r="Q52" s="5">
        <v>150</v>
      </c>
      <c r="W52" s="5">
        <v>180</v>
      </c>
      <c r="AG52" s="5" t="s">
        <v>277</v>
      </c>
      <c r="AI52" s="5" t="s">
        <v>147</v>
      </c>
      <c r="AJ52" s="10" t="s">
        <v>267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267</v>
      </c>
      <c r="N53" s="5">
        <v>10</v>
      </c>
      <c r="P53" s="5">
        <v>50</v>
      </c>
      <c r="Q53" s="5">
        <v>150</v>
      </c>
      <c r="AG53" s="5" t="s">
        <v>277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267</v>
      </c>
      <c r="N54" s="5">
        <v>10</v>
      </c>
      <c r="P54" s="5">
        <v>750</v>
      </c>
      <c r="Q54" s="5">
        <v>150</v>
      </c>
      <c r="AG54" s="5" t="s">
        <v>277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277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277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277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277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277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277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277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277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277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277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277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277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277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277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277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277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277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277</v>
      </c>
      <c r="AJ73" s="10" t="s">
        <v>267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277</v>
      </c>
      <c r="AJ74" s="10" t="s">
        <v>265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277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277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277</v>
      </c>
      <c r="AJ77" s="5" t="s">
        <v>266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258</v>
      </c>
      <c r="AG78" s="5" t="s">
        <v>277</v>
      </c>
      <c r="AJ78" s="5" t="s">
        <v>265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259</v>
      </c>
      <c r="AG79" s="5" t="s">
        <v>277</v>
      </c>
      <c r="AJ79" s="5" t="s">
        <v>266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260</v>
      </c>
      <c r="AG80" s="5" t="s">
        <v>277</v>
      </c>
      <c r="AJ80" s="10" t="s">
        <v>265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261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262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263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258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259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260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261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262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263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258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259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258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3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4" x14ac:dyDescent="0.3"/>
  <cols>
    <col min="1" max="1" width="16" bestFit="1" customWidth="1"/>
    <col min="2" max="2" width="8.88671875" bestFit="1" customWidth="1"/>
    <col min="3" max="3" width="10.21875" bestFit="1" customWidth="1"/>
    <col min="4" max="4" width="24.44140625" bestFit="1" customWidth="1"/>
    <col min="5" max="5" width="31.21875" bestFit="1" customWidth="1"/>
    <col min="6" max="6" width="18.21875" bestFit="1" customWidth="1"/>
    <col min="7" max="7" width="16" bestFit="1" customWidth="1"/>
    <col min="8" max="8" width="21" bestFit="1" customWidth="1"/>
    <col min="9" max="9" width="12" customWidth="1"/>
    <col min="10" max="10" width="16" bestFit="1" customWidth="1"/>
    <col min="11" max="11" width="13.77734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5546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268</v>
      </c>
      <c r="L1" t="s">
        <v>267</v>
      </c>
      <c r="M1" t="s">
        <v>135</v>
      </c>
      <c r="N1" t="s">
        <v>265</v>
      </c>
      <c r="O1" t="s">
        <v>266</v>
      </c>
      <c r="P1" t="s">
        <v>267</v>
      </c>
      <c r="Q1" s="80" t="s">
        <v>135</v>
      </c>
      <c r="R1" s="80"/>
      <c r="S1" s="80" t="s">
        <v>265</v>
      </c>
      <c r="T1" s="80"/>
      <c r="U1" s="80" t="s">
        <v>266</v>
      </c>
      <c r="V1" s="80"/>
      <c r="W1" s="80" t="s">
        <v>267</v>
      </c>
      <c r="X1" s="80"/>
      <c r="AB1" s="16" t="s">
        <v>135</v>
      </c>
      <c r="AC1" t="s">
        <v>277</v>
      </c>
    </row>
    <row r="2" spans="1:30" x14ac:dyDescent="0.3">
      <c r="A2" t="s">
        <v>137</v>
      </c>
      <c r="B2" s="44">
        <f ca="1">MAX(NETWORKDAYS($D$3,$E$6,$Z$4:$Z$9)/NETWORKDAYS($D$3,$E$3,$Z$4:$Z$9),0%)</f>
        <v>0.5625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0.4375</v>
      </c>
      <c r="D3" s="26">
        <v>43775</v>
      </c>
      <c r="E3" s="27">
        <v>43872</v>
      </c>
      <c r="J3" s="34"/>
      <c r="K3" s="33">
        <v>0</v>
      </c>
      <c r="L3" s="33">
        <v>0</v>
      </c>
      <c r="M3" s="78">
        <v>0.05</v>
      </c>
      <c r="N3" s="76">
        <v>0.11</v>
      </c>
      <c r="O3" s="76">
        <v>0</v>
      </c>
      <c r="P3" s="76">
        <v>0</v>
      </c>
      <c r="Q3" s="40">
        <f>$Q$25*(100%-K3)</f>
        <v>500</v>
      </c>
      <c r="R3" s="42">
        <v>408.5</v>
      </c>
      <c r="S3" s="40">
        <f>$Q$26*(100%-K3)</f>
        <v>180</v>
      </c>
      <c r="T3" s="42">
        <v>174</v>
      </c>
      <c r="U3" s="40">
        <f>$Q$27*(100%-L3)</f>
        <v>150</v>
      </c>
      <c r="V3" s="42">
        <v>150</v>
      </c>
      <c r="W3" s="40">
        <f>$Q$28*(100%-K3)</f>
        <v>50</v>
      </c>
      <c r="X3" s="42">
        <v>64</v>
      </c>
      <c r="Z3" s="32">
        <v>43823</v>
      </c>
      <c r="AB3" s="16" t="s">
        <v>247</v>
      </c>
      <c r="AC3" t="s">
        <v>218</v>
      </c>
    </row>
    <row r="4" spans="1:30" x14ac:dyDescent="0.3">
      <c r="D4" s="45"/>
      <c r="E4" s="46">
        <v>43872</v>
      </c>
      <c r="G4" s="23" t="s">
        <v>258</v>
      </c>
      <c r="H4" s="24">
        <v>43775</v>
      </c>
      <c r="I4" s="24">
        <f>H4+13</f>
        <v>43788</v>
      </c>
      <c r="J4" s="35">
        <f t="shared" ref="J4:J9" si="0">NETWORKDAYS(H4,I4,$Z$3:$Z$9)</f>
        <v>10</v>
      </c>
      <c r="K4" s="36">
        <f>SUM($J$4:J4)/SUM($J$4:$J$10)</f>
        <v>0.15873015873015872</v>
      </c>
      <c r="L4" s="36">
        <f>SUM($J$4:J4)/SUM($J$4:$J$10)</f>
        <v>0.15873015873015872</v>
      </c>
      <c r="M4" s="70">
        <v>0.14000000000000001</v>
      </c>
      <c r="N4" s="76">
        <v>0.13</v>
      </c>
      <c r="O4" s="76">
        <v>0.18</v>
      </c>
      <c r="P4" s="76">
        <v>0.19</v>
      </c>
      <c r="Q4" s="40">
        <f>$Q$25*(100%-K4)</f>
        <v>420.63492063492066</v>
      </c>
      <c r="R4" s="42">
        <v>430.3</v>
      </c>
      <c r="S4" s="42">
        <f>$Q$26*(100%-K4)</f>
        <v>151.42857142857142</v>
      </c>
      <c r="T4" s="42">
        <v>209.8</v>
      </c>
      <c r="U4" s="40">
        <f>$Q$27*(100%-L4)</f>
        <v>126.19047619047619</v>
      </c>
      <c r="V4" s="42">
        <v>122</v>
      </c>
      <c r="W4" s="40">
        <f>$Q$28*(100%-K4)</f>
        <v>42.063492063492063</v>
      </c>
      <c r="X4" s="42">
        <v>52</v>
      </c>
      <c r="Z4" s="32">
        <v>43824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259</v>
      </c>
      <c r="H5" s="24">
        <f>I4+1</f>
        <v>43789</v>
      </c>
      <c r="I5" s="24">
        <f>I4+14</f>
        <v>43802</v>
      </c>
      <c r="J5" s="35">
        <f t="shared" si="0"/>
        <v>10</v>
      </c>
      <c r="K5" s="36">
        <f>SUM($J$4:J5)/SUM($J$4:$J$10)</f>
        <v>0.31746031746031744</v>
      </c>
      <c r="L5" s="36">
        <f>SUM($J$4:J5)/SUM($J$4:$J$10)</f>
        <v>0.31746031746031744</v>
      </c>
      <c r="M5" s="70">
        <v>0.36</v>
      </c>
      <c r="N5" s="76">
        <v>0.28999999999999998</v>
      </c>
      <c r="O5" s="76">
        <v>0.62</v>
      </c>
      <c r="P5" s="76">
        <v>0.34</v>
      </c>
      <c r="Q5" s="40">
        <f t="shared" ref="Q5:Q9" si="1">$Q$25*(100%-K5)</f>
        <v>341.26984126984127</v>
      </c>
      <c r="R5" s="42">
        <v>330.3</v>
      </c>
      <c r="S5" s="42">
        <f t="shared" ref="S5:S9" si="2">$Q$26*(100%-K5)</f>
        <v>122.85714285714286</v>
      </c>
      <c r="T5" s="42">
        <v>155.80000000000001</v>
      </c>
      <c r="U5" s="40">
        <f t="shared" ref="U5:U9" si="3">$Q$27*(100%-L5)</f>
        <v>102.38095238095238</v>
      </c>
      <c r="V5" s="42">
        <v>57</v>
      </c>
      <c r="W5" s="40">
        <f t="shared" ref="W5:W9" si="4">$Q$28*(100%-K5)</f>
        <v>34.126984126984127</v>
      </c>
      <c r="X5" s="42">
        <v>42</v>
      </c>
      <c r="Z5" s="32">
        <v>43825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43832</v>
      </c>
      <c r="G6" s="23" t="s">
        <v>260</v>
      </c>
      <c r="H6" s="24">
        <f>I5+1</f>
        <v>43803</v>
      </c>
      <c r="I6" s="24">
        <f>I5+14</f>
        <v>43816</v>
      </c>
      <c r="J6" s="35">
        <f t="shared" si="0"/>
        <v>10</v>
      </c>
      <c r="K6" s="36">
        <f>SUM($J$4:J6)/SUM($J$4:$J$10)</f>
        <v>0.47619047619047616</v>
      </c>
      <c r="L6" s="36">
        <f>SUM($J$4:J6)/SUM($J$4:$J$10)</f>
        <v>0.47619047619047616</v>
      </c>
      <c r="M6" s="70">
        <v>0.56999999999999995</v>
      </c>
      <c r="N6" s="76">
        <v>0.51</v>
      </c>
      <c r="O6" s="76">
        <v>0.72</v>
      </c>
      <c r="P6" s="76">
        <v>0.54</v>
      </c>
      <c r="Q6" s="40">
        <f t="shared" ref="Q6" si="5">$Q$25*(100%-K6)</f>
        <v>261.90476190476193</v>
      </c>
      <c r="R6" s="42">
        <v>210.8</v>
      </c>
      <c r="S6" s="42">
        <f t="shared" ref="S6" si="6">$Q$26*(100%-K6)</f>
        <v>94.285714285714292</v>
      </c>
      <c r="T6" s="42">
        <v>111.3</v>
      </c>
      <c r="U6" s="40">
        <f t="shared" ref="U6" si="7">$Q$27*(100%-L6)</f>
        <v>78.571428571428569</v>
      </c>
      <c r="V6" s="42">
        <v>42</v>
      </c>
      <c r="W6" s="40">
        <f t="shared" ref="W6" si="8">$Q$28*(100%-K6)</f>
        <v>26.190476190476193</v>
      </c>
      <c r="X6" s="42">
        <v>31</v>
      </c>
      <c r="Z6" s="32">
        <v>43826</v>
      </c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261</v>
      </c>
      <c r="H7" s="24">
        <f t="shared" ref="H7:H9" si="9">I6+1</f>
        <v>43817</v>
      </c>
      <c r="I7" s="24">
        <f t="shared" ref="I7:I10" si="10">I6+14</f>
        <v>43830</v>
      </c>
      <c r="J7" s="35">
        <f t="shared" si="0"/>
        <v>4</v>
      </c>
      <c r="K7" s="36">
        <f>SUM($J$4:J7)/SUM($J$4:$J$10)</f>
        <v>0.53968253968253965</v>
      </c>
      <c r="L7" s="36">
        <f>SUM($J$4:J7)/SUM($J$4:$J$10)</f>
        <v>0.53968253968253965</v>
      </c>
      <c r="M7" s="70">
        <v>0.59</v>
      </c>
      <c r="N7" s="76">
        <v>0.61</v>
      </c>
      <c r="O7" s="76">
        <v>0.72</v>
      </c>
      <c r="P7" s="76">
        <v>0.62</v>
      </c>
      <c r="Q7" s="40">
        <f t="shared" si="1"/>
        <v>230.15873015873018</v>
      </c>
      <c r="R7" s="42">
        <v>217.3</v>
      </c>
      <c r="S7" s="42">
        <f t="shared" si="2"/>
        <v>82.857142857142861</v>
      </c>
      <c r="T7" s="42">
        <v>91.8</v>
      </c>
      <c r="U7" s="40">
        <f t="shared" si="3"/>
        <v>69.047619047619051</v>
      </c>
      <c r="V7" s="42">
        <v>42</v>
      </c>
      <c r="W7" s="40">
        <f t="shared" si="4"/>
        <v>23.015873015873016</v>
      </c>
      <c r="X7" s="42">
        <v>26</v>
      </c>
      <c r="Z7" s="32">
        <v>43829</v>
      </c>
      <c r="AB7" s="17" t="s">
        <v>265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262</v>
      </c>
      <c r="H8" s="24">
        <f t="shared" si="9"/>
        <v>43831</v>
      </c>
      <c r="I8" s="24">
        <f t="shared" si="10"/>
        <v>43844</v>
      </c>
      <c r="J8" s="35">
        <f t="shared" si="0"/>
        <v>9</v>
      </c>
      <c r="K8" s="36">
        <f>SUM($J$4:J8)/SUM($J$4:$J$10)</f>
        <v>0.68253968253968256</v>
      </c>
      <c r="L8" s="36">
        <f>SUM($J$4:J8)/SUM($J$4:$J$10)</f>
        <v>0.68253968253968256</v>
      </c>
      <c r="M8" s="70">
        <f>100%-GETPIVOTDATA("Epic Remaining Estimate",$AB$4)/GETPIVOTDATA("Epic Total Estimate",$AB$4)</f>
        <v>0.25</v>
      </c>
      <c r="N8" s="76">
        <f>100%-GETPIVOTDATA("Epic Remaining Estimate",$AB$4,"ST:Components","Admin")/GETPIVOTDATA("Epic Total Estimate",$AB$4,"ST:Components","Admin")</f>
        <v>-0.5</v>
      </c>
      <c r="O8" s="76">
        <f>100%-GETPIVOTDATA("Epic Remaining Estimate",$AB$4,"ST:Components","Angular 8 Migration")/GETPIVOTDATA("Epic Total Estimate",$AB$4,"ST:Components","Angular 8 Migration")</f>
        <v>-2</v>
      </c>
      <c r="P8" s="76">
        <f>100%-GETPIVOTDATA("Epic Remaining Estimate",$AB$4,"ST:Components","Excel Export")/GETPIVOTDATA("Epic Total Estimate",$AB$4,"ST:Components","Excel Export")</f>
        <v>-2</v>
      </c>
      <c r="Q8" s="40">
        <f t="shared" si="1"/>
        <v>158.73015873015873</v>
      </c>
      <c r="R8" s="42">
        <f>GETPIVOTDATA("Epic Remaining Estimate",$AB$4)</f>
        <v>450</v>
      </c>
      <c r="S8" s="42">
        <f t="shared" si="2"/>
        <v>57.142857142857139</v>
      </c>
      <c r="T8" s="42">
        <f>GETPIVOTDATA("Epic Remaining Estimate",$AB$4,"ST:Components","Admin")</f>
        <v>150</v>
      </c>
      <c r="U8" s="40">
        <f t="shared" si="3"/>
        <v>47.619047619047613</v>
      </c>
      <c r="V8" s="42">
        <f>GETPIVOTDATA("Epic Remaining Estimate",$AB$4,"ST:Components","Angular 8 Migration")</f>
        <v>150</v>
      </c>
      <c r="W8" s="40">
        <f t="shared" si="4"/>
        <v>15.873015873015872</v>
      </c>
      <c r="X8" s="42">
        <f>GETPIVOTDATA("Epic Remaining Estimate",$AB$4,"ST:Components","Excel Export")</f>
        <v>150</v>
      </c>
      <c r="Z8" s="32">
        <v>43830</v>
      </c>
      <c r="AB8" s="17" t="s">
        <v>278</v>
      </c>
      <c r="AC8" s="20">
        <v>50</v>
      </c>
      <c r="AD8" s="20">
        <v>150</v>
      </c>
    </row>
    <row r="9" spans="1:30" x14ac:dyDescent="0.3">
      <c r="A9" s="39" t="s">
        <v>265</v>
      </c>
      <c r="B9" s="21"/>
      <c r="C9" s="21"/>
      <c r="D9" s="21"/>
      <c r="G9" s="67" t="s">
        <v>263</v>
      </c>
      <c r="H9" s="68">
        <f t="shared" si="9"/>
        <v>43845</v>
      </c>
      <c r="I9" s="68">
        <f t="shared" si="10"/>
        <v>43858</v>
      </c>
      <c r="J9" s="69">
        <f t="shared" si="0"/>
        <v>10</v>
      </c>
      <c r="K9" s="70">
        <f>SUM($J$4:J9)/SUM($J$4:$J$10)</f>
        <v>0.84126984126984128</v>
      </c>
      <c r="L9" s="70">
        <f>SUM($J$4:J9)/SUM($J$4:$J$10)</f>
        <v>0.84126984126984128</v>
      </c>
      <c r="M9" s="70"/>
      <c r="N9" s="76"/>
      <c r="O9" s="76"/>
      <c r="P9" s="76"/>
      <c r="Q9" s="42">
        <f t="shared" si="1"/>
        <v>79.365079365079367</v>
      </c>
      <c r="R9" s="42"/>
      <c r="S9" s="42">
        <f t="shared" si="2"/>
        <v>28.571428571428569</v>
      </c>
      <c r="T9" s="42"/>
      <c r="U9" s="42">
        <f t="shared" si="3"/>
        <v>23.809523809523807</v>
      </c>
      <c r="V9" s="42"/>
      <c r="W9" s="42">
        <f t="shared" si="4"/>
        <v>7.9365079365079358</v>
      </c>
      <c r="X9" s="42"/>
      <c r="Z9" s="32">
        <v>43831</v>
      </c>
      <c r="AB9" s="17" t="s">
        <v>267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264</v>
      </c>
      <c r="H10" s="73">
        <f t="shared" ref="H10" si="11">I9+1</f>
        <v>43859</v>
      </c>
      <c r="I10" s="73">
        <f t="shared" si="10"/>
        <v>43872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266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Estimate",$AB$4,"ST:Components","Angular 8 Migration")/GETPIVOTDATA("Epic Total Estimate",$AB$4,"ST:Components","Angular 8 Migration")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Estimate",$AB$4,"ST:Components","Excel Export")/GETPIVOTDATA("Epic Total Estimate",$AB$4,"ST:Components","Excel Export")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252</v>
      </c>
      <c r="B21" s="39"/>
    </row>
    <row r="22" spans="1:24" x14ac:dyDescent="0.3">
      <c r="A22" t="s">
        <v>137</v>
      </c>
      <c r="B22" s="44">
        <f ca="1">MAX(NETWORKDAYS($D$3,$E$6,$Z$4:$Z$9)/NETWORKDAYS($D$3,$E$3,$Z$4:$Z$9),0%)</f>
        <v>0.5625</v>
      </c>
    </row>
    <row r="23" spans="1:24" x14ac:dyDescent="0.3">
      <c r="A23" t="s">
        <v>138</v>
      </c>
      <c r="B23" s="30">
        <f ca="1">MAX(100%,B22)-B22</f>
        <v>0.4375</v>
      </c>
    </row>
    <row r="24" spans="1:24" x14ac:dyDescent="0.3">
      <c r="D24" s="16" t="s">
        <v>135</v>
      </c>
      <c r="E24" t="s">
        <v>277</v>
      </c>
      <c r="G24" s="16" t="s">
        <v>135</v>
      </c>
      <c r="H24" t="s">
        <v>277</v>
      </c>
      <c r="J24" s="16" t="s">
        <v>135</v>
      </c>
      <c r="K24" t="s">
        <v>277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277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500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265</v>
      </c>
      <c r="G26" s="16" t="s">
        <v>20</v>
      </c>
      <c r="H26" t="s">
        <v>278</v>
      </c>
      <c r="J26" s="16" t="s">
        <v>20</v>
      </c>
      <c r="K26" t="s">
        <v>267</v>
      </c>
      <c r="P26" t="s">
        <v>265</v>
      </c>
      <c r="Q26">
        <v>180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266</v>
      </c>
      <c r="Q27">
        <v>150</v>
      </c>
    </row>
    <row r="28" spans="1:24" x14ac:dyDescent="0.3">
      <c r="L28" s="16"/>
      <c r="M28" s="16"/>
      <c r="N28" s="16"/>
      <c r="O28" s="16"/>
      <c r="P28" s="16" t="s">
        <v>267</v>
      </c>
      <c r="Q28" s="16">
        <v>50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277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277</v>
      </c>
      <c r="G37" s="16" t="s">
        <v>135</v>
      </c>
      <c r="H37" t="s">
        <v>277</v>
      </c>
      <c r="J37" s="16" t="s">
        <v>135</v>
      </c>
      <c r="K37" t="s">
        <v>277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265</v>
      </c>
      <c r="G39" s="16" t="s">
        <v>20</v>
      </c>
      <c r="H39" t="s">
        <v>278</v>
      </c>
      <c r="J39" s="16" t="s">
        <v>20</v>
      </c>
      <c r="K39" t="s">
        <v>267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277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265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266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267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1"/>
      <c r="B1" s="81"/>
      <c r="C1" s="81"/>
      <c r="D1" s="82" t="s">
        <v>135</v>
      </c>
      <c r="E1" s="82"/>
      <c r="F1" s="82"/>
      <c r="G1" s="82"/>
      <c r="H1" s="82"/>
      <c r="I1" s="82"/>
      <c r="J1" s="82"/>
      <c r="K1" s="82"/>
      <c r="L1" s="82" t="s">
        <v>265</v>
      </c>
      <c r="M1" s="82"/>
      <c r="N1" s="82"/>
      <c r="O1" s="82"/>
      <c r="P1" s="82"/>
      <c r="Q1" s="82"/>
      <c r="R1" s="82"/>
      <c r="S1" s="82"/>
      <c r="T1" s="82" t="s">
        <v>266</v>
      </c>
      <c r="U1" s="82"/>
      <c r="V1" s="82"/>
      <c r="W1" s="82"/>
      <c r="X1" s="82"/>
      <c r="Y1" s="82"/>
      <c r="Z1" s="82"/>
      <c r="AA1" s="82"/>
      <c r="AB1" s="82" t="s">
        <v>267</v>
      </c>
      <c r="AC1" s="82"/>
      <c r="AD1" s="82"/>
      <c r="AE1" s="82"/>
      <c r="AF1" s="82"/>
      <c r="AG1" s="82"/>
      <c r="AH1" s="82"/>
      <c r="AI1" s="82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429.5</v>
      </c>
      <c r="E3" s="58">
        <f>_ReleaseData!$Q$25</f>
        <v>500</v>
      </c>
      <c r="F3" s="40">
        <v>429.5</v>
      </c>
      <c r="G3" s="40">
        <v>339.5</v>
      </c>
      <c r="H3" s="40">
        <f t="shared" ref="H3:H4" si="0">D3-I3</f>
        <v>21</v>
      </c>
      <c r="I3" s="40">
        <v>408.5</v>
      </c>
      <c r="J3" s="33">
        <f t="shared" ref="J3:J4" si="1" xml:space="preserve"> G3/D3</f>
        <v>0.79045401629802092</v>
      </c>
      <c r="K3" s="33">
        <f t="shared" ref="K3:K4" si="2" xml:space="preserve"> H3/D3</f>
        <v>4.8894062863795114E-2</v>
      </c>
      <c r="L3" s="59">
        <v>195</v>
      </c>
      <c r="M3" s="58">
        <f>_ReleaseData!$Q$26</f>
        <v>180</v>
      </c>
      <c r="N3" s="40">
        <v>195</v>
      </c>
      <c r="O3" s="40">
        <v>136</v>
      </c>
      <c r="P3" s="40">
        <f t="shared" ref="P3:P4" si="3">L3-Q3</f>
        <v>21</v>
      </c>
      <c r="Q3" s="40">
        <v>174</v>
      </c>
      <c r="R3" s="33">
        <f t="shared" ref="R3:R4" si="4" xml:space="preserve"> O3/L3</f>
        <v>0.6974358974358974</v>
      </c>
      <c r="S3" s="33">
        <f t="shared" ref="S3:S4" si="5" xml:space="preserve"> P3/L3</f>
        <v>0.1076923076923077</v>
      </c>
      <c r="T3" s="57">
        <v>150</v>
      </c>
      <c r="U3" s="58">
        <f>_ReleaseData!$Q$27</f>
        <v>150</v>
      </c>
      <c r="V3" s="40">
        <v>150</v>
      </c>
      <c r="W3" s="40">
        <v>124</v>
      </c>
      <c r="X3" s="40">
        <f t="shared" ref="X3:X4" si="6">T3-Y3</f>
        <v>0</v>
      </c>
      <c r="Y3" s="40">
        <v>150</v>
      </c>
      <c r="Z3" s="33">
        <f t="shared" ref="Z3:Z4" si="7" xml:space="preserve"> W3/T3</f>
        <v>0.82666666666666666</v>
      </c>
      <c r="AA3" s="33">
        <f t="shared" ref="AA3:AA4" si="8">X3/T3</f>
        <v>0</v>
      </c>
      <c r="AB3" s="57">
        <v>64</v>
      </c>
      <c r="AC3" s="58">
        <f>_ReleaseData!$Q$28</f>
        <v>50</v>
      </c>
      <c r="AD3" s="40">
        <v>64</v>
      </c>
      <c r="AE3" s="40">
        <v>59</v>
      </c>
      <c r="AF3" s="40">
        <f t="shared" ref="AF3:AF4" si="9">AB3-AG3</f>
        <v>0</v>
      </c>
      <c r="AG3" s="40">
        <v>64</v>
      </c>
      <c r="AH3" s="33">
        <f t="shared" ref="AH3:AH4" si="10" xml:space="preserve"> AE3/AB3</f>
        <v>0.921875</v>
      </c>
      <c r="AI3" s="33">
        <f t="shared" ref="AI3:AI4" si="11">AF3/AB3</f>
        <v>0</v>
      </c>
    </row>
    <row r="4" spans="1:42" x14ac:dyDescent="0.3">
      <c r="A4" t="s">
        <v>258</v>
      </c>
      <c r="B4" s="60">
        <v>43775</v>
      </c>
      <c r="C4" s="60">
        <v>43788</v>
      </c>
      <c r="D4" s="57">
        <v>501.8</v>
      </c>
      <c r="E4" s="58">
        <f>_ReleaseData!$Q$25</f>
        <v>500</v>
      </c>
      <c r="F4" s="40">
        <v>456.8</v>
      </c>
      <c r="G4" s="40">
        <v>362.8</v>
      </c>
      <c r="H4" s="40">
        <f t="shared" si="0"/>
        <v>71.5</v>
      </c>
      <c r="I4" s="40">
        <v>430.3</v>
      </c>
      <c r="J4" s="33">
        <f t="shared" si="1"/>
        <v>0.72299721004384221</v>
      </c>
      <c r="K4" s="33">
        <f t="shared" si="2"/>
        <v>0.14248704663212436</v>
      </c>
      <c r="L4" s="59">
        <v>242.3</v>
      </c>
      <c r="M4" s="58">
        <f>_ReleaseData!$Q$26</f>
        <v>180</v>
      </c>
      <c r="N4" s="40">
        <v>197.3</v>
      </c>
      <c r="O4" s="40">
        <v>144.30000000000001</v>
      </c>
      <c r="P4" s="40">
        <f t="shared" si="3"/>
        <v>32.5</v>
      </c>
      <c r="Q4" s="40">
        <v>209.8</v>
      </c>
      <c r="R4" s="33">
        <f t="shared" si="4"/>
        <v>0.59554271564176642</v>
      </c>
      <c r="S4" s="33">
        <f t="shared" si="5"/>
        <v>0.13413124226165909</v>
      </c>
      <c r="T4" s="57">
        <v>149</v>
      </c>
      <c r="U4" s="58">
        <f>_ReleaseData!$Q$27</f>
        <v>150</v>
      </c>
      <c r="V4" s="40">
        <v>149</v>
      </c>
      <c r="W4" s="40">
        <v>129</v>
      </c>
      <c r="X4" s="40">
        <f t="shared" si="6"/>
        <v>27</v>
      </c>
      <c r="Y4" s="40">
        <v>122</v>
      </c>
      <c r="Z4" s="33">
        <f t="shared" si="7"/>
        <v>0.86577181208053688</v>
      </c>
      <c r="AA4" s="33">
        <f t="shared" si="8"/>
        <v>0.18120805369127516</v>
      </c>
      <c r="AB4" s="57">
        <v>64</v>
      </c>
      <c r="AC4" s="58">
        <f>_ReleaseData!$Q$28</f>
        <v>50</v>
      </c>
      <c r="AD4" s="40">
        <v>64</v>
      </c>
      <c r="AE4" s="40">
        <v>59</v>
      </c>
      <c r="AF4" s="40">
        <f t="shared" si="9"/>
        <v>12</v>
      </c>
      <c r="AG4" s="40">
        <v>52</v>
      </c>
      <c r="AH4" s="33">
        <f t="shared" si="10"/>
        <v>0.921875</v>
      </c>
      <c r="AI4" s="33">
        <f t="shared" si="11"/>
        <v>0.1875</v>
      </c>
    </row>
    <row r="5" spans="1:42" x14ac:dyDescent="0.3">
      <c r="A5" t="s">
        <v>259</v>
      </c>
      <c r="B5" s="60">
        <v>43789</v>
      </c>
      <c r="C5" s="60">
        <v>43802</v>
      </c>
      <c r="D5" s="57">
        <v>516.29999999999995</v>
      </c>
      <c r="E5" s="58">
        <f>_ReleaseData!$Q$25</f>
        <v>500</v>
      </c>
      <c r="F5" s="40">
        <v>474.3</v>
      </c>
      <c r="G5" s="40">
        <v>448.3</v>
      </c>
      <c r="H5" s="40">
        <f t="shared" ref="H5" si="12">D5-I5</f>
        <v>185.99999999999994</v>
      </c>
      <c r="I5" s="40">
        <v>330.3</v>
      </c>
      <c r="J5" s="33">
        <f t="shared" ref="J5" si="13" xml:space="preserve"> G5/D5</f>
        <v>0.86829362773581265</v>
      </c>
      <c r="K5" s="33">
        <f t="shared" ref="K5" si="14" xml:space="preserve"> H5/D5</f>
        <v>0.36025566531086572</v>
      </c>
      <c r="L5" s="59">
        <v>218.8</v>
      </c>
      <c r="M5" s="58">
        <f>_ReleaseData!$Q$26</f>
        <v>180</v>
      </c>
      <c r="N5" s="40">
        <v>218.8</v>
      </c>
      <c r="O5" s="40">
        <v>211.8</v>
      </c>
      <c r="P5" s="40">
        <f t="shared" ref="P5" si="15">L5-Q5</f>
        <v>63</v>
      </c>
      <c r="Q5" s="40">
        <v>155.80000000000001</v>
      </c>
      <c r="R5" s="33">
        <f t="shared" ref="R5" si="16" xml:space="preserve"> O5/L5</f>
        <v>0.96800731261425965</v>
      </c>
      <c r="S5" s="33">
        <f t="shared" ref="S5" si="17" xml:space="preserve"> P5/L5</f>
        <v>0.28793418647166358</v>
      </c>
      <c r="T5" s="57">
        <v>150</v>
      </c>
      <c r="U5" s="58">
        <f>_ReleaseData!$Q$27</f>
        <v>150</v>
      </c>
      <c r="V5" s="40">
        <v>150</v>
      </c>
      <c r="W5" s="40">
        <v>141</v>
      </c>
      <c r="X5" s="40">
        <f t="shared" ref="X5" si="18">T5-Y5</f>
        <v>93</v>
      </c>
      <c r="Y5" s="40">
        <v>57</v>
      </c>
      <c r="Z5" s="33">
        <f t="shared" ref="Z5" si="19" xml:space="preserve"> W5/T5</f>
        <v>0.94</v>
      </c>
      <c r="AA5" s="33">
        <f t="shared" ref="AA5" si="20">X5/T5</f>
        <v>0.62</v>
      </c>
      <c r="AB5" s="57">
        <v>64</v>
      </c>
      <c r="AC5" s="58">
        <f>_ReleaseData!$Q$28</f>
        <v>50</v>
      </c>
      <c r="AD5" s="40">
        <v>64</v>
      </c>
      <c r="AE5" s="40">
        <v>59</v>
      </c>
      <c r="AF5" s="40">
        <v>22</v>
      </c>
      <c r="AG5" s="40">
        <v>52</v>
      </c>
      <c r="AH5" s="33">
        <f t="shared" ref="AH5" si="21" xml:space="preserve"> AE5/AB5</f>
        <v>0.921875</v>
      </c>
      <c r="AI5" s="33">
        <f t="shared" ref="AI5" si="22">AF5/AB5</f>
        <v>0.34375</v>
      </c>
    </row>
    <row r="6" spans="1:42" x14ac:dyDescent="0.3">
      <c r="A6" t="s">
        <v>260</v>
      </c>
      <c r="B6" s="60">
        <v>43803</v>
      </c>
      <c r="C6" s="60">
        <v>43816</v>
      </c>
      <c r="D6" s="57">
        <v>490.3</v>
      </c>
      <c r="E6" s="58">
        <f>_ReleaseData!$Q$25</f>
        <v>500</v>
      </c>
      <c r="F6" s="40">
        <v>485.3</v>
      </c>
      <c r="G6" s="40">
        <v>457.3</v>
      </c>
      <c r="H6" s="40">
        <f t="shared" ref="H6" si="23">D6-I6</f>
        <v>279.5</v>
      </c>
      <c r="I6" s="40">
        <v>210.8</v>
      </c>
      <c r="J6" s="33">
        <f t="shared" ref="J6" si="24" xml:space="preserve"> G6/D6</f>
        <v>0.93269426881501127</v>
      </c>
      <c r="K6" s="33">
        <f t="shared" ref="K6" si="25" xml:space="preserve"> H6/D6</f>
        <v>0.57005914746073827</v>
      </c>
      <c r="L6" s="59">
        <v>225.8</v>
      </c>
      <c r="M6" s="58">
        <f>_ReleaseData!$Q$26</f>
        <v>180</v>
      </c>
      <c r="N6" s="40">
        <v>225.8</v>
      </c>
      <c r="O6" s="40">
        <v>217.8</v>
      </c>
      <c r="P6" s="40">
        <f t="shared" ref="P6" si="26">L6-Q6</f>
        <v>114.50000000000001</v>
      </c>
      <c r="Q6" s="40">
        <v>111.3</v>
      </c>
      <c r="R6" s="33">
        <f t="shared" ref="R6" si="27" xml:space="preserve"> O6/L6</f>
        <v>0.96457041629760853</v>
      </c>
      <c r="S6" s="33">
        <f t="shared" ref="S6" si="28" xml:space="preserve"> P6/L6</f>
        <v>0.50708591674047832</v>
      </c>
      <c r="T6" s="57">
        <v>150</v>
      </c>
      <c r="U6" s="58">
        <f>_ReleaseData!$Q$27</f>
        <v>150</v>
      </c>
      <c r="V6" s="40">
        <v>150</v>
      </c>
      <c r="W6" s="40">
        <v>140</v>
      </c>
      <c r="X6" s="40">
        <f t="shared" ref="X6" si="29">T6-Y6</f>
        <v>108</v>
      </c>
      <c r="Y6" s="40">
        <v>42</v>
      </c>
      <c r="Z6" s="33">
        <f t="shared" ref="Z6" si="30" xml:space="preserve"> W6/T6</f>
        <v>0.93333333333333335</v>
      </c>
      <c r="AA6" s="33">
        <f t="shared" ref="AA6" si="31">X6/T6</f>
        <v>0.72</v>
      </c>
      <c r="AB6" s="57">
        <v>67</v>
      </c>
      <c r="AC6" s="58">
        <f>_ReleaseData!$Q$28</f>
        <v>50</v>
      </c>
      <c r="AD6" s="40">
        <v>67</v>
      </c>
      <c r="AE6" s="40">
        <v>62</v>
      </c>
      <c r="AF6" s="40">
        <f t="shared" ref="AF6" si="32">AB6-AG6</f>
        <v>36</v>
      </c>
      <c r="AG6" s="40">
        <v>31</v>
      </c>
      <c r="AH6" s="33">
        <f t="shared" ref="AH6" si="33" xml:space="preserve"> AE6/AB6</f>
        <v>0.92537313432835822</v>
      </c>
      <c r="AI6" s="33">
        <f t="shared" ref="AI6" si="34">AF6/AB6</f>
        <v>0.53731343283582089</v>
      </c>
    </row>
    <row r="7" spans="1:42" x14ac:dyDescent="0.3">
      <c r="A7" t="s">
        <v>261</v>
      </c>
      <c r="B7" s="60">
        <v>43817</v>
      </c>
      <c r="C7" s="60">
        <v>43830</v>
      </c>
      <c r="D7" s="57">
        <v>535.79999999999995</v>
      </c>
      <c r="E7" s="58">
        <f>_ReleaseData!$Q$25</f>
        <v>500</v>
      </c>
      <c r="F7" s="40">
        <v>530.79999999999995</v>
      </c>
      <c r="G7" s="40">
        <v>497.8</v>
      </c>
      <c r="H7" s="40">
        <f t="shared" ref="H7:H8" si="35">D7-I7</f>
        <v>318.49999999999994</v>
      </c>
      <c r="I7" s="40">
        <v>217.3</v>
      </c>
      <c r="J7" s="33">
        <f t="shared" ref="J7:J8" si="36" xml:space="preserve"> G7/D7</f>
        <v>0.92907801418439728</v>
      </c>
      <c r="K7" s="33">
        <f t="shared" ref="K7:K8" si="37" xml:space="preserve"> H7/D7</f>
        <v>0.59443822321761841</v>
      </c>
      <c r="L7" s="59">
        <v>233.3</v>
      </c>
      <c r="M7" s="58">
        <f>_ReleaseData!$Q$26</f>
        <v>180</v>
      </c>
      <c r="N7" s="40">
        <v>233.3</v>
      </c>
      <c r="O7" s="40">
        <v>225.3</v>
      </c>
      <c r="P7" s="40">
        <f t="shared" ref="P7:P8" si="38">L7-Q7</f>
        <v>141.5</v>
      </c>
      <c r="Q7" s="40">
        <v>91.8</v>
      </c>
      <c r="R7" s="33">
        <f t="shared" ref="R7:R8" si="39" xml:space="preserve"> O7/L7</f>
        <v>0.96570938705529363</v>
      </c>
      <c r="S7" s="33">
        <f t="shared" ref="S7:S8" si="40" xml:space="preserve"> P7/L7</f>
        <v>0.60651521645949413</v>
      </c>
      <c r="T7" s="57">
        <v>150</v>
      </c>
      <c r="U7" s="58">
        <f>_ReleaseData!$Q$27</f>
        <v>150</v>
      </c>
      <c r="V7" s="40">
        <v>150</v>
      </c>
      <c r="W7" s="40">
        <v>140</v>
      </c>
      <c r="X7" s="40">
        <f t="shared" ref="X7:X8" si="41">T7-Y7</f>
        <v>108</v>
      </c>
      <c r="Y7" s="40">
        <v>42</v>
      </c>
      <c r="Z7" s="33">
        <f t="shared" ref="Z7:Z8" si="42" xml:space="preserve"> W7/T7</f>
        <v>0.93333333333333335</v>
      </c>
      <c r="AA7" s="33">
        <f t="shared" ref="AA7:AA8" si="43">X7/T7</f>
        <v>0.72</v>
      </c>
      <c r="AB7" s="57">
        <v>69</v>
      </c>
      <c r="AC7" s="58">
        <f>_ReleaseData!$Q$28</f>
        <v>50</v>
      </c>
      <c r="AD7" s="40">
        <v>69</v>
      </c>
      <c r="AE7" s="40">
        <v>59</v>
      </c>
      <c r="AF7" s="40">
        <f t="shared" ref="AF7:AF8" si="44">AB7-AG7</f>
        <v>43</v>
      </c>
      <c r="AG7" s="40">
        <v>26</v>
      </c>
      <c r="AH7" s="33">
        <f t="shared" ref="AH7:AH8" si="45" xml:space="preserve"> AE7/AB7</f>
        <v>0.85507246376811596</v>
      </c>
      <c r="AI7" s="33">
        <f t="shared" ref="AI7:AI8" si="46">AF7/AB7</f>
        <v>0.62318840579710144</v>
      </c>
      <c r="AL7" s="16" t="s">
        <v>135</v>
      </c>
      <c r="AM7" t="s">
        <v>277</v>
      </c>
    </row>
    <row r="8" spans="1:42" x14ac:dyDescent="0.3">
      <c r="A8" t="s">
        <v>262</v>
      </c>
      <c r="B8" s="60">
        <v>43831</v>
      </c>
      <c r="C8" s="60">
        <v>43844</v>
      </c>
      <c r="D8" s="57">
        <f>GETPIVOTDATA("Epic Total Estimate", $AL$8, "Type", "Epic")</f>
        <v>600</v>
      </c>
      <c r="E8" s="34">
        <f>[1]_ReleaseData!$Q$25</f>
        <v>500</v>
      </c>
      <c r="F8" s="40">
        <f>GETPIVOTDATA("Stories Estimate", $AL$8, "Type", "Epic")</f>
        <v>0</v>
      </c>
      <c r="G8" s="40">
        <f>GETPIVOTDATA("Epic Decomposed", $AL$8, "Type", "Epic")</f>
        <v>540</v>
      </c>
      <c r="H8" s="40">
        <f t="shared" si="35"/>
        <v>150</v>
      </c>
      <c r="I8" s="40">
        <f>GETPIVOTDATA("Epic Remaining Estimate", $AL$8, "Type", "Epic")</f>
        <v>450</v>
      </c>
      <c r="J8" s="33">
        <f t="shared" si="36"/>
        <v>0.9</v>
      </c>
      <c r="K8" s="33">
        <f t="shared" si="37"/>
        <v>0.25</v>
      </c>
      <c r="L8" s="59">
        <f>GETPIVOTDATA("Epic Total Estimate", $AL$8, "Type", "Epic", "ST:Components", "Admin")</f>
        <v>100</v>
      </c>
      <c r="M8" s="34">
        <f>[1]_ReleaseData!$Q$26</f>
        <v>180</v>
      </c>
      <c r="N8" s="40">
        <f>GETPIVOTDATA("Stories Estimate", $AL$8, "Type", "Epic", "ST:Components", "Admin")</f>
        <v>0</v>
      </c>
      <c r="O8" s="40">
        <f>GETPIVOTDATA("Epic Decomposed", $AL$8, "Type", "Epic", "ST:Components", "Admin")</f>
        <v>180</v>
      </c>
      <c r="P8" s="40">
        <f t="shared" si="38"/>
        <v>-50</v>
      </c>
      <c r="Q8" s="40">
        <f>GETPIVOTDATA("Epic Remaining Estimate", $AL$8, "Type", "Epic", "ST:Components", "Admin")</f>
        <v>150</v>
      </c>
      <c r="R8" s="33">
        <f t="shared" si="39"/>
        <v>1.8</v>
      </c>
      <c r="S8" s="33">
        <f t="shared" si="40"/>
        <v>-0.5</v>
      </c>
      <c r="T8" s="57">
        <f>GETPIVOTDATA("Epic Total Estimate", $AL$8, "Type", "Epic", "ST:Components", "Angular 8 Migration")</f>
        <v>50</v>
      </c>
      <c r="U8" s="34">
        <f>[1]_ReleaseData!$Q$27</f>
        <v>150</v>
      </c>
      <c r="V8" s="40">
        <f>GETPIVOTDATA("Stories Estimate", $AL$8, "Type", "Epic", "ST:Components", "Angular 8 Migration")</f>
        <v>0</v>
      </c>
      <c r="W8" s="40">
        <f>GETPIVOTDATA("Epic Decomposed", $AL$8, "Type", "Epic", "ST:Components", "Angular 8 Migration")</f>
        <v>180</v>
      </c>
      <c r="X8" s="40">
        <f t="shared" si="41"/>
        <v>-100</v>
      </c>
      <c r="Y8" s="40">
        <f>GETPIVOTDATA("Epic Remaining Estimate", $AL$8, "Type", "Epic", "ST:Components", "Angular 8 Migration")</f>
        <v>150</v>
      </c>
      <c r="Z8" s="33">
        <f t="shared" si="42"/>
        <v>3.6</v>
      </c>
      <c r="AA8" s="33">
        <f t="shared" si="43"/>
        <v>-2</v>
      </c>
      <c r="AB8" s="57">
        <f>GETPIVOTDATA("Epic Total Estimate", $AL$8, "Type", "Epic", "ST:Components", "Excel Export")</f>
        <v>50</v>
      </c>
      <c r="AC8" s="34">
        <f>[1]_ReleaseData!$Q$28</f>
        <v>50</v>
      </c>
      <c r="AD8" s="40">
        <f>GETPIVOTDATA("Stories Estimate", $AL$8, "Type", "Epic", "ST:Components", "Excel Export")</f>
        <v>0</v>
      </c>
      <c r="AE8" s="40">
        <f>GETPIVOTDATA("Epic Decomposed", $AL$8, "Type", "Epic", "ST:Components", "Excel Export")</f>
        <v>180</v>
      </c>
      <c r="AF8" s="40">
        <f t="shared" si="44"/>
        <v>-100</v>
      </c>
      <c r="AG8" s="40">
        <f>GETPIVOTDATA("Epic Remaining Estimate", $AL$8, "Type", "Epic", "ST:Components", "Excel Export")</f>
        <v>150</v>
      </c>
      <c r="AH8" s="33">
        <f t="shared" si="45"/>
        <v>3.6</v>
      </c>
      <c r="AI8" s="33">
        <f t="shared" si="46"/>
        <v>-2</v>
      </c>
      <c r="AL8" s="16" t="s">
        <v>247</v>
      </c>
      <c r="AM8" t="s">
        <v>218</v>
      </c>
    </row>
    <row r="9" spans="1:42" x14ac:dyDescent="0.3">
      <c r="A9" t="s">
        <v>263</v>
      </c>
      <c r="B9" s="60">
        <v>43845</v>
      </c>
      <c r="C9" s="60">
        <v>43858</v>
      </c>
      <c r="D9" s="57"/>
      <c r="E9" s="58">
        <f>_ReleaseData!$Q$25</f>
        <v>500</v>
      </c>
      <c r="F9" s="40"/>
      <c r="G9" s="40"/>
      <c r="H9" s="40"/>
      <c r="I9" s="40"/>
      <c r="J9" s="33"/>
      <c r="K9" s="33"/>
      <c r="L9" s="59"/>
      <c r="M9" s="58">
        <f>_ReleaseData!$Q$26</f>
        <v>180</v>
      </c>
      <c r="N9" s="40"/>
      <c r="O9" s="40"/>
      <c r="P9" s="40"/>
      <c r="Q9" s="40"/>
      <c r="R9" s="33"/>
      <c r="S9" s="33"/>
      <c r="T9" s="57"/>
      <c r="U9" s="58">
        <f>_ReleaseData!$Q$27</f>
        <v>150</v>
      </c>
      <c r="V9" s="40"/>
      <c r="W9" s="40"/>
      <c r="X9" s="40"/>
      <c r="Y9" s="40"/>
      <c r="Z9" s="33"/>
      <c r="AA9" s="33"/>
      <c r="AB9" s="57"/>
      <c r="AC9" s="58">
        <f>_ReleaseData!$Q$28</f>
        <v>50</v>
      </c>
      <c r="AD9" s="40"/>
      <c r="AE9" s="40"/>
      <c r="AF9" s="40"/>
      <c r="AG9" s="40"/>
      <c r="AH9" s="33"/>
      <c r="AI9" s="33"/>
    </row>
    <row r="10" spans="1:42" ht="13.95" customHeight="1" x14ac:dyDescent="0.3">
      <c r="A10" t="s">
        <v>264</v>
      </c>
      <c r="B10" s="60">
        <v>43859</v>
      </c>
      <c r="C10" s="60">
        <v>43872</v>
      </c>
      <c r="D10" s="57"/>
      <c r="E10" s="58">
        <f>_ReleaseData!$Q$25</f>
        <v>500</v>
      </c>
      <c r="F10" s="40"/>
      <c r="G10" s="40"/>
      <c r="H10" s="40"/>
      <c r="I10" s="40"/>
      <c r="J10" s="33"/>
      <c r="K10" s="33"/>
      <c r="L10" s="59"/>
      <c r="M10" s="58">
        <f>_ReleaseData!$Q$26</f>
        <v>180</v>
      </c>
      <c r="N10" s="40"/>
      <c r="O10" s="40"/>
      <c r="P10" s="40"/>
      <c r="Q10" s="40"/>
      <c r="R10" s="33"/>
      <c r="S10" s="33"/>
      <c r="T10" s="57"/>
      <c r="U10" s="58">
        <f>_ReleaseData!$Q$27</f>
        <v>150</v>
      </c>
      <c r="V10" s="40"/>
      <c r="W10" s="40"/>
      <c r="X10" s="40"/>
      <c r="Y10" s="40"/>
      <c r="Z10" s="33"/>
      <c r="AA10" s="33"/>
      <c r="AB10" s="57"/>
      <c r="AC10" s="58">
        <f>_ReleaseData!$Q$28</f>
        <v>50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255</v>
      </c>
      <c r="AO12" t="s">
        <v>256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278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267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258</v>
      </c>
      <c r="C16" s="20">
        <v>140</v>
      </c>
      <c r="D16" s="20">
        <v>221.25</v>
      </c>
    </row>
    <row r="17" spans="2:4" x14ac:dyDescent="0.3">
      <c r="B17" t="s">
        <v>259</v>
      </c>
      <c r="C17" s="20">
        <v>68</v>
      </c>
      <c r="D17" s="20">
        <v>187.25</v>
      </c>
    </row>
    <row r="18" spans="2:4" x14ac:dyDescent="0.3">
      <c r="B18" t="s">
        <v>260</v>
      </c>
      <c r="C18" s="20">
        <v>33</v>
      </c>
      <c r="D18" s="20">
        <v>115.5</v>
      </c>
    </row>
    <row r="19" spans="2:4" x14ac:dyDescent="0.3">
      <c r="B19" t="s">
        <v>261</v>
      </c>
      <c r="C19" s="20">
        <v>38</v>
      </c>
      <c r="D19" s="20">
        <v>118.5</v>
      </c>
    </row>
    <row r="20" spans="2:4" x14ac:dyDescent="0.3">
      <c r="B20" t="s">
        <v>262</v>
      </c>
      <c r="C20" s="20">
        <f>GETPIVOTDATA("Epic Not Decomposed Estimate",$B$3)</f>
        <v>60</v>
      </c>
      <c r="D20" s="20">
        <f>GETPIVOTDATA("Story Points",$G$5)</f>
        <v>35</v>
      </c>
    </row>
    <row r="21" spans="2:4" x14ac:dyDescent="0.3">
      <c r="B21" t="s">
        <v>263</v>
      </c>
      <c r="C21" s="20"/>
      <c r="D21" s="20"/>
    </row>
    <row r="22" spans="2:4" x14ac:dyDescent="0.3">
      <c r="B22" t="s">
        <v>264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Angular 8</vt:lpstr>
      <vt:lpstr>Excel Export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'Excel Export'!Table10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2020-01-02T12:34:44Z</dcterms:modified>
</cp:coreProperties>
</file>