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255EC813-4584-4B79-8DFA-3F14BED2628E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30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" i="26" l="1"/>
  <c r="AS7" i="26"/>
  <c r="AC7" i="26"/>
  <c r="U7" i="26"/>
  <c r="M7" i="26"/>
  <c r="E7" i="26"/>
  <c r="AB7" i="26"/>
  <c r="G7" i="26"/>
  <c r="W7" i="26"/>
  <c r="AR7" i="26"/>
  <c r="L7" i="26"/>
  <c r="AD7" i="26"/>
  <c r="I7" i="26"/>
  <c r="D7" i="26"/>
  <c r="C19" i="24"/>
  <c r="AG7" i="26"/>
  <c r="N7" i="26"/>
  <c r="F7" i="26"/>
  <c r="O7" i="26"/>
  <c r="Y7" i="26"/>
  <c r="AW7" i="26"/>
  <c r="AU7" i="26"/>
  <c r="V7" i="26"/>
  <c r="T7" i="26"/>
  <c r="D19" i="24"/>
  <c r="AE7" i="26"/>
  <c r="Q7" i="26"/>
  <c r="AT7" i="26"/>
  <c r="AX7" i="26" l="1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R7" i="9"/>
  <c r="M7" i="9"/>
  <c r="V7" i="9"/>
  <c r="T7" i="9"/>
  <c r="P7" i="9"/>
  <c r="AI7" i="9"/>
  <c r="N7" i="9"/>
  <c r="O7" i="9"/>
  <c r="X7" i="9"/>
  <c r="AG7" i="9"/>
  <c r="AS9" i="26" l="1"/>
  <c r="AC9" i="26"/>
  <c r="U9" i="26"/>
  <c r="M9" i="26"/>
  <c r="E9" i="26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U8" i="26"/>
  <c r="AX4" i="26" l="1"/>
  <c r="AV4" i="26"/>
  <c r="AY4" i="26" s="1"/>
  <c r="AH7" i="9"/>
  <c r="AH6" i="9"/>
  <c r="AH5" i="9"/>
  <c r="AH4" i="9"/>
  <c r="AH3" i="9"/>
  <c r="AG21" i="9"/>
  <c r="B14" i="9"/>
  <c r="B18" i="9"/>
  <c r="AS8" i="26" l="1"/>
  <c r="AC8" i="26"/>
  <c r="M8" i="26"/>
  <c r="E8" i="26"/>
  <c r="H50" i="14" l="1"/>
  <c r="G50" i="14"/>
  <c r="F50" i="14"/>
  <c r="E50" i="14"/>
  <c r="D50" i="14"/>
  <c r="C50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Q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<sst xmlns="http://schemas.openxmlformats.org/spreadsheetml/2006/main" count="1135" uniqueCount="280">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</sst>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_BugsData!$B$43:$B$50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028.560406712961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Pegasus2" u="1"/>
        <s v="Rocket1" u="1"/>
        <s v="Pegasus7" u="1"/>
        <s v="Ursa1" u="1"/>
        <s v="Rocket2" u="1"/>
        <s v="Wavelength6" u="1"/>
        <s v="Ursa7" u="1"/>
        <s v="Rocket3" u="1"/>
        <s v="Quasar14" u="1"/>
        <s v="Rocket4" u="1"/>
        <s v="Wavelength7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Wavelength1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Wavelength2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Wavelength3" u="1"/>
        <s v="Quasar7" u="1"/>
        <s v="Titan6" u="1"/>
        <s v="Quasar11" u="1"/>
        <s v="Titan7" u="1"/>
        <s v="Quasar8" u="1"/>
        <s v="Pegasus3" u="1"/>
        <s v="Pegasus8" u="1"/>
        <s v="Wavelength4" u="1"/>
        <s v="Quasar9" u="1"/>
        <s v="Ursa2" u="1"/>
        <s v="Quasar10" u="1"/>
        <s v="Wavelength5" u="1"/>
      </sharedItems>
    </cacheField>
    <cacheField name="Sprint Label" numFmtId="0">
      <sharedItems containsBlank="1" count="82">
        <s v="$[SUBSTITUTE(SUBSTITUTE(AE2, &quot;-Ray&quot;, &quot;&quot;), &quot;enus&quot;, &quot;&quot;)]"/>
        <m/>
        <s v="X1"/>
        <s v="X2"/>
        <s v="X3"/>
        <s v="X4"/>
        <s v="X5"/>
        <s v="X6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W1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W3" u="1"/>
        <s v="Q6" u="1"/>
        <s v="$[SUBSTITUTE(SUBSTITUTE(AE2, &quot;enus&quot;, &quot;&quot;), &quot;rsa&quot;, &quot;&quot;)]" u="1"/>
        <s v="P3" u="1"/>
        <s v="W5" u="1"/>
        <s v="V2" u="1"/>
        <s v="Q8" u="1"/>
        <s v="P5" u="1"/>
        <s v="W7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$[SUBSTITUTE(SUBSTITUTE(AE2, &quot;avelength&quot;, &quot;&quot;), &quot;enus&quot;, &quot;&quot;)]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W2" u="1"/>
        <s v="Q5" u="1"/>
        <s v="P2" u="1"/>
        <s v="W4" u="1"/>
        <s v="V1" u="1"/>
        <s v="Q7" u="1"/>
        <s v="P4" u="1"/>
        <s v="W6" u="1"/>
        <s v="V3" u="1"/>
        <s v="Q9" u="1"/>
        <s v="$[= SUBSTITUTE('Last Sprint', &quot;uasar&quot;, &quot;&quot;)]" u="1"/>
        <s v="P6" u="1"/>
        <s v="W8" u="1"/>
        <s v="V5" u="1"/>
      </sharedItems>
    </cacheField>
    <cacheField name="Release" numFmtId="0">
      <sharedItems containsBlank="1" count="11">
        <s v="${issue.fixVersions.name}"/>
        <m/>
        <s v="Wavelength"/>
        <s v="X-Ray"/>
        <s v="Rocket" u="1"/>
        <s v="Venus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5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10"/>
        <item m="1" x="9"/>
        <item h="1" x="1"/>
        <item m="1" x="4"/>
        <item m="1" x="7"/>
        <item h="1" m="1" x="6"/>
        <item h="1" m="1" x="8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3">
        <item h="1" m="1" x="78"/>
        <item h="1" m="1" x="64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19"/>
        <item m="1" x="8"/>
        <item m="1" x="67"/>
        <item m="1" x="50"/>
        <item m="1" x="30"/>
        <item m="1" x="20"/>
        <item m="1" x="10"/>
        <item m="1" x="68"/>
        <item m="1" x="29"/>
        <item m="1" x="72"/>
        <item m="1" x="64"/>
        <item m="1" x="44"/>
        <item m="1" x="27"/>
        <item m="1" x="16"/>
        <item m="1" x="35"/>
        <item m="1" x="40"/>
        <item m="1" x="46"/>
        <item m="1" x="53"/>
        <item m="1" x="57"/>
        <item m="1" x="62"/>
        <item m="1" x="66"/>
        <item m="1" x="70"/>
        <item x="1"/>
        <item m="1" x="9"/>
        <item m="1" x="12"/>
        <item m="1" x="15"/>
        <item m="1" x="17"/>
        <item m="1" x="21"/>
        <item m="1" x="23"/>
        <item m="1" x="25"/>
        <item m="1" x="26"/>
        <item m="1" x="33"/>
        <item m="1" x="37"/>
        <item m="1" x="41"/>
        <item m="1" x="48"/>
        <item m="1" x="55"/>
        <item m="1" x="58"/>
        <item m="1" x="42"/>
        <item m="1" x="47"/>
        <item m="1" x="52"/>
        <item m="1" x="56"/>
        <item m="1" x="59"/>
        <item m="1" x="63"/>
        <item m="1" x="65"/>
        <item m="1" x="11"/>
        <item m="1" x="71"/>
        <item m="1" x="60"/>
        <item m="1" x="45"/>
        <item m="1" x="32"/>
        <item m="1" x="22"/>
        <item m="1" x="14"/>
        <item m="1" x="28"/>
        <item m="1" x="34"/>
        <item m="1" x="36"/>
        <item m="1" x="39"/>
        <item m="1" x="43"/>
        <item m="1" x="49"/>
        <item m="1" x="54"/>
        <item m="1" x="38"/>
        <item m="1" x="51"/>
        <item m="1" x="61"/>
        <item m="1" x="69"/>
        <item m="1" x="73"/>
        <item m="1" x="13"/>
        <item m="1" x="18"/>
        <item m="1" x="24"/>
        <item m="1" x="3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7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7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3">
        <item h="1" m="1" x="78"/>
        <item h="1" m="1" x="63"/>
        <item h="1" m="1" x="28"/>
        <item h="1" m="1" x="67"/>
        <item h="1" m="1" x="33"/>
        <item h="1" m="1" x="69"/>
        <item h="1" m="1" x="36"/>
        <item h="1" m="1" x="73"/>
        <item h="1" m="1" x="41"/>
        <item h="1" m="1" x="77"/>
        <item h="1" x="1"/>
        <item h="1" m="1" x="17"/>
        <item h="1" m="1" x="19"/>
        <item h="1" m="1" x="22"/>
        <item h="1" m="1" x="24"/>
        <item h="1" m="1" x="26"/>
        <item h="1" m="1" x="64"/>
        <item h="1" m="1" x="47"/>
        <item h="1" m="1" x="32"/>
        <item h="1" m="1" x="31"/>
        <item h="1" m="1" x="34"/>
        <item h="1" m="1" x="70"/>
        <item h="1" m="1" x="38"/>
        <item h="1" m="1" x="74"/>
        <item h="1" m="1" x="42"/>
        <item h="1" m="1" x="79"/>
        <item h="1" m="1" x="21"/>
        <item h="1" m="1" x="59"/>
        <item h="1" m="1" x="25"/>
        <item h="1" m="1" x="62"/>
        <item h="1" m="1" x="27"/>
        <item h="1" m="1" x="65"/>
        <item h="1" m="1" x="30"/>
        <item h="1" m="1" x="54"/>
        <item h="1" m="1" x="16"/>
        <item h="1" m="1" x="57"/>
        <item h="1" m="1" x="20"/>
        <item h="1" m="1" x="58"/>
        <item h="1" m="1" x="23"/>
        <item h="1" m="1" x="61"/>
        <item h="1" m="1" x="60"/>
        <item h="1" m="1" x="9"/>
        <item h="1" m="1" x="12"/>
        <item h="1" m="1" x="51"/>
        <item h="1" m="1" x="14"/>
        <item h="1" m="1" x="53"/>
        <item h="1" m="1" x="15"/>
        <item h="1" m="1" x="55"/>
        <item h="1" m="1" x="18"/>
        <item h="1" m="1" x="45"/>
        <item h="1" m="1" x="8"/>
        <item h="1" m="1" x="49"/>
        <item h="1" m="1" x="11"/>
        <item h="1" m="1" x="50"/>
        <item h="1" m="1" x="13"/>
        <item h="1" m="1" x="52"/>
        <item h="1" m="1" x="66"/>
        <item h="1" m="1" x="37"/>
        <item h="1" m="1" x="72"/>
        <item h="1" m="1" x="40"/>
        <item h="1" m="1" x="76"/>
        <item h="1" m="1" x="44"/>
        <item h="1" m="1" x="81"/>
        <item h="1" m="1" x="48"/>
        <item h="1" m="1" x="10"/>
        <item h="1" m="1" x="56"/>
        <item h="1" m="1" x="29"/>
        <item h="1" m="1" x="68"/>
        <item h="1" m="1" x="35"/>
        <item h="1" m="1" x="71"/>
        <item h="1" m="1" x="39"/>
        <item h="1" m="1" x="75"/>
        <item h="1" m="1" x="43"/>
        <item h="1" m="1" x="80"/>
        <item h="1" m="1" x="46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10"/>
        <item m="1" x="9"/>
        <item x="1"/>
        <item m="1" x="4"/>
        <item m="1" x="7"/>
        <item m="1" x="6"/>
        <item m="1" x="8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10"/>
        <item m="1" x="9"/>
        <item m="1" x="4"/>
        <item m="1" x="7"/>
        <item m="1" x="6"/>
        <item m="1" x="8"/>
        <item m="1" x="5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  <c r="L7">
        <v>118</v>
      </c>
    </row>
    <row r="8" spans="2:13" x14ac:dyDescent="0.3">
      <c r="B8" s="17" t="s">
        <v>260</v>
      </c>
      <c r="C8" s="20">
        <v>30</v>
      </c>
      <c r="K8" t="s">
        <v>259</v>
      </c>
      <c r="L8">
        <v>71.5</v>
      </c>
    </row>
    <row r="9" spans="2:13" x14ac:dyDescent="0.3">
      <c r="B9" s="17" t="s">
        <v>261</v>
      </c>
      <c r="C9" s="20">
        <v>60</v>
      </c>
      <c r="K9" t="s">
        <v>260</v>
      </c>
      <c r="L9">
        <v>85.5</v>
      </c>
    </row>
    <row r="10" spans="2:13" x14ac:dyDescent="0.3">
      <c r="B10" s="17" t="s">
        <v>262</v>
      </c>
      <c r="C10" s="20">
        <v>90</v>
      </c>
      <c r="K10" t="s">
        <v>261</v>
      </c>
    </row>
    <row r="11" spans="2:13" x14ac:dyDescent="0.3">
      <c r="B11" s="17" t="s">
        <v>279</v>
      </c>
      <c r="C11" s="20"/>
      <c r="K11" t="s">
        <v>262</v>
      </c>
    </row>
    <row r="12" spans="2:13" x14ac:dyDescent="0.3">
      <c r="B12" s="17" t="s">
        <v>50</v>
      </c>
      <c r="C12" s="20">
        <v>370</v>
      </c>
      <c r="K12" t="s">
        <v>279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275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X-Ray4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266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X-Ray4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279</v>
      </c>
      <c r="C36" s="20"/>
      <c r="D36" s="20"/>
      <c r="E36" s="20"/>
      <c r="F36" s="20"/>
      <c r="G36" s="20"/>
      <c r="H36" s="20"/>
    </row>
    <row r="37" spans="2:8" x14ac:dyDescent="0.3">
      <c r="B37" s="17" t="s">
        <v>50</v>
      </c>
      <c r="C37" s="20">
        <v>2</v>
      </c>
      <c r="D37" s="20">
        <v>1</v>
      </c>
      <c r="E37" s="20">
        <v>1</v>
      </c>
      <c r="F37" s="20">
        <v>2</v>
      </c>
      <c r="G37" s="20">
        <v>1</v>
      </c>
      <c r="H37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X6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/>
      <c r="C49" s="20">
        <f t="shared" si="2"/>
        <v>2</v>
      </c>
      <c r="D49" s="20">
        <f t="shared" si="2"/>
        <v>1</v>
      </c>
      <c r="E49" s="20">
        <f t="shared" si="2"/>
        <v>1</v>
      </c>
      <c r="F49" s="20">
        <f t="shared" si="2"/>
        <v>2</v>
      </c>
      <c r="G49" s="20">
        <f t="shared" si="2"/>
        <v>1</v>
      </c>
      <c r="H49" s="20">
        <f t="shared" si="2"/>
        <v>7</v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268</v>
      </c>
      <c r="AF17" s="5" t="s">
        <v>279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268</v>
      </c>
      <c r="AF23" s="5" t="s">
        <v>279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262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262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266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266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266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266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266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266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266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266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8.33203125" bestFit="1" customWidth="1"/>
    <col min="3" max="3" width="10.21875" bestFit="1" customWidth="1"/>
    <col min="4" max="4" width="16" bestFit="1" customWidth="1"/>
    <col min="5" max="5" width="9.2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24.44140625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0.53448275862068961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0.46551724137931039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258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44028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>
        <v>300</v>
      </c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1</v>
      </c>
      <c r="O7" s="76">
        <f>100%-GETPIVOTDATA("Epic Remaining Estimate",$AB$4,"ST:Components","BluePrism Integration")/GETPIVOTDATA("Epic Total Estimate",$AB$4,"ST:Components","BluePrism Integration")</f>
        <v>-2</v>
      </c>
      <c r="P7" s="76">
        <f>100%-GETPIVOTDATA("Epic Remaining Estimate",$AB$4,"ST:Components","Automation Anywhere Integration")/GETPIVOTDATA("Epic Total Estimate",$AB$4,"ST:Components","Automation Anywhere Integration")</f>
        <v>-2</v>
      </c>
      <c r="Q7" s="40">
        <f t="shared" si="2"/>
        <v>137.58620689655172</v>
      </c>
      <c r="R7" s="42">
        <f>GETPIVOTDATA("Epic Remaining Estimate",$AB$4)</f>
        <v>450</v>
      </c>
      <c r="S7" s="42">
        <f t="shared" si="3"/>
        <v>16.379310344827587</v>
      </c>
      <c r="T7" s="42">
        <f>GETPIVOTDATA("Epic Remaining Estimate",$AB$4,"ST:Components","Admin")</f>
        <v>0</v>
      </c>
      <c r="U7" s="40">
        <f t="shared" si="4"/>
        <v>16.379310344827587</v>
      </c>
      <c r="V7" s="42">
        <f>GETPIVOTDATA("Epic Remaining Estimate",$AB$4,"ST:Components","BluePrism Integration")</f>
        <v>150</v>
      </c>
      <c r="W7" s="40">
        <f t="shared" si="5"/>
        <v>26.206896551724135</v>
      </c>
      <c r="X7" s="42">
        <f>GETPIVOTDATA("Epic Remaining Estimate",$AB$4,"ST:Components","Automation Anywhere Integration")</f>
        <v>150</v>
      </c>
      <c r="Z7" s="32"/>
      <c r="AB7" s="17" t="s">
        <v>254</v>
      </c>
      <c r="AC7" s="20">
        <v>100</v>
      </c>
      <c r="AD7" s="20"/>
      <c r="AF7" s="36">
        <f>SUM($J$4:J7)/SUM($J$4:$J$9)</f>
        <v>0.67241379310344829</v>
      </c>
      <c r="AG7" s="76">
        <f>100%-GETPIVOTDATA("Epic Remaining Estimate",$AB$4,"ST:Components","Microsoft Power Automate Integration")/GETPIVOTDATA("Epic Total Estimate",$AB$4,"ST:Components","Microsoft Power Automate Integration")</f>
        <v>-0.5</v>
      </c>
      <c r="AH7" s="40">
        <f t="shared" si="0"/>
        <v>32.758620689655174</v>
      </c>
      <c r="AI7" s="42">
        <f>GETPIVOTDATA("Epic Remaining Estimate",$AB$4,"ST:Components","Microsoft Power Automate Integration")</f>
        <v>150</v>
      </c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/>
      <c r="N8" s="76"/>
      <c r="O8" s="76"/>
      <c r="P8" s="76"/>
      <c r="Q8" s="40">
        <f t="shared" si="2"/>
        <v>72.413793103448285</v>
      </c>
      <c r="R8" s="42"/>
      <c r="S8" s="42">
        <f t="shared" si="3"/>
        <v>8.6206896551724146</v>
      </c>
      <c r="T8" s="42"/>
      <c r="U8" s="40">
        <f t="shared" si="4"/>
        <v>8.6206896551724146</v>
      </c>
      <c r="V8" s="42"/>
      <c r="W8" s="40">
        <f t="shared" si="5"/>
        <v>13.793103448275863</v>
      </c>
      <c r="X8" s="42"/>
      <c r="Z8" s="32"/>
      <c r="AB8" s="17" t="s">
        <v>276</v>
      </c>
      <c r="AC8" s="20">
        <v>100</v>
      </c>
      <c r="AD8" s="20">
        <v>150</v>
      </c>
      <c r="AF8" s="36">
        <f>SUM($J$4:J8)/SUM($J$4:$J$9)</f>
        <v>0.82758620689655171</v>
      </c>
      <c r="AG8" s="76"/>
      <c r="AH8" s="40">
        <f t="shared" ref="AH8:AH9" si="12">$Q$29*(100%-AF8)</f>
        <v>17.241379310344829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279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/>
      <c r="N9" s="76"/>
      <c r="O9" s="76"/>
      <c r="P9" s="76"/>
      <c r="Q9" s="40">
        <f t="shared" si="2"/>
        <v>0</v>
      </c>
      <c r="R9" s="42"/>
      <c r="S9" s="42">
        <f t="shared" si="3"/>
        <v>0</v>
      </c>
      <c r="T9" s="42"/>
      <c r="U9" s="40">
        <f t="shared" si="4"/>
        <v>0</v>
      </c>
      <c r="V9" s="42"/>
      <c r="W9" s="40">
        <f t="shared" si="5"/>
        <v>0</v>
      </c>
      <c r="X9" s="42"/>
      <c r="Z9" s="32"/>
      <c r="AB9" s="17" t="s">
        <v>275</v>
      </c>
      <c r="AC9" s="20">
        <v>50</v>
      </c>
      <c r="AD9" s="20">
        <v>150</v>
      </c>
      <c r="AF9" s="36">
        <f>SUM($J$4:J9)/SUM($J$4:$J$9)</f>
        <v>1</v>
      </c>
      <c r="AG9" s="76"/>
      <c r="AH9" s="40">
        <f t="shared" si="12"/>
        <v>0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0.53448275862068961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0.46551724137931039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0.53448275862068961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0.46551724137931039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50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259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260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261</v>
      </c>
      <c r="B7" s="60">
        <v>44027</v>
      </c>
      <c r="C7" s="60">
        <v>44040</v>
      </c>
      <c r="D7" s="57">
        <f>GETPIVOTDATA("Epic Total Estimate", $AL$8, "Type", "Epic")</f>
        <v>600</v>
      </c>
      <c r="E7" s="58">
        <f>_ReleaseData!$Q$25</f>
        <v>420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46">D7-I7</f>
        <v>150</v>
      </c>
      <c r="I7" s="40">
        <f>GETPIVOTDATA("Epic Remaining Estimate", $AL$8, "Type", "Epic")</f>
        <v>450</v>
      </c>
      <c r="J7" s="33">
        <f t="shared" ref="J7" si="47" xml:space="preserve"> G7/D7</f>
        <v>0.9</v>
      </c>
      <c r="K7" s="33">
        <f t="shared" ref="K7" si="48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50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0</v>
      </c>
      <c r="P7" s="40">
        <f t="shared" ref="P7" si="49">L7-Q7</f>
        <v>100</v>
      </c>
      <c r="Q7" s="40">
        <f>GETPIVOTDATA("Epic Remaining Estimate", $AL$8, "Type", "Epic", "ST:Components", "Admin")</f>
        <v>0</v>
      </c>
      <c r="R7" s="33">
        <f t="shared" ref="R7" si="50" xml:space="preserve"> O7/L7</f>
        <v>0</v>
      </c>
      <c r="S7" s="33">
        <f t="shared" ref="S7" si="51" xml:space="preserve"> P7/L7</f>
        <v>1</v>
      </c>
      <c r="T7" s="57">
        <f>GETPIVOTDATA("Epic Total Estimate", $AL$8, "Type", "Epic", "ST:Components", "BluePrism Integration")</f>
        <v>50</v>
      </c>
      <c r="U7" s="58">
        <f>_ReleaseData!$Q$27</f>
        <v>50</v>
      </c>
      <c r="V7" s="40">
        <f>GETPIVOTDATA("Stories Estimate", $AL$8, "Type", "Epic", "ST:Components", "BluePrism Integration")</f>
        <v>0</v>
      </c>
      <c r="W7" s="40">
        <f>GETPIVOTDATA("Epic Decomposed", $AL$8, "Type", "Epic", "ST:Components", "BluePrism Integration")</f>
        <v>180</v>
      </c>
      <c r="X7" s="40">
        <f t="shared" ref="X7" si="52">T7-Y7</f>
        <v>-100</v>
      </c>
      <c r="Y7" s="40">
        <f>GETPIVOTDATA("Epic Remaining Estimate", $AL$8, "Type", "Epic", "ST:Components", "BluePrism Integration")</f>
        <v>150</v>
      </c>
      <c r="Z7" s="33">
        <f t="shared" ref="Z7" si="53" xml:space="preserve"> W7/T7</f>
        <v>3.6</v>
      </c>
      <c r="AA7" s="33">
        <f t="shared" ref="AA7" si="54">X7/T7</f>
        <v>-2</v>
      </c>
      <c r="AB7" s="57">
        <f>GETPIVOTDATA("Epic Total Estimate", $AL$8, "Type", "Epic", "ST:Components", "Automation Anywhere Integration")</f>
        <v>50</v>
      </c>
      <c r="AC7" s="58">
        <f>_ReleaseData!$Q$28</f>
        <v>80</v>
      </c>
      <c r="AD7" s="40">
        <f>GETPIVOTDATA("Stories Estimate", $AL$8, "Type", "Epic", "ST:Components", "Automation Anywhere Integration")</f>
        <v>0</v>
      </c>
      <c r="AE7" s="40">
        <f>GETPIVOTDATA("Epic Decomposed", $AL$8, "Type", "Epic", "ST:Components", "Automation Anywhere Integration")</f>
        <v>180</v>
      </c>
      <c r="AF7" s="40">
        <f t="shared" ref="AF7" si="55">AB7-AG7</f>
        <v>-100</v>
      </c>
      <c r="AG7" s="40">
        <f>GETPIVOTDATA("Epic Remaining Estimate", $AL$8, "Type", "Epic", "ST:Components", "Automation Anywhere Integration")</f>
        <v>150</v>
      </c>
      <c r="AH7" s="33">
        <f t="shared" ref="AH7" si="56" xml:space="preserve"> AE7/AB7</f>
        <v>3.6</v>
      </c>
      <c r="AI7" s="33">
        <f t="shared" ref="AI7" si="57">AF7/AB7</f>
        <v>-2</v>
      </c>
      <c r="AL7" s="16" t="s">
        <v>134</v>
      </c>
      <c r="AM7" t="s">
        <v>257</v>
      </c>
      <c r="AR7" s="57">
        <f>GETPIVOTDATA("Epic Total Estimate", $AL$8, "Type", "Epic", "ST:Components", "Microsoft Power Automate Integration")</f>
        <v>100</v>
      </c>
      <c r="AS7" s="58">
        <f>_ReleaseData!$Q$29</f>
        <v>100</v>
      </c>
      <c r="AT7" s="40">
        <f>GETPIVOTDATA("Stories Estimate", $AL$8, "Type", "Epic", "ST:Components", "Microsoft Power Automate Integration")</f>
        <v>0</v>
      </c>
      <c r="AU7" s="40">
        <f>GETPIVOTDATA("Epic Decomposed", $AL$8, "Type", "Epic", "ST:Components", "Microsoft Power Automate Integration")</f>
        <v>180</v>
      </c>
      <c r="AV7" s="40">
        <f t="shared" ref="AV7" si="58">AR7-AW7</f>
        <v>-50</v>
      </c>
      <c r="AW7" s="40">
        <f>GETPIVOTDATA("Epic Remaining Estimate", $AL$8, "Type", "Epic", "ST:Components", "Microsoft Power Automate Integration")</f>
        <v>150</v>
      </c>
      <c r="AX7" s="33">
        <f t="shared" ref="AX7" si="59" xml:space="preserve"> AU7/AR7</f>
        <v>1.8</v>
      </c>
      <c r="AY7" s="33">
        <f t="shared" ref="AY7" si="60">AV7/AR7</f>
        <v>-0.5</v>
      </c>
    </row>
    <row r="8" spans="1:51" x14ac:dyDescent="0.3">
      <c r="A8" t="s">
        <v>262</v>
      </c>
      <c r="B8" s="60">
        <v>44041</v>
      </c>
      <c r="C8" s="60">
        <v>44054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50</v>
      </c>
      <c r="N8" s="40"/>
      <c r="O8" s="40"/>
      <c r="P8" s="40"/>
      <c r="Q8" s="40"/>
      <c r="R8" s="33"/>
      <c r="S8" s="33"/>
      <c r="T8" s="57"/>
      <c r="U8" s="58">
        <f>_ReleaseData!$Q$27</f>
        <v>50</v>
      </c>
      <c r="V8" s="40"/>
      <c r="W8" s="40"/>
      <c r="X8" s="40"/>
      <c r="Y8" s="40"/>
      <c r="Z8" s="33"/>
      <c r="AA8" s="33"/>
      <c r="AB8" s="57"/>
      <c r="AC8" s="58">
        <f>_ReleaseData!$Q$28</f>
        <v>80</v>
      </c>
      <c r="AD8" s="40"/>
      <c r="AE8" s="40"/>
      <c r="AF8" s="40"/>
      <c r="AG8" s="40"/>
      <c r="AH8" s="33"/>
      <c r="AI8" s="33"/>
      <c r="AL8" s="16" t="s">
        <v>246</v>
      </c>
      <c r="AM8" t="s">
        <v>217</v>
      </c>
      <c r="AR8" s="57"/>
      <c r="AS8" s="58">
        <f>_ReleaseData!$Q$29</f>
        <v>100</v>
      </c>
      <c r="AT8" s="40"/>
      <c r="AU8" s="40"/>
      <c r="AV8" s="40"/>
      <c r="AW8" s="40"/>
      <c r="AX8" s="33"/>
      <c r="AY8" s="33"/>
    </row>
    <row r="9" spans="1:51" x14ac:dyDescent="0.3">
      <c r="A9" t="s">
        <v>279</v>
      </c>
      <c r="B9" s="60">
        <v>44055</v>
      </c>
      <c r="C9" s="60">
        <v>44068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50</v>
      </c>
      <c r="N9" s="40"/>
      <c r="O9" s="40"/>
      <c r="P9" s="40"/>
      <c r="Q9" s="40"/>
      <c r="R9" s="33"/>
      <c r="S9" s="33"/>
      <c r="T9" s="57"/>
      <c r="U9" s="58">
        <f>_ReleaseData!$Q$27</f>
        <v>50</v>
      </c>
      <c r="V9" s="40"/>
      <c r="W9" s="40"/>
      <c r="X9" s="40"/>
      <c r="Y9" s="40"/>
      <c r="Z9" s="33"/>
      <c r="AA9" s="33"/>
      <c r="AB9" s="57"/>
      <c r="AC9" s="58">
        <f>_ReleaseData!$Q$28</f>
        <v>80</v>
      </c>
      <c r="AD9" s="40"/>
      <c r="AE9" s="40"/>
      <c r="AF9" s="40"/>
      <c r="AG9" s="40"/>
      <c r="AH9" s="33"/>
      <c r="AI9" s="33"/>
      <c r="AR9" s="57"/>
      <c r="AS9" s="58">
        <f>_ReleaseData!$Q$29</f>
        <v>100</v>
      </c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v>114.5</v>
      </c>
      <c r="D16" s="20">
        <v>157.5</v>
      </c>
    </row>
    <row r="17" spans="2:4" x14ac:dyDescent="0.3">
      <c r="B17" t="s">
        <v>259</v>
      </c>
      <c r="C17" s="20">
        <v>31</v>
      </c>
      <c r="D17" s="20">
        <v>86</v>
      </c>
    </row>
    <row r="18" spans="2:4" x14ac:dyDescent="0.3">
      <c r="B18" t="s">
        <v>260</v>
      </c>
      <c r="C18" s="20">
        <v>89.5</v>
      </c>
      <c r="D18" s="20">
        <v>107</v>
      </c>
    </row>
    <row r="19" spans="2:4" x14ac:dyDescent="0.3">
      <c r="B19" t="s">
        <v>261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262</v>
      </c>
      <c r="C20" s="20"/>
      <c r="D20" s="20"/>
    </row>
    <row r="21" spans="2:4" x14ac:dyDescent="0.3">
      <c r="B21" t="s">
        <v>279</v>
      </c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2020-07-16T17:27:24Z</dcterms:modified>
</cp:coreProperties>
</file>