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CE36B39-C811-4D4F-9606-96227F3537E0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27" r:id="rId19"/>
  </pivotCaches>
  <fileRecoveryPr autoRecover="0"/>
</workbook>
</file>

<file path=xl/calcChain.xml><?xml version="1.0" encoding="utf-8"?>
<calcChain xmlns="http://schemas.openxmlformats.org/spreadsheetml/2006/main">
  <c r="AC7" i="26" l="1"/>
  <c r="U7" i="26"/>
  <c r="M7" i="26"/>
  <c r="E7" i="26"/>
  <c r="C19" i="24"/>
  <c r="D19" i="24"/>
  <c r="Q7" i="26"/>
  <c r="AE7" i="26"/>
  <c r="Y7" i="26"/>
  <c r="W7" i="26"/>
  <c r="G7" i="26"/>
  <c r="AG7" i="26"/>
  <c r="I7" i="26"/>
  <c r="O7" i="26"/>
  <c r="AB7" i="26"/>
  <c r="T7" i="26"/>
  <c r="L7" i="26"/>
  <c r="D7" i="26"/>
  <c r="AD7" i="26"/>
  <c r="V7" i="26"/>
  <c r="N7" i="26"/>
  <c r="F7" i="26"/>
  <c r="H7" i="26" l="1"/>
  <c r="K7" i="26" s="1"/>
  <c r="P7" i="26"/>
  <c r="S7" i="26" s="1"/>
  <c r="X7" i="26"/>
  <c r="AA7" i="26" s="1"/>
  <c r="AF7" i="26"/>
  <c r="AI7" i="26" s="1"/>
  <c r="R7" i="26"/>
  <c r="J7" i="26"/>
  <c r="Z7" i="26"/>
  <c r="AH7" i="26"/>
  <c r="AC6" i="26"/>
  <c r="X7" i="9"/>
  <c r="V7" i="9"/>
  <c r="T7" i="9"/>
  <c r="R7" i="9"/>
  <c r="N7" i="9"/>
  <c r="P7" i="9"/>
  <c r="M7" i="9"/>
  <c r="O7" i="9"/>
  <c r="AF6" i="26" l="1"/>
  <c r="AI6" i="26" s="1"/>
  <c r="AH6" i="26"/>
  <c r="U6" i="26" l="1"/>
  <c r="X6" i="26" l="1"/>
  <c r="AA6" i="26" s="1"/>
  <c r="Z6" i="26"/>
  <c r="M6" i="26" l="1"/>
  <c r="P6" i="26" l="1"/>
  <c r="S6" i="26" s="1"/>
  <c r="R6" i="26"/>
  <c r="E6" i="26" l="1"/>
  <c r="H6" i="26" l="1"/>
  <c r="K6" i="26" s="1"/>
  <c r="J6" i="26"/>
  <c r="W6" i="9"/>
  <c r="U6" i="9"/>
  <c r="S6" i="9"/>
  <c r="Q6" i="9"/>
  <c r="AC5" i="26" l="1"/>
  <c r="U5" i="26"/>
  <c r="M5" i="26"/>
  <c r="E5" i="26"/>
  <c r="W9" i="9"/>
  <c r="W8" i="9"/>
  <c r="W7" i="9"/>
  <c r="W5" i="9"/>
  <c r="W4" i="9"/>
  <c r="W3" i="9"/>
  <c r="U9" i="9"/>
  <c r="U8" i="9"/>
  <c r="U7" i="9"/>
  <c r="U5" i="9"/>
  <c r="U3" i="9"/>
  <c r="U4" i="9"/>
  <c r="S9" i="9"/>
  <c r="S8" i="9"/>
  <c r="S7" i="9"/>
  <c r="S5" i="9"/>
  <c r="Q3" i="9"/>
  <c r="S3" i="9"/>
  <c r="S4" i="9"/>
  <c r="Q9" i="9"/>
  <c r="Q8" i="9"/>
  <c r="Q7" i="9"/>
  <c r="Q5" i="9"/>
  <c r="Q4" i="9"/>
  <c r="H5" i="26" l="1"/>
  <c r="K5" i="26" s="1"/>
  <c r="P5" i="26"/>
  <c r="S5" i="26" s="1"/>
  <c r="X5" i="26"/>
  <c r="AA5" i="26" s="1"/>
  <c r="AF5" i="26"/>
  <c r="AI5" i="26" s="1"/>
  <c r="J5" i="26"/>
  <c r="R5" i="26"/>
  <c r="Z5" i="26"/>
  <c r="AH5" i="26"/>
  <c r="AC9" i="26" l="1"/>
  <c r="AC8" i="26"/>
  <c r="U9" i="26"/>
  <c r="U8" i="26"/>
  <c r="M9" i="26"/>
  <c r="M8" i="26"/>
  <c r="E9" i="26"/>
  <c r="E8" i="26"/>
  <c r="AC4" i="26" l="1"/>
  <c r="X3" i="26"/>
  <c r="U4" i="26"/>
  <c r="AC3" i="26"/>
  <c r="U3" i="26"/>
  <c r="M4" i="26"/>
  <c r="E3" i="26"/>
  <c r="M3" i="26"/>
  <c r="E4" i="26"/>
  <c r="B14" i="9"/>
  <c r="B10" i="9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L9" i="9"/>
  <c r="L8" i="9"/>
  <c r="L7" i="9"/>
  <c r="L6" i="9"/>
  <c r="L5" i="9"/>
  <c r="L4" i="9"/>
  <c r="K9" i="9"/>
  <c r="K8" i="9"/>
  <c r="K7" i="9"/>
  <c r="K6" i="9"/>
  <c r="K5" i="9"/>
  <c r="K4" i="9"/>
  <c r="B1" i="12" l="1"/>
  <c r="AE31" i="2" s="1"/>
  <c r="B66" i="9"/>
  <c r="F66" i="9"/>
  <c r="AF3" i="26" l="1"/>
  <c r="AI3" i="26" s="1"/>
  <c r="AH3" i="26"/>
  <c r="K42" i="9"/>
  <c r="B18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</calcChain>
</file>

<file path=xl/sharedStrings.xml><?xml version="1.0" encoding="utf-8"?>
<sst xmlns="http://schemas.openxmlformats.org/spreadsheetml/2006/main" count="1132" uniqueCount="281">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</sst>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0.52542372881355937</c:v>
                </c:pt>
                <c:pt idx="1">
                  <c:v>0.47457627118644063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0.34</c:v>
                </c:pt>
                <c:pt idx="2">
                  <c:v>0.65</c:v>
                </c:pt>
                <c:pt idx="3">
                  <c:v>0.69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  <c:pt idx="2">
                  <c:v>77.327586206896555</c:v>
                </c:pt>
                <c:pt idx="3">
                  <c:v>57.5</c:v>
                </c:pt>
                <c:pt idx="4">
                  <c:v>37.672413793103445</c:v>
                </c:pt>
                <c:pt idx="5">
                  <c:v>17.844827586206893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73</c:v>
                </c:pt>
                <c:pt idx="2">
                  <c:v>39</c:v>
                </c:pt>
                <c:pt idx="3">
                  <c:v>36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111</c:v>
                </c:pt>
                <c:pt idx="3">
                  <c:v>117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106</c:v>
                </c:pt>
                <c:pt idx="3">
                  <c:v>112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37</c:v>
                </c:pt>
                <c:pt idx="2">
                  <c:v>72</c:v>
                </c:pt>
                <c:pt idx="3">
                  <c:v>81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0.52542372881355937</c:v>
                </c:pt>
                <c:pt idx="1">
                  <c:v>0.47457627118644063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  <c:pt idx="2">
                  <c:v>40.344827586206897</c:v>
                </c:pt>
                <c:pt idx="3">
                  <c:v>30</c:v>
                </c:pt>
                <c:pt idx="4">
                  <c:v>19.655172413793103</c:v>
                </c:pt>
                <c:pt idx="5">
                  <c:v>9.3103448275862064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63</c:v>
                </c:pt>
                <c:pt idx="2">
                  <c:v>34</c:v>
                </c:pt>
                <c:pt idx="3">
                  <c:v>21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16</c:v>
                </c:pt>
                <c:pt idx="2">
                  <c:v>45</c:v>
                </c:pt>
                <c:pt idx="3">
                  <c:v>58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0.52542372881355937</c:v>
                </c:pt>
                <c:pt idx="1">
                  <c:v>0.47457627118644063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0.17</c:v>
                </c:pt>
                <c:pt idx="3">
                  <c:v>0.24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  <c:pt idx="2">
                  <c:v>20.172413793103448</c:v>
                </c:pt>
                <c:pt idx="3">
                  <c:v>15</c:v>
                </c:pt>
                <c:pt idx="4">
                  <c:v>9.8275862068965516</c:v>
                </c:pt>
                <c:pt idx="5">
                  <c:v>4.6551724137931032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44</c:v>
                </c:pt>
                <c:pt idx="2">
                  <c:v>39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55.5</c:v>
                </c:pt>
                <c:pt idx="1">
                  <c:v>22</c:v>
                </c:pt>
                <c:pt idx="2">
                  <c:v>22</c:v>
                </c:pt>
                <c:pt idx="3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146.5</c:v>
                </c:pt>
                <c:pt idx="1">
                  <c:v>98.5</c:v>
                </c:pt>
                <c:pt idx="2">
                  <c:v>68.5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0.19</c:v>
                </c:pt>
                <c:pt idx="2">
                  <c:v>0.44</c:v>
                </c:pt>
                <c:pt idx="3">
                  <c:v>0.56000000000000005</c:v>
                </c:pt>
                <c:pt idx="4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  <c:pt idx="2">
                  <c:v>201.72413793103448</c:v>
                </c:pt>
                <c:pt idx="3">
                  <c:v>150</c:v>
                </c:pt>
                <c:pt idx="4">
                  <c:v>98.275862068965509</c:v>
                </c:pt>
                <c:pt idx="5">
                  <c:v>46.551724137931025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263</c:v>
                </c:pt>
                <c:pt idx="2">
                  <c:v>182.5</c:v>
                </c:pt>
                <c:pt idx="3">
                  <c:v>143.5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323</c:v>
                </c:pt>
                <c:pt idx="2">
                  <c:v>323.5</c:v>
                </c:pt>
                <c:pt idx="3">
                  <c:v>328.5</c:v>
                </c:pt>
                <c:pt idx="4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318</c:v>
                </c:pt>
                <c:pt idx="2">
                  <c:v>323.5</c:v>
                </c:pt>
                <c:pt idx="3">
                  <c:v>328.5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267.5</c:v>
                </c:pt>
                <c:pt idx="2">
                  <c:v>301.5</c:v>
                </c:pt>
                <c:pt idx="3">
                  <c:v>306.5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60</c:v>
                </c:pt>
                <c:pt idx="2">
                  <c:v>141</c:v>
                </c:pt>
                <c:pt idx="3">
                  <c:v>185</c:v>
                </c:pt>
                <c:pt idx="4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0.52542372881355937</c:v>
                </c:pt>
                <c:pt idx="1">
                  <c:v>0.47457627118644063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37.30917812499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DevOps" u="1"/>
        <s v="Artifact List" u="1"/>
        <s v="Cross Project Move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2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4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2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L7">
        <v>73.5</v>
      </c>
      <c r="M7">
        <f t="shared" ref="M7:M12" si="0">SUM(L7:L7)</f>
        <v>73.5</v>
      </c>
    </row>
    <row r="8" spans="2:13" x14ac:dyDescent="0.45">
      <c r="B8" s="17" t="s">
        <v>264</v>
      </c>
      <c r="C8" s="20">
        <v>30</v>
      </c>
      <c r="K8" t="s">
        <v>263</v>
      </c>
      <c r="L8">
        <v>85</v>
      </c>
      <c r="M8">
        <f t="shared" si="0"/>
        <v>85</v>
      </c>
    </row>
    <row r="9" spans="2:13" x14ac:dyDescent="0.45">
      <c r="B9" s="17" t="s">
        <v>265</v>
      </c>
      <c r="C9" s="20">
        <v>60</v>
      </c>
      <c r="K9" t="s">
        <v>264</v>
      </c>
      <c r="L9">
        <v>50.625</v>
      </c>
      <c r="M9">
        <f t="shared" si="0"/>
        <v>50.625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209.125</v>
      </c>
      <c r="M13">
        <f>SUBTOTAL(109,Table1[Total])</f>
        <v>209.125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Saturn4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271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186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154</v>
      </c>
      <c r="E16" t="str">
        <f>"Sprint " &amp; SUBSTITUTE($B$1,"Quasar", "") &amp; " Progress"</f>
        <v>Sprint Saturn4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Saturn4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Saturn4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Saturn4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Saturn4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Saturn4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Saturn4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Saturn4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4.6640625" bestFit="1" customWidth="1"/>
    <col min="2" max="2" width="8.73046875" bestFit="1" customWidth="1"/>
    <col min="3" max="3" width="10.19921875" bestFit="1" customWidth="1"/>
    <col min="4" max="4" width="22.4648437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0.52542372881355937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0.47457627118644063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$Q$25*(100%-K3)</f>
        <v>300</v>
      </c>
      <c r="R3" s="40">
        <v>283.5</v>
      </c>
      <c r="S3" s="40">
        <f>$Q$26*(100%-K3)</f>
        <v>115</v>
      </c>
      <c r="T3" s="40">
        <v>126</v>
      </c>
      <c r="U3" s="40">
        <f>$Q$27*(100%-L3)</f>
        <v>60</v>
      </c>
      <c r="V3" s="40">
        <v>53</v>
      </c>
      <c r="W3" s="40">
        <f>$Q$28*(100%-K3)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v>0.19</v>
      </c>
      <c r="N4" s="76">
        <v>0.34</v>
      </c>
      <c r="O4" s="76">
        <v>0.2</v>
      </c>
      <c r="P4" s="76">
        <v>0.06</v>
      </c>
      <c r="Q4" s="40">
        <f>$Q$25*(100%-K4)</f>
        <v>248.27586206896552</v>
      </c>
      <c r="R4" s="42">
        <v>263</v>
      </c>
      <c r="S4" s="42">
        <f>$Q$26*(100%-K4)</f>
        <v>95.172413793103445</v>
      </c>
      <c r="T4" s="42">
        <v>73</v>
      </c>
      <c r="U4" s="40">
        <f>$Q$27*(100%-L4)</f>
        <v>49.655172413793103</v>
      </c>
      <c r="V4" s="42">
        <v>63</v>
      </c>
      <c r="W4" s="40">
        <f>$Q$28*(100%-K4)</f>
        <v>24.827586206896552</v>
      </c>
      <c r="X4" s="42">
        <v>44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>
        <v>0.44</v>
      </c>
      <c r="N5" s="76">
        <v>0.65</v>
      </c>
      <c r="O5" s="76">
        <v>0.56999999999999995</v>
      </c>
      <c r="P5" s="76">
        <v>0.17</v>
      </c>
      <c r="Q5" s="40">
        <f t="shared" ref="Q5:Q9" si="1">$Q$25*(100%-K5)</f>
        <v>201.72413793103448</v>
      </c>
      <c r="R5" s="42">
        <v>182.5</v>
      </c>
      <c r="S5" s="42">
        <f t="shared" ref="S5:S9" si="2">$Q$26*(100%-K5)</f>
        <v>77.327586206896555</v>
      </c>
      <c r="T5" s="42">
        <v>39</v>
      </c>
      <c r="U5" s="40">
        <f t="shared" ref="U5:U9" si="3">$Q$27*(100%-L5)</f>
        <v>40.344827586206897</v>
      </c>
      <c r="V5" s="42">
        <v>34</v>
      </c>
      <c r="W5" s="40">
        <f t="shared" ref="W5:W9" si="4">$Q$28*(100%-K5)</f>
        <v>20.172413793103448</v>
      </c>
      <c r="X5" s="42">
        <v>39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43537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>
        <v>0.56000000000000005</v>
      </c>
      <c r="N6" s="76">
        <v>0.69</v>
      </c>
      <c r="O6" s="76">
        <v>0.73</v>
      </c>
      <c r="P6" s="76">
        <v>0.24</v>
      </c>
      <c r="Q6" s="40">
        <f t="shared" ref="Q6" si="5">$Q$25*(100%-K6)</f>
        <v>150</v>
      </c>
      <c r="R6" s="42">
        <v>143.5</v>
      </c>
      <c r="S6" s="42">
        <f t="shared" ref="S6" si="6">$Q$26*(100%-K6)</f>
        <v>57.5</v>
      </c>
      <c r="T6" s="42">
        <v>36</v>
      </c>
      <c r="U6" s="40">
        <f t="shared" ref="U6" si="7">$Q$27*(100%-L6)</f>
        <v>30</v>
      </c>
      <c r="V6" s="42">
        <v>21</v>
      </c>
      <c r="W6" s="40">
        <f t="shared" ref="W6" si="8">$Q$28*(100%-K6)</f>
        <v>15</v>
      </c>
      <c r="X6" s="42">
        <v>35</v>
      </c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9">I6+1</f>
        <v>43537</v>
      </c>
      <c r="I7" s="24">
        <f t="shared" ref="I7:I9" si="10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f>100%-GETPIVOTDATA("Epic Remaining Estimate",$AB$4)/GETPIVOTDATA("Epic Total Estimate",$AB$4)</f>
        <v>0.77501406162114872</v>
      </c>
      <c r="N7" s="76">
        <f>100%-GETPIVOTDATA("Epic Remaining Estimate",$AB$4,"ST:Components","Reuse")/GETPIVOTDATA("Epic Total Estimate",$AB$4,"ST:Components","Reuse")</f>
        <v>0.25</v>
      </c>
      <c r="O7" s="76">
        <f>100%-GETPIVOTDATA("Epic Remaining Estimate",$AB$4,"ST:Components","Drag &amp; Drop")/GETPIVOTDATA("Epic Total Estimate",$AB$4,"ST:Components","Drag &amp; Drop")</f>
        <v>0.25</v>
      </c>
      <c r="P7" s="76">
        <f>100%-GETPIVOTDATA("Epic Remaining Estimate",$AB$4,"ST:Components","Diagram Editor")/GETPIVOTDATA("Epic Total Estimate",$AB$4,"ST:Components","Diagram Editor")</f>
        <v>0.25</v>
      </c>
      <c r="Q7" s="40">
        <f t="shared" si="1"/>
        <v>98.275862068965509</v>
      </c>
      <c r="R7" s="42">
        <f>GETPIVOTDATA("Epic Remaining Estimate",$AB$4)</f>
        <v>450</v>
      </c>
      <c r="S7" s="42">
        <f t="shared" si="2"/>
        <v>37.672413793103445</v>
      </c>
      <c r="T7" s="42">
        <f>GETPIVOTDATA("Epic Remaining Estimate",$AB$4,"ST:Components","Reuse")</f>
        <v>150</v>
      </c>
      <c r="U7" s="40">
        <f t="shared" si="3"/>
        <v>19.655172413793103</v>
      </c>
      <c r="V7" s="42">
        <f>GETPIVOTDATA("Epic Remaining Estimate",$AB$4,"ST:Components","Drag &amp; Drop")</f>
        <v>150</v>
      </c>
      <c r="W7" s="40">
        <f t="shared" si="4"/>
        <v>9.8275862068965516</v>
      </c>
      <c r="X7" s="42">
        <f>GETPIVOTDATA("Epic Remaining Estimate",$AB$4,"ST:Components","Diagram Editor")</f>
        <v>150</v>
      </c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9"/>
        <v>43551</v>
      </c>
      <c r="I8" s="24">
        <f t="shared" si="10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>
        <f t="shared" si="1"/>
        <v>46.551724137931025</v>
      </c>
      <c r="R8" s="40"/>
      <c r="S8" s="42">
        <f t="shared" si="2"/>
        <v>17.844827586206893</v>
      </c>
      <c r="T8" s="40"/>
      <c r="U8" s="40">
        <f t="shared" si="3"/>
        <v>9.3103448275862064</v>
      </c>
      <c r="V8" s="40"/>
      <c r="W8" s="40">
        <f t="shared" si="4"/>
        <v>4.6551724137931032</v>
      </c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9"/>
        <v>43565</v>
      </c>
      <c r="I9" s="73">
        <f t="shared" si="10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>
        <f t="shared" si="1"/>
        <v>0</v>
      </c>
      <c r="R9" s="71"/>
      <c r="S9" s="71">
        <f t="shared" si="2"/>
        <v>0</v>
      </c>
      <c r="T9" s="71"/>
      <c r="U9" s="71">
        <f t="shared" si="3"/>
        <v>0</v>
      </c>
      <c r="V9" s="71"/>
      <c r="W9" s="71">
        <f t="shared" si="4"/>
        <v>0</v>
      </c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0.52542372881355937</v>
      </c>
    </row>
    <row r="23" spans="1:24" x14ac:dyDescent="0.45">
      <c r="A23" t="s">
        <v>138</v>
      </c>
      <c r="B23" s="30">
        <f ca="1">MAX(100%,B22)-B22</f>
        <v>0.47457627118644063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v>323</v>
      </c>
      <c r="E4" s="58">
        <f>_ReleaseData!$Q$25</f>
        <v>300</v>
      </c>
      <c r="F4" s="40">
        <v>318</v>
      </c>
      <c r="G4" s="40">
        <v>267.5</v>
      </c>
      <c r="H4" s="40">
        <f t="shared" si="0"/>
        <v>60</v>
      </c>
      <c r="I4" s="40">
        <v>263</v>
      </c>
      <c r="J4" s="33">
        <f t="shared" ref="J4" si="12" xml:space="preserve"> G4/D4</f>
        <v>0.82817337461300311</v>
      </c>
      <c r="K4" s="33">
        <f t="shared" ref="K4" si="13" xml:space="preserve"> H4/D4</f>
        <v>0.18575851393188855</v>
      </c>
      <c r="L4" s="59">
        <v>110</v>
      </c>
      <c r="M4" s="58">
        <f>_ReleaseData!$Q$26</f>
        <v>115</v>
      </c>
      <c r="N4" s="40">
        <v>110</v>
      </c>
      <c r="O4" s="40">
        <v>81</v>
      </c>
      <c r="P4" s="40">
        <f t="shared" ref="P4" si="14">L4-Q4</f>
        <v>37</v>
      </c>
      <c r="Q4" s="40">
        <v>73</v>
      </c>
      <c r="R4" s="33">
        <f t="shared" ref="R4" si="15" xml:space="preserve"> O4/L4</f>
        <v>0.73636363636363633</v>
      </c>
      <c r="S4" s="33">
        <f t="shared" ref="S4" si="16" xml:space="preserve"> P4/L4</f>
        <v>0.33636363636363636</v>
      </c>
      <c r="T4" s="57">
        <v>79</v>
      </c>
      <c r="U4" s="58">
        <f>_ReleaseData!$Q$27</f>
        <v>60</v>
      </c>
      <c r="V4" s="40">
        <v>79</v>
      </c>
      <c r="W4" s="40">
        <v>79</v>
      </c>
      <c r="X4" s="40">
        <f t="shared" si="6"/>
        <v>16</v>
      </c>
      <c r="Y4" s="40">
        <v>63</v>
      </c>
      <c r="Z4" s="33">
        <f t="shared" ref="Z4" si="17" xml:space="preserve"> W4/T4</f>
        <v>1</v>
      </c>
      <c r="AA4" s="33">
        <f t="shared" ref="AA4" si="18">X4/T4</f>
        <v>0.20253164556962025</v>
      </c>
      <c r="AB4" s="57">
        <v>47</v>
      </c>
      <c r="AC4" s="58">
        <f>_ReleaseData!$Q$28</f>
        <v>30</v>
      </c>
      <c r="AD4" s="40">
        <v>47</v>
      </c>
      <c r="AE4" s="40">
        <v>29</v>
      </c>
      <c r="AF4" s="40">
        <f t="shared" ref="AF4" si="19">AB4-AG4</f>
        <v>3</v>
      </c>
      <c r="AG4" s="40">
        <v>44</v>
      </c>
      <c r="AH4" s="33">
        <f t="shared" ref="AH4" si="20" xml:space="preserve"> AE4/AB4</f>
        <v>0.61702127659574468</v>
      </c>
      <c r="AI4" s="33">
        <f t="shared" ref="AI4" si="21">AF4/AB4</f>
        <v>6.3829787234042548E-2</v>
      </c>
    </row>
    <row r="5" spans="1:42" x14ac:dyDescent="0.45">
      <c r="A5" t="s">
        <v>263</v>
      </c>
      <c r="B5" s="60">
        <v>43509</v>
      </c>
      <c r="C5" s="60">
        <v>43522</v>
      </c>
      <c r="D5" s="57">
        <v>323.5</v>
      </c>
      <c r="E5" s="58">
        <f>_ReleaseData!$Q$25</f>
        <v>300</v>
      </c>
      <c r="F5" s="40">
        <v>323.5</v>
      </c>
      <c r="G5" s="40">
        <v>301.5</v>
      </c>
      <c r="H5" s="40">
        <f t="shared" ref="H5" si="22">D5-I5</f>
        <v>141</v>
      </c>
      <c r="I5" s="40">
        <v>182.5</v>
      </c>
      <c r="J5" s="33">
        <f t="shared" ref="J5" si="23" xml:space="preserve"> G5/D5</f>
        <v>0.93199381761978362</v>
      </c>
      <c r="K5" s="33">
        <f t="shared" ref="K5" si="24" xml:space="preserve"> H5/D5</f>
        <v>0.43585780525502316</v>
      </c>
      <c r="L5" s="59">
        <v>111</v>
      </c>
      <c r="M5" s="58">
        <f>_ReleaseData!$Q$26</f>
        <v>115</v>
      </c>
      <c r="N5" s="40">
        <v>111</v>
      </c>
      <c r="O5" s="40">
        <v>106</v>
      </c>
      <c r="P5" s="40">
        <f t="shared" ref="P5" si="25">L5-Q5</f>
        <v>72</v>
      </c>
      <c r="Q5" s="40">
        <v>39</v>
      </c>
      <c r="R5" s="33">
        <f t="shared" ref="R5" si="26" xml:space="preserve"> O5/L5</f>
        <v>0.95495495495495497</v>
      </c>
      <c r="S5" s="33">
        <f t="shared" ref="S5" si="27" xml:space="preserve"> P5/L5</f>
        <v>0.64864864864864868</v>
      </c>
      <c r="T5" s="57">
        <v>79</v>
      </c>
      <c r="U5" s="58">
        <f>_ReleaseData!$Q$27</f>
        <v>60</v>
      </c>
      <c r="V5" s="40">
        <v>79</v>
      </c>
      <c r="W5" s="40">
        <v>79</v>
      </c>
      <c r="X5" s="40">
        <f t="shared" ref="X5" si="28">T5-Y5</f>
        <v>45</v>
      </c>
      <c r="Y5" s="40">
        <v>34</v>
      </c>
      <c r="Z5" s="33">
        <f t="shared" ref="Z5" si="29" xml:space="preserve"> W5/T5</f>
        <v>1</v>
      </c>
      <c r="AA5" s="33">
        <f t="shared" ref="AA5" si="30">X5/T5</f>
        <v>0.569620253164557</v>
      </c>
      <c r="AB5" s="57">
        <v>47</v>
      </c>
      <c r="AC5" s="58">
        <f>_ReleaseData!$Q$28</f>
        <v>30</v>
      </c>
      <c r="AD5" s="40">
        <v>47</v>
      </c>
      <c r="AE5" s="40">
        <v>30</v>
      </c>
      <c r="AF5" s="40">
        <f t="shared" ref="AF5" si="31">AB5-AG5</f>
        <v>8</v>
      </c>
      <c r="AG5" s="40">
        <v>39</v>
      </c>
      <c r="AH5" s="33">
        <f t="shared" ref="AH5" si="32" xml:space="preserve"> AE5/AB5</f>
        <v>0.63829787234042556</v>
      </c>
      <c r="AI5" s="33">
        <f t="shared" ref="AI5" si="33">AF5/AB5</f>
        <v>0.1702127659574468</v>
      </c>
    </row>
    <row r="6" spans="1:42" x14ac:dyDescent="0.45">
      <c r="A6" t="s">
        <v>264</v>
      </c>
      <c r="B6" s="60">
        <v>43523</v>
      </c>
      <c r="C6" s="60">
        <v>43536</v>
      </c>
      <c r="D6" s="57">
        <v>328.5</v>
      </c>
      <c r="E6" s="58">
        <f>_ReleaseData!$Q$25</f>
        <v>300</v>
      </c>
      <c r="F6" s="40">
        <v>328.5</v>
      </c>
      <c r="G6" s="40">
        <v>306.5</v>
      </c>
      <c r="H6" s="40">
        <f t="shared" ref="H6" si="34">D6-I6</f>
        <v>185</v>
      </c>
      <c r="I6" s="40">
        <v>143.5</v>
      </c>
      <c r="J6" s="33">
        <f t="shared" ref="J6" si="35" xml:space="preserve"> G6/D6</f>
        <v>0.9330289193302892</v>
      </c>
      <c r="K6" s="33">
        <f t="shared" ref="K6" si="36" xml:space="preserve"> H6/D6</f>
        <v>0.56316590563165903</v>
      </c>
      <c r="L6" s="59">
        <v>117</v>
      </c>
      <c r="M6" s="58">
        <f>_ReleaseData!$Q$26</f>
        <v>115</v>
      </c>
      <c r="N6" s="40">
        <v>117</v>
      </c>
      <c r="O6" s="40">
        <v>112</v>
      </c>
      <c r="P6" s="40">
        <f t="shared" ref="P6" si="37">L6-Q6</f>
        <v>81</v>
      </c>
      <c r="Q6" s="40">
        <v>36</v>
      </c>
      <c r="R6" s="33">
        <f t="shared" ref="R6" si="38" xml:space="preserve"> O6/L6</f>
        <v>0.95726495726495731</v>
      </c>
      <c r="S6" s="33">
        <f t="shared" ref="S6" si="39" xml:space="preserve"> P6/L6</f>
        <v>0.69230769230769229</v>
      </c>
      <c r="T6" s="57">
        <v>79</v>
      </c>
      <c r="U6" s="58">
        <f>_ReleaseData!$Q$27</f>
        <v>60</v>
      </c>
      <c r="V6" s="40">
        <v>79</v>
      </c>
      <c r="W6" s="40">
        <v>79</v>
      </c>
      <c r="X6" s="40">
        <f t="shared" ref="X6" si="40">T6-Y6</f>
        <v>58</v>
      </c>
      <c r="Y6" s="40">
        <v>21</v>
      </c>
      <c r="Z6" s="33">
        <f t="shared" ref="Z6" si="41" xml:space="preserve"> W6/T6</f>
        <v>1</v>
      </c>
      <c r="AA6" s="33">
        <f t="shared" ref="AA6" si="42">X6/T6</f>
        <v>0.73417721518987344</v>
      </c>
      <c r="AB6" s="57">
        <v>46</v>
      </c>
      <c r="AC6" s="58">
        <f>_ReleaseData!$Q$28</f>
        <v>30</v>
      </c>
      <c r="AD6" s="40">
        <v>46</v>
      </c>
      <c r="AE6" s="40">
        <v>29</v>
      </c>
      <c r="AF6" s="40">
        <f t="shared" ref="AF6" si="43">AB6-AG6</f>
        <v>11</v>
      </c>
      <c r="AG6" s="40">
        <v>35</v>
      </c>
      <c r="AH6" s="33">
        <f t="shared" ref="AH6" si="44" xml:space="preserve"> AE6/AB6</f>
        <v>0.63043478260869568</v>
      </c>
      <c r="AI6" s="33">
        <f t="shared" ref="AI6" si="45">AF6/AB6</f>
        <v>0.2391304347826087</v>
      </c>
    </row>
    <row r="7" spans="1:42" x14ac:dyDescent="0.45">
      <c r="A7" t="s">
        <v>265</v>
      </c>
      <c r="B7" s="60">
        <v>43537</v>
      </c>
      <c r="C7" s="60">
        <v>43550</v>
      </c>
      <c r="D7" s="57">
        <f>GETPIVOTDATA("Epic Total Estimate", $AL$8, "Type", "Epic")</f>
        <v>2000.125</v>
      </c>
      <c r="E7" s="58">
        <f>_ReleaseData!$Q$25</f>
        <v>300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46">D7-I7</f>
        <v>1550.125</v>
      </c>
      <c r="I7" s="40">
        <f>GETPIVOTDATA("Epic Remaining Estimate", $AL$8, "Type", "Epic")</f>
        <v>450</v>
      </c>
      <c r="J7" s="33">
        <f t="shared" ref="J7" si="47" xml:space="preserve"> G7/D7</f>
        <v>0.2699831260546216</v>
      </c>
      <c r="K7" s="33">
        <f t="shared" ref="K7" si="48" xml:space="preserve"> H7/D7</f>
        <v>0.77501406162114872</v>
      </c>
      <c r="L7" s="59">
        <f>GETPIVOTDATA("Epic Total Estimate", $AL$8, "Type", "Epic", "ST:Components", "Reuse")</f>
        <v>200</v>
      </c>
      <c r="M7" s="58">
        <f>_ReleaseData!$Q$26</f>
        <v>115</v>
      </c>
      <c r="N7" s="40">
        <f>GETPIVOTDATA("Stories Estimate", $AL$8, "Type", "Epic", "ST:Components", "Reuse")</f>
        <v>0</v>
      </c>
      <c r="O7" s="40">
        <f>GETPIVOTDATA("Epic Decomposed", $AL$8, "Type", "Epic", "ST:Components", "Reuse")</f>
        <v>180</v>
      </c>
      <c r="P7" s="40">
        <f t="shared" ref="P7" si="49">L7-Q7</f>
        <v>50</v>
      </c>
      <c r="Q7" s="40">
        <f>GETPIVOTDATA("Epic Remaining Estimate", $AL$8, "Type", "Epic", "ST:Components", "Reuse")</f>
        <v>150</v>
      </c>
      <c r="R7" s="33">
        <f t="shared" ref="R7" si="50" xml:space="preserve"> O7/L7</f>
        <v>0.9</v>
      </c>
      <c r="S7" s="33">
        <f t="shared" ref="S7" si="51" xml:space="preserve"> P7/L7</f>
        <v>0.25</v>
      </c>
      <c r="T7" s="57">
        <f>GETPIVOTDATA("Epic Total Estimate", $AL$8, "Type", "Epic", "ST:Components", "Drag &amp; Drop")</f>
        <v>200</v>
      </c>
      <c r="U7" s="58">
        <f>_ReleaseData!$Q$27</f>
        <v>60</v>
      </c>
      <c r="V7" s="40">
        <f>GETPIVOTDATA("Stories Estimate", $AL$8, "Type", "Epic", "ST:Components", "Drag &amp; Drop")</f>
        <v>0</v>
      </c>
      <c r="W7" s="40">
        <f>GETPIVOTDATA("Epic Decomposed", $AL$8, "Type", "Epic", "ST:Components", "Drag &amp; Drop")</f>
        <v>180</v>
      </c>
      <c r="X7" s="40">
        <f t="shared" ref="X7" si="52">T7-Y7</f>
        <v>50</v>
      </c>
      <c r="Y7" s="40">
        <f>GETPIVOTDATA("Epic Remaining Estimate", $AL$8, "Type", "Epic", "ST:Components", "Drag &amp; Drop")</f>
        <v>150</v>
      </c>
      <c r="Z7" s="33">
        <f t="shared" ref="Z7" si="53" xml:space="preserve"> W7/T7</f>
        <v>0.9</v>
      </c>
      <c r="AA7" s="33">
        <f t="shared" ref="AA7" si="54">X7/T7</f>
        <v>0.25</v>
      </c>
      <c r="AB7" s="57">
        <f>GETPIVOTDATA("Epic Total Estimate", $AL$8, "Type", "Epic", "ST:Components", "Diagram Editor")</f>
        <v>200</v>
      </c>
      <c r="AC7" s="58">
        <f>_ReleaseData!$Q$28</f>
        <v>30</v>
      </c>
      <c r="AD7" s="40">
        <f>GETPIVOTDATA("Stories Estimate", $AL$8, "Type", "Epic", "ST:Components", "Diagram Editor")</f>
        <v>0</v>
      </c>
      <c r="AE7" s="40">
        <f>GETPIVOTDATA("Epic Decomposed", $AL$8, "Type", "Epic", "ST:Components", "Diagram Editor")</f>
        <v>180</v>
      </c>
      <c r="AF7" s="40">
        <f t="shared" ref="AF7" si="55">AB7-AG7</f>
        <v>50</v>
      </c>
      <c r="AG7" s="40">
        <f>GETPIVOTDATA("Epic Remaining Estimate", $AL$8, "Type", "Epic", "ST:Components", "Diagram Editor")</f>
        <v>150</v>
      </c>
      <c r="AH7" s="33">
        <f t="shared" ref="AH7" si="56" xml:space="preserve"> AE7/AB7</f>
        <v>0.9</v>
      </c>
      <c r="AI7" s="33">
        <f t="shared" ref="AI7" si="57">AF7/AB7</f>
        <v>0.25</v>
      </c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>
        <f>_ReleaseData!$Q$25</f>
        <v>300</v>
      </c>
      <c r="F8" s="40"/>
      <c r="G8" s="40"/>
      <c r="H8" s="40"/>
      <c r="I8" s="40"/>
      <c r="J8" s="33"/>
      <c r="K8" s="33"/>
      <c r="L8" s="59"/>
      <c r="M8" s="58">
        <f>_ReleaseData!$Q$26</f>
        <v>115</v>
      </c>
      <c r="N8" s="40"/>
      <c r="O8" s="40"/>
      <c r="P8" s="40"/>
      <c r="Q8" s="40"/>
      <c r="R8" s="33"/>
      <c r="S8" s="33"/>
      <c r="T8" s="57"/>
      <c r="U8" s="58">
        <f>_ReleaseData!$Q$27</f>
        <v>60</v>
      </c>
      <c r="V8" s="40"/>
      <c r="W8" s="40"/>
      <c r="X8" s="40"/>
      <c r="Y8" s="40"/>
      <c r="Z8" s="33"/>
      <c r="AA8" s="33"/>
      <c r="AB8" s="57"/>
      <c r="AC8" s="58">
        <f>_ReleaseData!$Q$28</f>
        <v>30</v>
      </c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>
        <f>_ReleaseData!$Q$25</f>
        <v>300</v>
      </c>
      <c r="F9" s="42"/>
      <c r="G9" s="42"/>
      <c r="H9" s="40"/>
      <c r="I9" s="40"/>
      <c r="J9" s="33"/>
      <c r="K9" s="33"/>
      <c r="L9" s="59"/>
      <c r="M9" s="58">
        <f>_ReleaseData!$Q$26</f>
        <v>115</v>
      </c>
      <c r="N9" s="40"/>
      <c r="O9" s="40"/>
      <c r="P9" s="40"/>
      <c r="Q9" s="40"/>
      <c r="R9" s="33"/>
      <c r="S9" s="33"/>
      <c r="T9" s="57"/>
      <c r="U9" s="58">
        <f>_ReleaseData!$Q$27</f>
        <v>60</v>
      </c>
      <c r="V9" s="40"/>
      <c r="W9" s="40"/>
      <c r="X9" s="40"/>
      <c r="Y9" s="40"/>
      <c r="Z9" s="33"/>
      <c r="AA9" s="33"/>
      <c r="AB9" s="57"/>
      <c r="AC9" s="58">
        <f>_ReleaseData!$Q$28</f>
        <v>30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v>55.5</v>
      </c>
      <c r="D16">
        <v>146.5</v>
      </c>
    </row>
    <row r="17" spans="2:4" x14ac:dyDescent="0.45">
      <c r="B17" t="s">
        <v>263</v>
      </c>
      <c r="C17">
        <v>22</v>
      </c>
      <c r="D17">
        <v>98.5</v>
      </c>
    </row>
    <row r="18" spans="2:4" x14ac:dyDescent="0.45">
      <c r="B18" t="s">
        <v>264</v>
      </c>
      <c r="C18">
        <v>22</v>
      </c>
      <c r="D18">
        <v>68.5</v>
      </c>
    </row>
    <row r="19" spans="2:4" x14ac:dyDescent="0.45">
      <c r="B19" t="s">
        <v>265</v>
      </c>
      <c r="C19">
        <f>GETPIVOTDATA("Epic Not Decomposed Estimate",$B$3)</f>
        <v>1460.125</v>
      </c>
      <c r="D19">
        <f>GETPIVOTDATA("Story Points",$G$2)</f>
        <v>35</v>
      </c>
    </row>
    <row r="20" spans="2:4" x14ac:dyDescent="0.45">
      <c r="B20" t="s">
        <v>266</v>
      </c>
    </row>
    <row r="21" spans="2:4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2019-03-13T11:25:37Z</dcterms:modified>
</cp:coreProperties>
</file>