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E2FBA495-900C-4A51-A922-7313240B6ED3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UiPath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61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9" i="26" l="1"/>
  <c r="AS10" i="26"/>
  <c r="AC10" i="26"/>
  <c r="U10" i="26"/>
  <c r="M10" i="26"/>
  <c r="E10" i="26"/>
  <c r="D22" i="24"/>
  <c r="C22" i="24"/>
  <c r="AT10" i="26"/>
  <c r="AR10" i="26"/>
  <c r="AU10" i="26"/>
  <c r="AW10" i="26"/>
  <c r="W10" i="26"/>
  <c r="V10" i="26"/>
  <c r="AG10" i="26"/>
  <c r="AE10" i="26"/>
  <c r="AD10" i="26"/>
  <c r="Q10" i="26"/>
  <c r="F10" i="26"/>
  <c r="AB10" i="26"/>
  <c r="D10" i="26"/>
  <c r="O10" i="26"/>
  <c r="N10" i="26"/>
  <c r="T10" i="26"/>
  <c r="I10" i="26"/>
  <c r="G10" i="26"/>
  <c r="L10" i="26"/>
  <c r="Y10" i="26"/>
  <c r="AX10" i="26" l="1"/>
  <c r="AV10" i="26"/>
  <c r="AY10" i="26" s="1"/>
  <c r="P10" i="26"/>
  <c r="S10" i="26" s="1"/>
  <c r="J10" i="26"/>
  <c r="X10" i="26"/>
  <c r="AA10" i="26" s="1"/>
  <c r="R10" i="26"/>
  <c r="H10" i="26"/>
  <c r="K10" i="26" s="1"/>
  <c r="AF10" i="26"/>
  <c r="AI10" i="26" s="1"/>
  <c r="AH10" i="26"/>
  <c r="Z10" i="26"/>
  <c r="AI10" i="9"/>
  <c r="AG10" i="9"/>
  <c r="X10" i="9"/>
  <c r="V10" i="9"/>
  <c r="T10" i="9"/>
  <c r="R10" i="9"/>
  <c r="P10" i="9"/>
  <c r="O10" i="9"/>
  <c r="N10" i="9"/>
  <c r="M10" i="9"/>
  <c r="AF10" i="9" l="1"/>
  <c r="AF9" i="9"/>
  <c r="AF8" i="9"/>
  <c r="AF7" i="9"/>
  <c r="L10" i="9"/>
  <c r="L9" i="9"/>
  <c r="L8" i="9"/>
  <c r="L7" i="9"/>
  <c r="L6" i="9"/>
  <c r="L5" i="9"/>
  <c r="L4" i="9"/>
  <c r="K10" i="9"/>
  <c r="K9" i="9"/>
  <c r="K8" i="9"/>
  <c r="K7" i="9"/>
  <c r="K6" i="9"/>
  <c r="K5" i="9"/>
  <c r="K4" i="9"/>
  <c r="U8" i="26" l="1"/>
  <c r="AC9" i="26"/>
  <c r="U9" i="26"/>
  <c r="M9" i="26"/>
  <c r="E9" i="26"/>
  <c r="AV9" i="26" l="1"/>
  <c r="AY9" i="26" s="1"/>
  <c r="AX9" i="26"/>
  <c r="H9" i="26"/>
  <c r="K9" i="26" s="1"/>
  <c r="P9" i="26"/>
  <c r="S9" i="26" s="1"/>
  <c r="X9" i="26"/>
  <c r="AA9" i="26" s="1"/>
  <c r="R9" i="26"/>
  <c r="AF9" i="26"/>
  <c r="AI9" i="26" s="1"/>
  <c r="J9" i="26"/>
  <c r="AH9" i="26"/>
  <c r="Z9" i="26"/>
  <c r="AS8" i="26"/>
  <c r="AC8" i="26"/>
  <c r="M8" i="26"/>
  <c r="E8" i="26"/>
  <c r="AV8" i="26" l="1"/>
  <c r="AY8" i="26" s="1"/>
  <c r="AX8" i="26"/>
  <c r="J8" i="26"/>
  <c r="AH8" i="26"/>
  <c r="P8" i="26"/>
  <c r="S8" i="26" s="1"/>
  <c r="X8" i="26"/>
  <c r="AA8" i="26" s="1"/>
  <c r="Z8" i="26"/>
  <c r="R8" i="26"/>
  <c r="H8" i="26"/>
  <c r="K8" i="26" s="1"/>
  <c r="AF8" i="26"/>
  <c r="AI8" i="26" s="1"/>
  <c r="H50" i="14"/>
  <c r="G50" i="14"/>
  <c r="F50" i="14"/>
  <c r="E50" i="14"/>
  <c r="D50" i="14"/>
  <c r="C50" i="14"/>
  <c r="B50" i="14"/>
  <c r="B6" i="9"/>
  <c r="AS7" i="26" l="1"/>
  <c r="AS6" i="26"/>
  <c r="AX6" i="26"/>
  <c r="AV6" i="26"/>
  <c r="AY6" i="26" s="1"/>
  <c r="AV7" i="26" l="1"/>
  <c r="AY7" i="26" s="1"/>
  <c r="AX7" i="26"/>
  <c r="N42" i="9" l="1"/>
  <c r="AH10" i="9" l="1"/>
  <c r="AH9" i="9"/>
  <c r="AH8" i="9"/>
  <c r="AH7" i="9"/>
  <c r="AH6" i="9"/>
  <c r="AG21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9" i="14"/>
  <c r="B48" i="14"/>
  <c r="B47" i="14"/>
  <c r="B46" i="14"/>
  <c r="B45" i="14"/>
  <c r="B44" i="14"/>
  <c r="B43" i="14"/>
  <c r="B14" i="9"/>
  <c r="B18" i="9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" i="9" s="1"/>
  <c r="AG17" i="9" l="1"/>
  <c r="AG18" i="9" s="1"/>
  <c r="B22" i="9"/>
  <c r="B23" i="9" s="1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U10" i="9" l="1"/>
  <c r="W10" i="9"/>
  <c r="U4" i="9"/>
  <c r="U8" i="9"/>
  <c r="S7" i="9"/>
  <c r="U6" i="9"/>
  <c r="W9" i="9"/>
  <c r="U7" i="9"/>
  <c r="U9" i="9"/>
  <c r="W8" i="9"/>
  <c r="Q4" i="9"/>
  <c r="W5" i="9"/>
  <c r="U5" i="9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<sst xmlns="http://schemas.openxmlformats.org/spreadsheetml/2006/main" count="1134" uniqueCount="282">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</sst>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0.87</c:v>
                </c:pt>
                <c:pt idx="5">
                  <c:v>0.94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36</c:v>
                </c:pt>
                <c:pt idx="5">
                  <c:v>17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289.60000000000002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289.60000000000002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279.8</c:v>
                </c:pt>
                <c:pt idx="5">
                  <c:v>290.60000000000002</c:v>
                </c:pt>
                <c:pt idx="6">
                  <c:v>289.60000000000002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243.8</c:v>
                </c:pt>
                <c:pt idx="5">
                  <c:v>273.60000000000002</c:v>
                </c:pt>
                <c:pt idx="6">
                  <c:v>282.60000000000002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0.39</c:v>
                </c:pt>
                <c:pt idx="5">
                  <c:v>0.44</c:v>
                </c:pt>
                <c:pt idx="6">
                  <c:v>0.87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115</c:v>
                </c:pt>
                <c:pt idx="5">
                  <c:v>105</c:v>
                </c:pt>
                <c:pt idx="6">
                  <c:v>21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163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163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163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73</c:v>
                </c:pt>
                <c:pt idx="5">
                  <c:v>83</c:v>
                </c:pt>
                <c:pt idx="6">
                  <c:v>142</c:v>
                </c:pt>
                <c:pt idx="7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0.56000000000000005</c:v>
                </c:pt>
                <c:pt idx="5">
                  <c:v>0.83</c:v>
                </c:pt>
                <c:pt idx="6">
                  <c:v>0.83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26</c:v>
                </c:pt>
                <c:pt idx="5">
                  <c:v>10</c:v>
                </c:pt>
                <c:pt idx="6">
                  <c:v>10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33</c:v>
                </c:pt>
                <c:pt idx="5">
                  <c:v>49</c:v>
                </c:pt>
                <c:pt idx="6">
                  <c:v>50</c:v>
                </c:pt>
                <c:pt idx="7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'!$AR$3:$AR$10</c:f>
              <c:numCache>
                <c:formatCode>0.0</c:formatCode>
                <c:ptCount val="8"/>
                <c:pt idx="3">
                  <c:v>71.3</c:v>
                </c:pt>
                <c:pt idx="4">
                  <c:v>54.3</c:v>
                </c:pt>
                <c:pt idx="5">
                  <c:v>76.3</c:v>
                </c:pt>
                <c:pt idx="6">
                  <c:v>77.3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'!$AT$3:$AT$10</c:f>
              <c:numCache>
                <c:formatCode>0.0</c:formatCode>
                <c:ptCount val="8"/>
                <c:pt idx="3">
                  <c:v>53.3</c:v>
                </c:pt>
                <c:pt idx="4">
                  <c:v>54.3</c:v>
                </c:pt>
                <c:pt idx="5">
                  <c:v>76.3</c:v>
                </c:pt>
                <c:pt idx="6">
                  <c:v>77.3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'!$AU$3:$AU$10</c:f>
              <c:numCache>
                <c:formatCode>0.0</c:formatCode>
                <c:ptCount val="8"/>
                <c:pt idx="3">
                  <c:v>53.3</c:v>
                </c:pt>
                <c:pt idx="4">
                  <c:v>54.3</c:v>
                </c:pt>
                <c:pt idx="5">
                  <c:v>76.3</c:v>
                </c:pt>
                <c:pt idx="6">
                  <c:v>77.3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'!$AV$3:$AV$10</c:f>
              <c:numCache>
                <c:formatCode>0.0</c:formatCode>
                <c:ptCount val="8"/>
                <c:pt idx="3">
                  <c:v>0</c:v>
                </c:pt>
                <c:pt idx="4">
                  <c:v>34.299999999999997</c:v>
                </c:pt>
                <c:pt idx="5">
                  <c:v>66.3</c:v>
                </c:pt>
                <c:pt idx="6">
                  <c:v>75.3</c:v>
                </c:pt>
                <c:pt idx="7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'!$AS$3:$AS$10</c:f>
              <c:numCache>
                <c:formatCode>0</c:formatCode>
                <c:ptCount val="8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0.72</c:v>
                </c:pt>
                <c:pt idx="6">
                  <c:v>0.87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_ReleaseData!$AF$3:$AF$10</c:f>
              <c:numCache>
                <c:formatCode>0%</c:formatCode>
                <c:ptCount val="8"/>
                <c:pt idx="3">
                  <c:v>0</c:v>
                </c:pt>
                <c:pt idx="4">
                  <c:v>0.26315789473684209</c:v>
                </c:pt>
                <c:pt idx="5">
                  <c:v>0.5</c:v>
                </c:pt>
                <c:pt idx="6">
                  <c:v>0.76315789473684215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_ReleaseData!$AG$3:$AG$10</c:f>
              <c:numCache>
                <c:formatCode>0%</c:formatCode>
                <c:ptCount val="8"/>
                <c:pt idx="3">
                  <c:v>0</c:v>
                </c:pt>
                <c:pt idx="4">
                  <c:v>0.63</c:v>
                </c:pt>
                <c:pt idx="5">
                  <c:v>0.87</c:v>
                </c:pt>
                <c:pt idx="6">
                  <c:v>0.97</c:v>
                </c:pt>
                <c:pt idx="7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_ReleaseData!$AH$3:$AH$10</c:f>
              <c:numCache>
                <c:formatCode>0.0</c:formatCode>
                <c:ptCount val="8"/>
                <c:pt idx="3">
                  <c:v>70</c:v>
                </c:pt>
                <c:pt idx="4">
                  <c:v>51.578947368421055</c:v>
                </c:pt>
                <c:pt idx="5">
                  <c:v>35</c:v>
                </c:pt>
                <c:pt idx="6">
                  <c:v>16.578947368421051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_ReleaseData!$AI$3:$AI$10</c:f>
              <c:numCache>
                <c:formatCode>0.0</c:formatCode>
                <c:ptCount val="8"/>
                <c:pt idx="3">
                  <c:v>71.25</c:v>
                </c:pt>
                <c:pt idx="4">
                  <c:v>20</c:v>
                </c:pt>
                <c:pt idx="5">
                  <c:v>10</c:v>
                </c:pt>
                <c:pt idx="6">
                  <c:v>2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15.5</c:v>
                </c:pt>
                <c:pt idx="4">
                  <c:v>7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184</c:v>
                </c:pt>
                <c:pt idx="4">
                  <c:v>142</c:v>
                </c:pt>
                <c:pt idx="5">
                  <c:v>148.5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Wavelength7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31</c:v>
                </c:pt>
                <c:pt idx="2">
                  <c:v>31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_BugsData!$C$43:$C$51</c15:sqref>
                  </c15:fullRef>
                </c:ext>
              </c:extLst>
              <c:f>_BugsData!$C$43:$C$49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_BugsData!$D$43:$D$49</c15:sqref>
                  </c15:fullRef>
                </c:ext>
              </c:extLst>
              <c:f>_BugsData!$D$43:$D$49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_BugsData!$E$43:$E$49</c15:sqref>
                  </c15:fullRef>
                </c:ext>
              </c:extLst>
              <c:f>_BugsData!$E$43:$E$49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_BugsData!$F$43:$F$49</c15:sqref>
                  </c15:fullRef>
                </c:ext>
              </c:extLst>
              <c:f>_BugsData!$F$43:$F$49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Grand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_BugsData!$G$43:$G$49</c15:sqref>
                  </c15:fullRef>
                </c:ext>
              </c:extLst>
              <c:f>_BugsData!$G$43:$G$49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_BugsData!$B$43:$B$49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_BugsData!$H$43:$H$51</c15:sqref>
                  </c15:fullRef>
                </c:ext>
              </c:extLst>
              <c:f>_BugsData!$H$43:$H$49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700</c:v>
                </c:pt>
                <c:pt idx="1">
                  <c:v>605.97014925373139</c:v>
                </c:pt>
                <c:pt idx="2">
                  <c:v>501.49253731343288</c:v>
                </c:pt>
                <c:pt idx="3">
                  <c:v>397.01492537313436</c:v>
                </c:pt>
                <c:pt idx="4">
                  <c:v>292.53731343283579</c:v>
                </c:pt>
                <c:pt idx="5">
                  <c:v>198.50746268656718</c:v>
                </c:pt>
                <c:pt idx="6">
                  <c:v>94.029850746268693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311.5</c:v>
                </c:pt>
                <c:pt idx="5">
                  <c:v>212</c:v>
                </c:pt>
                <c:pt idx="6">
                  <c:v>92.5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745.8</c:v>
                </c:pt>
                <c:pt idx="5">
                  <c:v>752.6</c:v>
                </c:pt>
                <c:pt idx="6">
                  <c:v>718.1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745.8</c:v>
                </c:pt>
                <c:pt idx="5">
                  <c:v>752.6</c:v>
                </c:pt>
                <c:pt idx="6">
                  <c:v>718.1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730.3</c:v>
                </c:pt>
                <c:pt idx="5">
                  <c:v>745.6</c:v>
                </c:pt>
                <c:pt idx="6">
                  <c:v>718.1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434.29999999999995</c:v>
                </c:pt>
                <c:pt idx="5">
                  <c:v>540.6</c:v>
                </c:pt>
                <c:pt idx="6">
                  <c:v>625.6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0.22686582781803447"/>
                  <c:y val="-4.2691256830601097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2-4708-BEA0-B7424D955A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2-4708-BEA0-B7424D955A6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70.41490520833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8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Wavelength8" u="1"/>
        <s v="Rocket7" u="1"/>
        <s v="Saturn1" u="1"/>
        <s v="Quasar13" u="1"/>
        <s v="Venus1" u="1"/>
        <s v="Quasar1" u="1"/>
        <s v="Pegasus5" u="1"/>
        <s v="Wavelength9" u="1"/>
        <s v="Ursa5" u="1"/>
        <s v="Saturn2" u="1"/>
        <s v="Venus2" u="1"/>
        <s v="Quasar2" u="1"/>
        <s v="Venus3" u="1"/>
        <s v="Saturn3" u="1"/>
        <s v="Venus4" u="1"/>
        <s v="Quasar3" u="1"/>
        <s v="Saturn4" u="1"/>
        <s v="Titan1" u="1"/>
        <s v="Venus5" u="1"/>
        <s v="Quasar12" u="1"/>
        <s v="Ursa4" u="1"/>
        <s v="Quasar4" u="1"/>
        <s v="Titan2" u="1"/>
        <s v="Saturn5" u="1"/>
        <s v="Venus6" u="1"/>
        <s v="Pegasus4" u="1"/>
        <s v="Titan3" u="1"/>
        <s v="Quasar5" u="1"/>
        <s v="Venus7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75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2" u="1"/>
        <s v="$[SUBSTITUTE(SUBSTITUTE(AE2, &quot;itan&quot;, &quot;&quot;), &quot;aturn&quot;, &quot;&quot;)]" u="1"/>
        <s v="V7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$[SUBSTITUTE(SUBSTITUTE(AE2, &quot;enus&quot;, &quot;&quot;), &quot;rsa&quot;, &quot;&quot;)]" u="1"/>
        <s v="P3" u="1"/>
        <s v="V2" u="1"/>
        <s v="Q8" u="1"/>
        <s v="P5" u="1"/>
        <s v="V4" u="1"/>
        <s v="U1" u="1"/>
        <s v="W9" u="1"/>
        <s v="$[=SUBSTITUTE(SUBSTITUTE(SUBSTITUTE(AE3, &quot;ocket&quot;, &quot;&quot;), &quot;uasar&quot;, &quot;&quot;), &quot;egasus&quot;, &quot;&quot;)]" u="1"/>
        <s v="V6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V1" u="1"/>
        <s v="Q7" u="1"/>
        <s v="P4" u="1"/>
        <s v="V3" u="1"/>
        <s v="Q9" u="1"/>
        <s v="$[= SUBSTITUTE('Last Sprint', &quot;uasar&quot;, &quot;&quot;)]" u="1"/>
        <s v="P6" u="1"/>
        <s v="W8" u="1"/>
        <s v="V5" u="1"/>
      </sharedItems>
    </cacheField>
    <cacheField name="Release" numFmtId="0">
      <sharedItems containsBlank="1" count="10">
        <s v="${issue.fixVersions.name}"/>
        <m/>
        <s v="Venus"/>
        <s v="Wavelength"/>
        <s v="Rocket" u="1"/>
        <s v="Titan" u="1"/>
        <s v="Saturn" u="1"/>
        <s v="Ursa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8"/>
    <x v="8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8"/>
    <x v="8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9"/>
        <item m="1" x="8"/>
        <item m="1" x="4"/>
        <item m="1" x="6"/>
        <item m="1" x="5"/>
        <item m="1" x="7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6">
        <item h="1" m="1" x="71"/>
        <item h="1" m="1" x="60"/>
        <item h="1" m="1" x="59"/>
        <item h="1" m="1" x="29"/>
        <item h="1" m="1" x="63"/>
        <item h="1" m="1" x="33"/>
        <item h="1" m="1" x="64"/>
        <item h="1" m="1" x="35"/>
        <item h="1" m="1" x="67"/>
        <item h="1" m="1" x="39"/>
        <item h="1" m="1" x="70"/>
        <item h="1" x="1"/>
        <item h="1" m="1" x="18"/>
        <item h="1" m="1" x="20"/>
        <item h="1" m="1" x="23"/>
        <item h="1" m="1" x="25"/>
        <item h="1" m="1" x="27"/>
        <item h="1" m="1" x="44"/>
        <item h="1" m="1" x="32"/>
        <item h="1" m="1" x="31"/>
        <item h="1" m="1" x="34"/>
        <item h="1" m="1" x="65"/>
        <item h="1" m="1" x="37"/>
        <item h="1" m="1" x="68"/>
        <item h="1" m="1" x="40"/>
        <item h="1" m="1" x="72"/>
        <item h="1" m="1" x="22"/>
        <item h="1" m="1" x="55"/>
        <item h="1" m="1" x="26"/>
        <item h="1" m="1" x="58"/>
        <item h="1" m="1" x="28"/>
        <item h="1" m="1" x="61"/>
        <item h="1" m="1" x="30"/>
        <item h="1" m="1" x="51"/>
        <item h="1" m="1" x="17"/>
        <item h="1" m="1" x="53"/>
        <item h="1" m="1" x="21"/>
        <item h="1" m="1" x="54"/>
        <item h="1" m="1" x="24"/>
        <item h="1" m="1" x="57"/>
        <item h="1" m="1" x="56"/>
        <item h="1" m="1" x="10"/>
        <item h="1" m="1" x="13"/>
        <item h="1" m="1" x="48"/>
        <item h="1" m="1" x="15"/>
        <item h="1" m="1" x="50"/>
        <item h="1" m="1" x="16"/>
        <item h="1" m="1" x="52"/>
        <item h="1" m="1" x="19"/>
        <item h="1" m="1" x="42"/>
        <item h="1" m="1" x="9"/>
        <item h="1" m="1" x="46"/>
        <item h="1" m="1" x="12"/>
        <item h="1" m="1" x="47"/>
        <item h="1" m="1" x="14"/>
        <item h="1" m="1" x="49"/>
        <item h="1" m="1" x="62"/>
        <item h="1" m="1" x="36"/>
        <item h="1" m="1" x="66"/>
        <item h="1" m="1" x="38"/>
        <item h="1" m="1" x="69"/>
        <item h="1" m="1" x="41"/>
        <item h="1" m="1" x="74"/>
        <item h="1" m="1" x="45"/>
        <item h="1" m="1" x="11"/>
        <item h="1" x="0"/>
        <item x="2"/>
        <item x="3"/>
        <item x="4"/>
        <item x="5"/>
        <item x="6"/>
        <item x="7"/>
        <item x="8"/>
        <item h="1" m="1" x="73"/>
        <item h="1" m="1" x="43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9">
        <item x="0"/>
        <item m="1" x="18"/>
        <item m="1" x="9"/>
        <item m="1" x="63"/>
        <item m="1" x="48"/>
        <item m="1" x="29"/>
        <item m="1" x="19"/>
        <item m="1" x="11"/>
        <item m="1" x="64"/>
        <item m="1" x="28"/>
        <item m="1" x="67"/>
        <item m="1" x="60"/>
        <item m="1" x="42"/>
        <item m="1" x="26"/>
        <item m="1" x="16"/>
        <item m="1" x="34"/>
        <item m="1" x="38"/>
        <item m="1" x="44"/>
        <item m="1" x="50"/>
        <item m="1" x="54"/>
        <item m="1" x="58"/>
        <item m="1" x="62"/>
        <item m="1" x="65"/>
        <item x="1"/>
        <item m="1" x="10"/>
        <item m="1" x="13"/>
        <item m="1" x="15"/>
        <item m="1" x="17"/>
        <item m="1" x="20"/>
        <item m="1" x="22"/>
        <item m="1" x="24"/>
        <item m="1" x="25"/>
        <item m="1" x="32"/>
        <item m="1" x="36"/>
        <item m="1" x="39"/>
        <item m="1" x="46"/>
        <item m="1" x="52"/>
        <item m="1" x="55"/>
        <item m="1" x="40"/>
        <item m="1" x="45"/>
        <item m="1" x="49"/>
        <item m="1" x="53"/>
        <item m="1" x="56"/>
        <item m="1" x="59"/>
        <item m="1" x="61"/>
        <item m="1" x="12"/>
        <item m="1" x="66"/>
        <item m="1" x="57"/>
        <item m="1" x="43"/>
        <item m="1" x="31"/>
        <item m="1" x="21"/>
        <item m="1" x="14"/>
        <item m="1" x="27"/>
        <item m="1" x="33"/>
        <item m="1" x="35"/>
        <item m="1" x="37"/>
        <item m="1" x="41"/>
        <item m="1" x="47"/>
        <item m="1" x="51"/>
        <item x="2"/>
        <item x="3"/>
        <item x="4"/>
        <item x="5"/>
        <item x="6"/>
        <item x="7"/>
        <item x="8"/>
        <item m="1" x="23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6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6">
        <item h="1" m="1" x="71"/>
        <item h="1" m="1" x="59"/>
        <item h="1" m="1" x="29"/>
        <item h="1" m="1" x="63"/>
        <item h="1" m="1" x="33"/>
        <item h="1" m="1" x="64"/>
        <item h="1" m="1" x="35"/>
        <item h="1" m="1" x="67"/>
        <item h="1" m="1" x="39"/>
        <item h="1" m="1" x="70"/>
        <item h="1" x="1"/>
        <item h="1" m="1" x="18"/>
        <item h="1" m="1" x="20"/>
        <item h="1" m="1" x="23"/>
        <item h="1" m="1" x="25"/>
        <item h="1" m="1" x="27"/>
        <item h="1" m="1" x="60"/>
        <item h="1" m="1" x="44"/>
        <item h="1" m="1" x="32"/>
        <item h="1" m="1" x="31"/>
        <item h="1" m="1" x="34"/>
        <item h="1" m="1" x="65"/>
        <item h="1" m="1" x="37"/>
        <item h="1" m="1" x="68"/>
        <item h="1" m="1" x="40"/>
        <item h="1" m="1" x="72"/>
        <item h="1" m="1" x="22"/>
        <item h="1" m="1" x="55"/>
        <item h="1" m="1" x="26"/>
        <item h="1" m="1" x="58"/>
        <item h="1" m="1" x="28"/>
        <item h="1" m="1" x="61"/>
        <item h="1" m="1" x="30"/>
        <item h="1" m="1" x="51"/>
        <item h="1" m="1" x="17"/>
        <item h="1" m="1" x="53"/>
        <item h="1" m="1" x="21"/>
        <item h="1" m="1" x="54"/>
        <item h="1" m="1" x="24"/>
        <item h="1" m="1" x="57"/>
        <item h="1" m="1" x="56"/>
        <item h="1" m="1" x="10"/>
        <item h="1" m="1" x="13"/>
        <item h="1" m="1" x="48"/>
        <item h="1" m="1" x="15"/>
        <item h="1" m="1" x="50"/>
        <item h="1" m="1" x="16"/>
        <item h="1" m="1" x="52"/>
        <item h="1" m="1" x="19"/>
        <item h="1" m="1" x="42"/>
        <item h="1" m="1" x="9"/>
        <item h="1" m="1" x="46"/>
        <item h="1" m="1" x="12"/>
        <item h="1" m="1" x="47"/>
        <item h="1" m="1" x="14"/>
        <item h="1" m="1" x="49"/>
        <item h="1" m="1" x="62"/>
        <item h="1" m="1" x="36"/>
        <item h="1" m="1" x="66"/>
        <item h="1" m="1" x="38"/>
        <item h="1" m="1" x="69"/>
        <item h="1" m="1" x="41"/>
        <item h="1" m="1" x="74"/>
        <item h="1" m="1" x="45"/>
        <item h="1" m="1" x="11"/>
        <item h="1" x="0"/>
        <item x="2"/>
        <item x="3"/>
        <item x="4"/>
        <item x="5"/>
        <item x="6"/>
        <item x="7"/>
        <item x="8"/>
        <item h="1" m="1" x="73"/>
        <item h="1" m="1" x="43"/>
        <item t="default"/>
      </items>
    </pivotField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9"/>
        <item m="1" x="8"/>
        <item h="1" x="1"/>
        <item m="1" x="4"/>
        <item m="1" x="6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6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9"/>
        <item m="1" x="8"/>
        <item x="1"/>
        <item m="1" x="4"/>
        <item m="1" x="6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50" totalsRowShown="0" headerRowDxfId="8" headerRowBorderDxfId="7">
  <autoFilter ref="B42:H50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  <c r="L10">
        <v>105.25</v>
      </c>
    </row>
    <row r="11" spans="2:13" x14ac:dyDescent="0.3">
      <c r="B11" s="17" t="s">
        <v>266</v>
      </c>
      <c r="C11" s="20">
        <v>60</v>
      </c>
      <c r="K11" t="s">
        <v>265</v>
      </c>
      <c r="L11">
        <v>108.3</v>
      </c>
    </row>
    <row r="12" spans="2:13" x14ac:dyDescent="0.3">
      <c r="B12" s="17" t="s">
        <v>267</v>
      </c>
      <c r="C12" s="20"/>
      <c r="K12" t="s">
        <v>266</v>
      </c>
      <c r="L12">
        <v>93</v>
      </c>
    </row>
    <row r="13" spans="2:13" x14ac:dyDescent="0.3">
      <c r="B13" s="17" t="s">
        <v>50</v>
      </c>
      <c r="C13" s="20">
        <v>370</v>
      </c>
      <c r="K13" t="s">
        <v>267</v>
      </c>
      <c r="M13" s="20"/>
    </row>
    <row r="14" spans="2:13" x14ac:dyDescent="0.3">
      <c r="K14" t="s">
        <v>186</v>
      </c>
      <c r="L14">
        <f>SUBTOTAL(109,Table1[R&amp;D])</f>
        <v>590.20000000000005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N29" sqref="N29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Wavelength7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31</v>
      </c>
    </row>
    <row r="8" spans="1:5" x14ac:dyDescent="0.3">
      <c r="D8" s="17" t="s">
        <v>147</v>
      </c>
      <c r="E8" s="20">
        <v>31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151</v>
      </c>
      <c r="E12" s="20"/>
    </row>
    <row r="13" spans="1:5" x14ac:dyDescent="0.3">
      <c r="D13" s="17" t="s">
        <v>183</v>
      </c>
      <c r="E13" s="20">
        <v>10</v>
      </c>
    </row>
    <row r="14" spans="1:5" x14ac:dyDescent="0.3">
      <c r="D14" s="17" t="s">
        <v>50</v>
      </c>
      <c r="E14" s="20">
        <v>76</v>
      </c>
    </row>
    <row r="15" spans="1:5" x14ac:dyDescent="0.3">
      <c r="D15" t="s">
        <v>50</v>
      </c>
      <c r="E15">
        <f>GETPIVOTDATA("Story Points", $D$5)</f>
        <v>76</v>
      </c>
    </row>
    <row r="16" spans="1:5" x14ac:dyDescent="0.3">
      <c r="D16" t="s">
        <v>251</v>
      </c>
      <c r="E16" t="str">
        <f>"Sprint " &amp; SUBSTITUTE($B$1,"Venus", "") &amp; " Progress"</f>
        <v>Sprint Wavelength7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W1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50" si="1">B32</f>
        <v>W2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W4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W5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 t="str">
        <f t="shared" si="1"/>
        <v>W7</v>
      </c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 t="str">
        <f t="shared" si="1"/>
        <v>Grand Total</v>
      </c>
      <c r="C50" s="20">
        <f t="shared" si="2"/>
        <v>2</v>
      </c>
      <c r="D50" s="20">
        <f t="shared" si="2"/>
        <v>1</v>
      </c>
      <c r="E50" s="20">
        <f t="shared" si="2"/>
        <v>1</v>
      </c>
      <c r="F50" s="20">
        <f t="shared" si="2"/>
        <v>2</v>
      </c>
      <c r="G50" s="20">
        <f t="shared" si="2"/>
        <v>1</v>
      </c>
      <c r="H50" s="20">
        <f t="shared" si="2"/>
        <v>7</v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Wavelength7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Wavelength7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Wavelength7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Wavelength7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Wavelength7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Wavelength7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Wavelength7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275</v>
      </c>
      <c r="AF64" s="5" t="s">
        <v>267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275</v>
      </c>
      <c r="AF65" s="5" t="s">
        <v>267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24.44140625" bestFit="1" customWidth="1"/>
    <col min="5" max="5" width="13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6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91" t="s">
        <v>134</v>
      </c>
      <c r="R1" s="91"/>
      <c r="S1" s="91" t="s">
        <v>254</v>
      </c>
      <c r="T1" s="91"/>
      <c r="U1" s="91" t="s">
        <v>258</v>
      </c>
      <c r="V1" s="91"/>
      <c r="W1" s="91" t="s">
        <v>259</v>
      </c>
      <c r="X1" s="91"/>
      <c r="AB1" s="16" t="s">
        <v>134</v>
      </c>
      <c r="AC1" t="s">
        <v>260</v>
      </c>
      <c r="AF1" s="91" t="s">
        <v>281</v>
      </c>
      <c r="AG1" s="91"/>
      <c r="AH1" s="91"/>
      <c r="AI1" s="91"/>
    </row>
    <row r="2" spans="1:35" x14ac:dyDescent="0.3">
      <c r="A2" t="s">
        <v>136</v>
      </c>
      <c r="B2" s="44">
        <f ca="1">MAX(NETWORKDAYS($D$3,$E$6,$Z$3:$Z$9)/NETWORKDAYS($D$3,$E$3,$Z$3:$Z$9),0%)</f>
        <v>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43970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605.97014925373139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501.49253731343288</v>
      </c>
      <c r="R5" s="40">
        <v>408.8</v>
      </c>
      <c r="S5" s="42">
        <f t="shared" ref="S5:S9" si="2">$Q$26*(100%-K5)</f>
        <v>186.26865671641792</v>
      </c>
      <c r="T5" s="42">
        <v>139.30000000000001</v>
      </c>
      <c r="U5" s="40">
        <f t="shared" ref="U5:U9" si="3">$Q$27*(100%-L5)</f>
        <v>143.28358208955225</v>
      </c>
      <c r="V5" s="42">
        <v>139</v>
      </c>
      <c r="W5" s="40">
        <f t="shared" ref="W5:W9" si="4">$Q$28*(100%-K5)</f>
        <v>42.985074626865675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43970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397.01492537313436</v>
      </c>
      <c r="R6" s="42">
        <v>387.8</v>
      </c>
      <c r="S6" s="42">
        <f t="shared" ref="S6" si="6">$Q$26*(100%-K6)</f>
        <v>147.46268656716421</v>
      </c>
      <c r="T6" s="42">
        <v>85.3</v>
      </c>
      <c r="U6" s="40">
        <f t="shared" ref="U6" si="7">$Q$27*(100%-L6)</f>
        <v>113.43283582089553</v>
      </c>
      <c r="V6" s="42">
        <v>115</v>
      </c>
      <c r="W6" s="40">
        <f t="shared" ref="W6" si="8">$Q$28*(100%-K6)</f>
        <v>34.029850746268664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0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0" si="11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>
        <v>0.57999999999999996</v>
      </c>
      <c r="N7" s="76">
        <v>0.87</v>
      </c>
      <c r="O7" s="76">
        <v>0.39</v>
      </c>
      <c r="P7" s="76">
        <v>0.56000000000000005</v>
      </c>
      <c r="Q7" s="40">
        <f t="shared" si="1"/>
        <v>292.53731343283579</v>
      </c>
      <c r="R7" s="42">
        <v>311.5</v>
      </c>
      <c r="S7" s="42">
        <f t="shared" si="2"/>
        <v>108.65671641791045</v>
      </c>
      <c r="T7" s="42">
        <v>36</v>
      </c>
      <c r="U7" s="40">
        <f t="shared" si="3"/>
        <v>83.582089552238799</v>
      </c>
      <c r="V7" s="42">
        <v>115</v>
      </c>
      <c r="W7" s="40">
        <f t="shared" si="4"/>
        <v>25.07462686567164</v>
      </c>
      <c r="X7" s="42">
        <v>26</v>
      </c>
      <c r="Z7" s="32"/>
      <c r="AB7" s="17" t="s">
        <v>254</v>
      </c>
      <c r="AC7" s="20">
        <v>100</v>
      </c>
      <c r="AD7" s="20"/>
      <c r="AF7" s="36">
        <f>SUM($J$7:J7)/SUM($J$7:$J$10)</f>
        <v>0.26315789473684209</v>
      </c>
      <c r="AG7" s="76">
        <v>0.63</v>
      </c>
      <c r="AH7" s="40">
        <f t="shared" si="9"/>
        <v>51.578947368421055</v>
      </c>
      <c r="AI7" s="42">
        <v>20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>
        <v>0.72</v>
      </c>
      <c r="N8" s="76">
        <v>0.94</v>
      </c>
      <c r="O8" s="76">
        <v>0.44</v>
      </c>
      <c r="P8" s="76">
        <v>0.83</v>
      </c>
      <c r="Q8" s="40">
        <f t="shared" si="1"/>
        <v>198.50746268656718</v>
      </c>
      <c r="R8" s="42">
        <v>212</v>
      </c>
      <c r="S8" s="42">
        <f t="shared" si="2"/>
        <v>73.731343283582106</v>
      </c>
      <c r="T8" s="42">
        <v>17</v>
      </c>
      <c r="U8" s="40">
        <f t="shared" si="3"/>
        <v>56.716417910447767</v>
      </c>
      <c r="V8" s="42">
        <v>105</v>
      </c>
      <c r="W8" s="40">
        <f t="shared" si="4"/>
        <v>17.014925373134332</v>
      </c>
      <c r="X8" s="42">
        <v>10</v>
      </c>
      <c r="Z8" s="32"/>
      <c r="AB8" s="17" t="s">
        <v>277</v>
      </c>
      <c r="AC8" s="20">
        <v>50</v>
      </c>
      <c r="AD8" s="20">
        <v>150</v>
      </c>
      <c r="AF8" s="36">
        <f>SUM($J$7:J8)/SUM($J$7:$J$10)</f>
        <v>0.5</v>
      </c>
      <c r="AG8" s="76">
        <v>0.87</v>
      </c>
      <c r="AH8" s="40">
        <f t="shared" si="9"/>
        <v>35</v>
      </c>
      <c r="AI8" s="42">
        <v>10</v>
      </c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36">
        <f>SUM($J$4:J9)/SUM($J$4:$J$10)</f>
        <v>0.86567164179104472</v>
      </c>
      <c r="L9" s="36">
        <f>SUM($J$4:J9)/SUM($J$4:$J$10)</f>
        <v>0.86567164179104472</v>
      </c>
      <c r="M9" s="70">
        <v>0.87</v>
      </c>
      <c r="N9" s="76">
        <v>0.98</v>
      </c>
      <c r="O9" s="76">
        <v>0.87</v>
      </c>
      <c r="P9" s="76">
        <v>0.83</v>
      </c>
      <c r="Q9" s="42">
        <f t="shared" si="1"/>
        <v>94.029850746268693</v>
      </c>
      <c r="R9" s="42">
        <v>92.5</v>
      </c>
      <c r="S9" s="42">
        <f t="shared" si="2"/>
        <v>34.925373134328375</v>
      </c>
      <c r="T9" s="42">
        <v>7</v>
      </c>
      <c r="U9" s="42">
        <f t="shared" si="3"/>
        <v>26.865671641791057</v>
      </c>
      <c r="V9" s="42">
        <v>21</v>
      </c>
      <c r="W9" s="42">
        <f t="shared" si="4"/>
        <v>8.0597014925373163</v>
      </c>
      <c r="X9" s="42">
        <v>10</v>
      </c>
      <c r="Z9" s="32"/>
      <c r="AB9" s="17" t="s">
        <v>278</v>
      </c>
      <c r="AC9" s="20">
        <v>50</v>
      </c>
      <c r="AD9" s="20">
        <v>150</v>
      </c>
      <c r="AF9" s="36">
        <f>SUM($J$7:J9)/SUM($J$7:$J$10)</f>
        <v>0.76315789473684215</v>
      </c>
      <c r="AG9" s="76">
        <v>0.97</v>
      </c>
      <c r="AH9" s="40">
        <f t="shared" si="9"/>
        <v>16.578947368421051</v>
      </c>
      <c r="AI9" s="42">
        <v>2</v>
      </c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" si="12">I9+1</f>
        <v>43957</v>
      </c>
      <c r="I10" s="73">
        <f t="shared" si="11"/>
        <v>43970</v>
      </c>
      <c r="J10" s="74">
        <f t="shared" ref="J10" si="13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>
        <f>100%-GETPIVOTDATA("Epic Remaining Estimate",$AB$4)/GETPIVOTDATA("Epic Total Estimate",$AB$4)</f>
        <v>0.25</v>
      </c>
      <c r="N10" s="77">
        <f>100%-GETPIVOTDATA("Epic Remaining Estimate",$AB$4,"ST:Components","Admin")/GETPIVOTDATA("Epic Total Estimate",$AB$4,"ST:Components","Admin")</f>
        <v>1</v>
      </c>
      <c r="O10" s="77">
        <f>100%-GETPIVOTDATA("Epic Remaining Estimate",$AB$4,"ST:Components","Visio Import/Export")/GETPIVOTDATA("Epic Total Estimate",$AB$4,"ST:Components","Visio Import/Export")</f>
        <v>-2</v>
      </c>
      <c r="P10" s="77">
        <f>100%-GETPIVOTDATA("Epic Remaining Estimate",$AB$4,"ST:Components","Logging and Audit")/GETPIVOTDATA("Epic Total Estimate",$AB$4,"ST:Components","Logging and Audit")</f>
        <v>-2</v>
      </c>
      <c r="Q10" s="71">
        <f t="shared" ref="Q10" si="14">$Q$25*(100%-K10)</f>
        <v>0</v>
      </c>
      <c r="R10" s="71">
        <f>GETPIVOTDATA("Epic Remaining Estimate",$AB$4)</f>
        <v>450</v>
      </c>
      <c r="S10" s="71">
        <f t="shared" ref="S10" si="15">$Q$26*(100%-K10)</f>
        <v>0</v>
      </c>
      <c r="T10" s="71">
        <f>GETPIVOTDATA("Epic Remaining Estimate",$AB$4,"ST:Components","Admin")</f>
        <v>0</v>
      </c>
      <c r="U10" s="71">
        <f t="shared" ref="U10" si="16">$Q$27*(100%-L10)</f>
        <v>0</v>
      </c>
      <c r="V10" s="71">
        <f>GETPIVOTDATA("Epic Remaining Estimate",$AB$4,"ST:Components","Visio Import/Export")</f>
        <v>150</v>
      </c>
      <c r="W10" s="71">
        <f t="shared" ref="W10" si="17">$Q$28*(100%-K10)</f>
        <v>0</v>
      </c>
      <c r="X10" s="71">
        <f>GETPIVOTDATA("Epic Remaining Estimate",$AB$4,"ST:Components","Logging and Audit")</f>
        <v>150</v>
      </c>
      <c r="Z10" s="32"/>
      <c r="AB10" s="17" t="s">
        <v>281</v>
      </c>
      <c r="AC10" s="20">
        <v>100</v>
      </c>
      <c r="AD10" s="20">
        <v>150</v>
      </c>
      <c r="AF10" s="75">
        <f>SUM($J$7:J10)/SUM($J$7:$J$10)</f>
        <v>1</v>
      </c>
      <c r="AG10" s="77">
        <f>100%-GETPIVOTDATA("Epic Remaining Estimate",$AB$4,"ST:Components","UiPath Integration")/GETPIVOTDATA("Epic Total Estimate",$AB$4,"ST:Components","UiPath Integration")</f>
        <v>-0.5</v>
      </c>
      <c r="AH10" s="71">
        <f t="shared" si="9"/>
        <v>0</v>
      </c>
      <c r="AI10" s="71">
        <f>GETPIVOTDATA("Epic Remaining Estimate",$AB$4,"ST:Components","UiPath Integration")</f>
        <v>150</v>
      </c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1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1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3"/>
      <c r="B1" s="93"/>
      <c r="C1" s="93"/>
      <c r="D1" s="92" t="s">
        <v>134</v>
      </c>
      <c r="E1" s="92"/>
      <c r="F1" s="92"/>
      <c r="G1" s="92"/>
      <c r="H1" s="92"/>
      <c r="I1" s="92"/>
      <c r="J1" s="92"/>
      <c r="K1" s="92"/>
      <c r="L1" s="92" t="s">
        <v>254</v>
      </c>
      <c r="M1" s="92"/>
      <c r="N1" s="92"/>
      <c r="O1" s="92"/>
      <c r="P1" s="92"/>
      <c r="Q1" s="92"/>
      <c r="R1" s="92"/>
      <c r="S1" s="92"/>
      <c r="T1" s="92" t="s">
        <v>258</v>
      </c>
      <c r="U1" s="92"/>
      <c r="V1" s="92"/>
      <c r="W1" s="92"/>
      <c r="X1" s="92"/>
      <c r="Y1" s="92"/>
      <c r="Z1" s="92"/>
      <c r="AA1" s="92"/>
      <c r="AB1" s="92" t="s">
        <v>259</v>
      </c>
      <c r="AC1" s="92"/>
      <c r="AD1" s="92"/>
      <c r="AE1" s="92"/>
      <c r="AF1" s="92"/>
      <c r="AG1" s="92"/>
      <c r="AH1" s="92"/>
      <c r="AI1" s="92"/>
      <c r="AR1" s="92" t="s">
        <v>281</v>
      </c>
      <c r="AS1" s="92"/>
      <c r="AT1" s="92"/>
      <c r="AU1" s="92"/>
      <c r="AV1" s="92"/>
      <c r="AW1" s="92"/>
      <c r="AX1" s="92"/>
      <c r="AY1" s="92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6:AV7" si="36">AR6-AW6</f>
        <v>0</v>
      </c>
      <c r="AW6" s="40">
        <v>71.3</v>
      </c>
      <c r="AX6" s="33">
        <f t="shared" ref="AX6:AX10" si="37" xml:space="preserve"> AU6/AR6</f>
        <v>0.74754558204768584</v>
      </c>
      <c r="AY6" s="33">
        <f t="shared" ref="AY6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v>745.8</v>
      </c>
      <c r="E7" s="58">
        <f>_ReleaseData!$Q$25</f>
        <v>700</v>
      </c>
      <c r="F7" s="40">
        <v>745.8</v>
      </c>
      <c r="G7" s="40">
        <v>730.3</v>
      </c>
      <c r="H7" s="40">
        <f t="shared" ref="H7" si="39">D7-I7</f>
        <v>434.29999999999995</v>
      </c>
      <c r="I7" s="40">
        <v>311.5</v>
      </c>
      <c r="J7" s="33">
        <f t="shared" ref="J7" si="40" xml:space="preserve"> G7/D7</f>
        <v>0.97921694824349692</v>
      </c>
      <c r="K7" s="33">
        <f t="shared" ref="K7" si="41" xml:space="preserve"> H7/D7</f>
        <v>0.58232770179672833</v>
      </c>
      <c r="L7" s="59">
        <v>279.8</v>
      </c>
      <c r="M7" s="58">
        <f>_ReleaseData!$Q$26</f>
        <v>260</v>
      </c>
      <c r="N7" s="40">
        <v>279.8</v>
      </c>
      <c r="O7" s="40">
        <v>279.8</v>
      </c>
      <c r="P7" s="40">
        <f t="shared" ref="P7" si="42">L7-Q7</f>
        <v>243.8</v>
      </c>
      <c r="Q7" s="40">
        <v>36</v>
      </c>
      <c r="R7" s="33">
        <f t="shared" ref="R7" si="43" xml:space="preserve"> O7/L7</f>
        <v>1</v>
      </c>
      <c r="S7" s="33">
        <f t="shared" ref="S7" si="44" xml:space="preserve"> P7/L7</f>
        <v>0.87133666904932094</v>
      </c>
      <c r="T7" s="57">
        <v>188</v>
      </c>
      <c r="U7" s="58">
        <f>_ReleaseData!$Q$27</f>
        <v>200</v>
      </c>
      <c r="V7" s="40">
        <v>188</v>
      </c>
      <c r="W7" s="40">
        <v>188</v>
      </c>
      <c r="X7" s="40">
        <f t="shared" ref="X7" si="45">T7-Y7</f>
        <v>73</v>
      </c>
      <c r="Y7" s="40">
        <v>115</v>
      </c>
      <c r="Z7" s="33">
        <f t="shared" ref="Z7" si="46" xml:space="preserve"> W7/T7</f>
        <v>1</v>
      </c>
      <c r="AA7" s="33">
        <f t="shared" ref="AA7" si="47">X7/T7</f>
        <v>0.38829787234042551</v>
      </c>
      <c r="AB7" s="57">
        <v>59</v>
      </c>
      <c r="AC7" s="58">
        <f>_ReleaseData!$Q$28</f>
        <v>60</v>
      </c>
      <c r="AD7" s="40">
        <v>59</v>
      </c>
      <c r="AE7" s="40">
        <v>59</v>
      </c>
      <c r="AF7" s="40">
        <f t="shared" ref="AF7" si="48">AB7-AG7</f>
        <v>33</v>
      </c>
      <c r="AG7" s="40">
        <v>26</v>
      </c>
      <c r="AH7" s="33">
        <f t="shared" ref="AH7" si="49" xml:space="preserve"> AE7/AB7</f>
        <v>1</v>
      </c>
      <c r="AI7" s="33">
        <f t="shared" ref="AI7" si="50">AF7/AB7</f>
        <v>0.55932203389830504</v>
      </c>
      <c r="AL7" s="16" t="s">
        <v>134</v>
      </c>
      <c r="AM7" t="s">
        <v>260</v>
      </c>
      <c r="AR7" s="57">
        <v>54.3</v>
      </c>
      <c r="AS7" s="58">
        <f>_ReleaseData!$Q$29</f>
        <v>70</v>
      </c>
      <c r="AT7" s="40">
        <v>54.3</v>
      </c>
      <c r="AU7" s="40">
        <v>54.3</v>
      </c>
      <c r="AV7" s="40">
        <f t="shared" si="36"/>
        <v>34.299999999999997</v>
      </c>
      <c r="AW7" s="40">
        <v>20</v>
      </c>
      <c r="AX7" s="33">
        <f t="shared" si="37"/>
        <v>1</v>
      </c>
      <c r="AY7" s="33">
        <f t="shared" si="38"/>
        <v>0.63167587476979736</v>
      </c>
    </row>
    <row r="8" spans="1:51" x14ac:dyDescent="0.3">
      <c r="A8" t="s">
        <v>265</v>
      </c>
      <c r="B8" s="60">
        <v>43929</v>
      </c>
      <c r="C8" s="60">
        <v>43942</v>
      </c>
      <c r="D8" s="57">
        <v>752.6</v>
      </c>
      <c r="E8" s="58">
        <f>_ReleaseData!$Q$25</f>
        <v>700</v>
      </c>
      <c r="F8" s="40">
        <v>752.6</v>
      </c>
      <c r="G8" s="40">
        <v>745.6</v>
      </c>
      <c r="H8" s="40">
        <f t="shared" ref="H8" si="51">D8-I8</f>
        <v>540.6</v>
      </c>
      <c r="I8" s="40">
        <v>212</v>
      </c>
      <c r="J8" s="33">
        <f t="shared" ref="J8" si="52" xml:space="preserve"> G8/D8</f>
        <v>0.99069891044379488</v>
      </c>
      <c r="K8" s="33">
        <f t="shared" ref="K8" si="53" xml:space="preserve"> H8/D8</f>
        <v>0.71830985915492962</v>
      </c>
      <c r="L8" s="59">
        <v>290.60000000000002</v>
      </c>
      <c r="M8" s="58">
        <f>_ReleaseData!$Q$26</f>
        <v>260</v>
      </c>
      <c r="N8" s="40">
        <v>290.60000000000002</v>
      </c>
      <c r="O8" s="40">
        <v>290.60000000000002</v>
      </c>
      <c r="P8" s="40">
        <f t="shared" ref="P8" si="54">L8-Q8</f>
        <v>273.60000000000002</v>
      </c>
      <c r="Q8" s="40">
        <v>17</v>
      </c>
      <c r="R8" s="33">
        <f t="shared" ref="R8" si="55" xml:space="preserve"> O8/L8</f>
        <v>1</v>
      </c>
      <c r="S8" s="33">
        <f t="shared" ref="S8" si="56" xml:space="preserve"> P8/L8</f>
        <v>0.94150034411562289</v>
      </c>
      <c r="T8" s="57">
        <v>188</v>
      </c>
      <c r="U8" s="58">
        <f>_ReleaseData!$Q$27</f>
        <v>200</v>
      </c>
      <c r="V8" s="40">
        <v>188</v>
      </c>
      <c r="W8" s="40">
        <v>188</v>
      </c>
      <c r="X8" s="40">
        <f t="shared" ref="X8" si="57">T8-Y8</f>
        <v>83</v>
      </c>
      <c r="Y8" s="40">
        <v>105</v>
      </c>
      <c r="Z8" s="33">
        <f t="shared" ref="Z8" si="58" xml:space="preserve"> W8/T8</f>
        <v>1</v>
      </c>
      <c r="AA8" s="33">
        <f t="shared" ref="AA8" si="59">X8/T8</f>
        <v>0.44148936170212766</v>
      </c>
      <c r="AB8" s="57">
        <v>59</v>
      </c>
      <c r="AC8" s="58">
        <f>_ReleaseData!$Q$28</f>
        <v>60</v>
      </c>
      <c r="AD8" s="40">
        <v>59</v>
      </c>
      <c r="AE8" s="40">
        <v>59</v>
      </c>
      <c r="AF8" s="40">
        <f t="shared" ref="AF8" si="60">AB8-AG8</f>
        <v>49</v>
      </c>
      <c r="AG8" s="40">
        <v>10</v>
      </c>
      <c r="AH8" s="33">
        <f t="shared" ref="AH8" si="61" xml:space="preserve"> AE8/AB8</f>
        <v>1</v>
      </c>
      <c r="AI8" s="33">
        <f t="shared" ref="AI8" si="62">AF8/AB8</f>
        <v>0.83050847457627119</v>
      </c>
      <c r="AL8" s="16" t="s">
        <v>246</v>
      </c>
      <c r="AM8" t="s">
        <v>217</v>
      </c>
      <c r="AR8" s="57">
        <v>76.3</v>
      </c>
      <c r="AS8" s="58">
        <f>_ReleaseData!$Q$29</f>
        <v>70</v>
      </c>
      <c r="AT8" s="40">
        <v>76.3</v>
      </c>
      <c r="AU8" s="40">
        <v>76.3</v>
      </c>
      <c r="AV8" s="40">
        <f t="shared" ref="AV8" si="63">AR8-AW8</f>
        <v>66.3</v>
      </c>
      <c r="AW8" s="40">
        <v>10</v>
      </c>
      <c r="AX8" s="33">
        <f t="shared" ref="AX8" si="64" xml:space="preserve"> AU8/AR8</f>
        <v>1</v>
      </c>
      <c r="AY8" s="33">
        <f t="shared" ref="AY8" si="65">AV8/AR8</f>
        <v>0.86893840104849274</v>
      </c>
    </row>
    <row r="9" spans="1:51" x14ac:dyDescent="0.3">
      <c r="A9" t="s">
        <v>266</v>
      </c>
      <c r="B9" s="60">
        <v>43943</v>
      </c>
      <c r="C9" s="60">
        <v>43956</v>
      </c>
      <c r="D9" s="57">
        <v>718.1</v>
      </c>
      <c r="E9" s="58">
        <f>_ReleaseData!$Q$25</f>
        <v>700</v>
      </c>
      <c r="F9" s="40">
        <v>718.1</v>
      </c>
      <c r="G9" s="40">
        <v>718.1</v>
      </c>
      <c r="H9" s="40">
        <f t="shared" ref="H9" si="66">D9-I9</f>
        <v>625.6</v>
      </c>
      <c r="I9" s="40">
        <v>92.5</v>
      </c>
      <c r="J9" s="33">
        <f t="shared" ref="J9" si="67" xml:space="preserve"> G9/D9</f>
        <v>1</v>
      </c>
      <c r="K9" s="33">
        <f t="shared" ref="K9" si="68" xml:space="preserve"> H9/D9</f>
        <v>0.87118785684445066</v>
      </c>
      <c r="L9" s="59">
        <v>289.60000000000002</v>
      </c>
      <c r="M9" s="58">
        <f>_ReleaseData!$Q$26</f>
        <v>260</v>
      </c>
      <c r="N9" s="40">
        <v>289.60000000000002</v>
      </c>
      <c r="O9" s="40">
        <v>289.60000000000002</v>
      </c>
      <c r="P9" s="40">
        <f t="shared" ref="P9" si="69">L9-Q9</f>
        <v>282.60000000000002</v>
      </c>
      <c r="Q9" s="40">
        <v>7</v>
      </c>
      <c r="R9" s="33">
        <f t="shared" ref="R9" si="70" xml:space="preserve"> O9/L9</f>
        <v>1</v>
      </c>
      <c r="S9" s="33">
        <f t="shared" ref="S9" si="71" xml:space="preserve"> P9/L9</f>
        <v>0.975828729281768</v>
      </c>
      <c r="T9" s="57">
        <v>163</v>
      </c>
      <c r="U9" s="58">
        <f>_ReleaseData!$Q$27</f>
        <v>200</v>
      </c>
      <c r="V9" s="40">
        <v>163</v>
      </c>
      <c r="W9" s="40">
        <v>163</v>
      </c>
      <c r="X9" s="40">
        <f t="shared" ref="X9" si="72">T9-Y9</f>
        <v>142</v>
      </c>
      <c r="Y9" s="40">
        <v>21</v>
      </c>
      <c r="Z9" s="33">
        <f t="shared" ref="Z9" si="73" xml:space="preserve"> W9/T9</f>
        <v>1</v>
      </c>
      <c r="AA9" s="33">
        <f t="shared" ref="AA9" si="74">X9/T9</f>
        <v>0.87116564417177911</v>
      </c>
      <c r="AB9" s="57">
        <v>60</v>
      </c>
      <c r="AC9" s="58">
        <f>_ReleaseData!$Q$28</f>
        <v>60</v>
      </c>
      <c r="AD9" s="40">
        <v>60</v>
      </c>
      <c r="AE9" s="40">
        <v>60</v>
      </c>
      <c r="AF9" s="40">
        <f t="shared" ref="AF9" si="75">AB9-AG9</f>
        <v>50</v>
      </c>
      <c r="AG9" s="40">
        <v>10</v>
      </c>
      <c r="AH9" s="33">
        <f t="shared" ref="AH9" si="76" xml:space="preserve"> AE9/AB9</f>
        <v>1</v>
      </c>
      <c r="AI9" s="33">
        <f t="shared" ref="AI9" si="77">AF9/AB9</f>
        <v>0.83333333333333337</v>
      </c>
      <c r="AR9" s="57">
        <v>77.3</v>
      </c>
      <c r="AS9" s="58">
        <f>_ReleaseData!$Q$29</f>
        <v>70</v>
      </c>
      <c r="AT9" s="40">
        <v>77.3</v>
      </c>
      <c r="AU9" s="40">
        <v>77.3</v>
      </c>
      <c r="AV9" s="40">
        <f t="shared" ref="AV9" si="78">AR9-AW9</f>
        <v>75.3</v>
      </c>
      <c r="AW9" s="40">
        <v>2</v>
      </c>
      <c r="AX9" s="33">
        <f t="shared" ref="AX9" si="79" xml:space="preserve"> AU9/AR9</f>
        <v>1</v>
      </c>
      <c r="AY9" s="33">
        <f t="shared" ref="AY9" si="80">AV9/AR9</f>
        <v>0.97412677878395859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>
        <f>GETPIVOTDATA("Epic Total Estimate", $AL$8, "Type", "Epic")</f>
        <v>600</v>
      </c>
      <c r="E10" s="58">
        <f>_ReleaseData!$Q$25</f>
        <v>700</v>
      </c>
      <c r="F10" s="40">
        <f>GETPIVOTDATA("Stories Estimate", $AL$8, "Type", "Epic")</f>
        <v>0</v>
      </c>
      <c r="G10" s="40">
        <f>GETPIVOTDATA("Epic Decomposed", $AL$8, "Type", "Epic")</f>
        <v>540</v>
      </c>
      <c r="H10" s="40">
        <f t="shared" ref="H10" si="81">D10-I10</f>
        <v>150</v>
      </c>
      <c r="I10" s="40">
        <f>GETPIVOTDATA("Epic Remaining Estimate", $AL$8, "Type", "Epic")</f>
        <v>450</v>
      </c>
      <c r="J10" s="33">
        <f t="shared" ref="J10" si="82" xml:space="preserve"> G10/D10</f>
        <v>0.9</v>
      </c>
      <c r="K10" s="33">
        <f t="shared" ref="K10" si="83" xml:space="preserve"> H10/D10</f>
        <v>0.25</v>
      </c>
      <c r="L10" s="59">
        <f>GETPIVOTDATA("Epic Total Estimate", $AL$8, "Type", "Epic", "ST:Components", "Admin")</f>
        <v>100</v>
      </c>
      <c r="M10" s="58">
        <f>_ReleaseData!$Q$26</f>
        <v>260</v>
      </c>
      <c r="N10" s="40">
        <f>GETPIVOTDATA("Stories Estimate", $AL$8, "Type", "Epic", "ST:Components", "Admin")</f>
        <v>0</v>
      </c>
      <c r="O10" s="40">
        <f>GETPIVOTDATA("Epic Decomposed", $AL$8, "Type", "Epic", "ST:Components", "Admin")</f>
        <v>0</v>
      </c>
      <c r="P10" s="40">
        <f t="shared" ref="P10" si="84">L10-Q10</f>
        <v>100</v>
      </c>
      <c r="Q10" s="40">
        <f>GETPIVOTDATA("Epic Remaining Estimate", $AL$8, "Type", "Epic", "ST:Components", "Admin")</f>
        <v>0</v>
      </c>
      <c r="R10" s="33">
        <f t="shared" ref="R10" si="85" xml:space="preserve"> O10/L10</f>
        <v>0</v>
      </c>
      <c r="S10" s="33">
        <f t="shared" ref="S10" si="86" xml:space="preserve"> P10/L10</f>
        <v>1</v>
      </c>
      <c r="T10" s="57">
        <f>GETPIVOTDATA("Epic Total Estimate", $AL$8, "Type", "Epic", "ST:Components", "Visio Import/Export")</f>
        <v>50</v>
      </c>
      <c r="U10" s="58">
        <f>_ReleaseData!$Q$27</f>
        <v>200</v>
      </c>
      <c r="V10" s="40">
        <f>GETPIVOTDATA("Stories Estimate", $AL$8, "Type", "Epic", "ST:Components", "Visio Import/Export")</f>
        <v>0</v>
      </c>
      <c r="W10" s="40">
        <f>GETPIVOTDATA("Epic Decomposed", $AL$8, "Type", "Epic", "ST:Components", "Visio Import/Export")</f>
        <v>180</v>
      </c>
      <c r="X10" s="40">
        <f t="shared" ref="X10" si="87">T10-Y10</f>
        <v>-100</v>
      </c>
      <c r="Y10" s="40">
        <f>GETPIVOTDATA("Epic Remaining Estimate", $AL$8, "Type", "Epic", "ST:Components", "Visio Import/Export")</f>
        <v>150</v>
      </c>
      <c r="Z10" s="33">
        <f t="shared" ref="Z10" si="88" xml:space="preserve"> W10/T10</f>
        <v>3.6</v>
      </c>
      <c r="AA10" s="33">
        <f t="shared" ref="AA10" si="89">X10/T10</f>
        <v>-2</v>
      </c>
      <c r="AB10" s="57">
        <f>GETPIVOTDATA("Epic Total Estimate", $AL$8, "Type", "Epic", "ST:Components", "Logging and Audit")</f>
        <v>50</v>
      </c>
      <c r="AC10" s="58">
        <f>_ReleaseData!$Q$28</f>
        <v>60</v>
      </c>
      <c r="AD10" s="40">
        <f>GETPIVOTDATA("Stories Estimate", $AL$8, "Type", "Epic", "ST:Components", "Logging and Audit")</f>
        <v>0</v>
      </c>
      <c r="AE10" s="40">
        <f>GETPIVOTDATA("Epic Decomposed", $AL$8, "Type", "Epic", "ST:Components", "Logging and Audit")</f>
        <v>180</v>
      </c>
      <c r="AF10" s="40">
        <f t="shared" ref="AF10" si="90">AB10-AG10</f>
        <v>-100</v>
      </c>
      <c r="AG10" s="40">
        <f>GETPIVOTDATA("Epic Remaining Estimate", $AL$8, "Type", "Epic", "ST:Components", "Logging and Audit")</f>
        <v>150</v>
      </c>
      <c r="AH10" s="33">
        <f t="shared" ref="AH10" si="91" xml:space="preserve"> AE10/AB10</f>
        <v>3.6</v>
      </c>
      <c r="AI10" s="33">
        <f t="shared" ref="AI10" si="92">AF10/AB10</f>
        <v>-2</v>
      </c>
      <c r="AM10" s="16" t="s">
        <v>161</v>
      </c>
      <c r="AR10" s="57">
        <f>GETPIVOTDATA("Epic Total Estimate", $AL$8, "Type", "Epic", "ST:Components", "UiPath Integration")</f>
        <v>100</v>
      </c>
      <c r="AS10" s="58">
        <f>_ReleaseData!$Q$29</f>
        <v>70</v>
      </c>
      <c r="AT10" s="40">
        <f>GETPIVOTDATA("Stories Estimate", $AL$8, "Type", "Epic", "ST:Components", "UiPath Integration")</f>
        <v>0</v>
      </c>
      <c r="AU10" s="40">
        <f>GETPIVOTDATA("Epic Decomposed", $AL$8, "Type", "Epic", "ST:Components", "UiPath Integration")</f>
        <v>180</v>
      </c>
      <c r="AV10" s="40">
        <f t="shared" ref="AV10" si="93">AR10-AW10</f>
        <v>-50</v>
      </c>
      <c r="AW10" s="40">
        <f>GETPIVOTDATA("Epic Remaining Estimate", $AL$8, "Type", "Epic", "ST:Components", "UiPath Integration")</f>
        <v>150</v>
      </c>
      <c r="AX10" s="33">
        <f t="shared" ref="AX10" si="94" xml:space="preserve"> AU10/AR10</f>
        <v>1.8</v>
      </c>
      <c r="AY10" s="33">
        <f t="shared" ref="AY10" si="95">AV10/AR10</f>
        <v>-0.5</v>
      </c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v>15.5</v>
      </c>
      <c r="D19" s="20">
        <v>184</v>
      </c>
    </row>
    <row r="20" spans="2:4" x14ac:dyDescent="0.3">
      <c r="B20" t="s">
        <v>265</v>
      </c>
      <c r="C20" s="20">
        <v>7</v>
      </c>
      <c r="D20" s="20">
        <v>142</v>
      </c>
    </row>
    <row r="21" spans="2:4" x14ac:dyDescent="0.3">
      <c r="B21" t="s">
        <v>266</v>
      </c>
      <c r="C21" s="20">
        <v>60</v>
      </c>
      <c r="D21" s="20">
        <v>148.5</v>
      </c>
    </row>
    <row r="22" spans="2:4" x14ac:dyDescent="0.3">
      <c r="B22" t="s">
        <v>267</v>
      </c>
      <c r="C22" s="20">
        <f>GETPIVOTDATA("Epic Not Decomposed Estimate",$B$3)</f>
        <v>60</v>
      </c>
      <c r="D22" s="20">
        <f>GETPIVOTDATA("Story Points",$G$5)</f>
        <v>35</v>
      </c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UiPath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2020-05-19T13:57:54Z</dcterms:modified>
</cp:coreProperties>
</file>