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1.xml" ContentType="application/vnd.openxmlformats-officedocument.spreadsheetml.pivotTab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4.xml" ContentType="application/vnd.openxmlformats-officedocument.spreadsheetml.pivotTable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9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394621D6-822C-4608-94F6-4FC9EEB3DCBC}" xr6:coauthVersionLast="31" xr6:coauthVersionMax="31" xr10:uidLastSave="{00000000-0000-0000-0000-000000000000}"/>
  <bookViews>
    <workbookView xWindow="0" yWindow="0" windowWidth="21600" windowHeight="8715" xr2:uid="{00000000-000D-0000-FFFF-FFFF00000000}"/>
  </bookViews>
  <sheets>
    <sheet name="Release" sheetId="10" r:id="rId1"/>
    <sheet name="CPM" sheetId="19" r:id="rId2"/>
    <sheet name="Excel Import" sheetId="20" r:id="rId3"/>
    <sheet name="UME v2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Issues!$AJ$1:$AJ$105</definedName>
    <definedName name="issues">OFFSET(Issues!$A$1,0,0,COUNTA(Issues!$A$1:$A$10003),COUNTA(Issues!$A$1:$AAP$1)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13" r:id="rId19"/>
  </pivotCaches>
  <fileRecoveryPr autoRecover="0"/>
</workbook>
</file>

<file path=xl/calcChain.xml><?xml version="1.0" encoding="utf-8"?>
<calcChain xmlns="http://schemas.openxmlformats.org/spreadsheetml/2006/main">
  <c r="AC9" i="26" l="1"/>
  <c r="AC8" i="26"/>
  <c r="AC7" i="26"/>
  <c r="AC6" i="26"/>
  <c r="AC5" i="26"/>
  <c r="AC4" i="26"/>
  <c r="AC3" i="26"/>
  <c r="AB3" i="26"/>
  <c r="AG3" i="26"/>
  <c r="AE3" i="26"/>
  <c r="AD3" i="26"/>
  <c r="AF3" i="26" l="1"/>
  <c r="AI3" i="26" s="1"/>
  <c r="AH3" i="26"/>
  <c r="K40" i="9"/>
  <c r="W8" i="9"/>
  <c r="W7" i="9"/>
  <c r="W6" i="9"/>
  <c r="W5" i="9"/>
  <c r="W4" i="9"/>
  <c r="W9" i="9"/>
  <c r="W3" i="9"/>
  <c r="X3" i="9"/>
  <c r="P3" i="9"/>
  <c r="O3" i="9"/>
  <c r="B18" i="9"/>
  <c r="B19" i="9" l="1"/>
  <c r="U9" i="26"/>
  <c r="U8" i="26"/>
  <c r="U7" i="26"/>
  <c r="U6" i="26"/>
  <c r="U5" i="26"/>
  <c r="U4" i="26"/>
  <c r="U3" i="26"/>
  <c r="C16" i="24"/>
  <c r="D16" i="24"/>
  <c r="B10" i="9"/>
  <c r="B14" i="9"/>
  <c r="E9" i="26" l="1"/>
  <c r="E8" i="26"/>
  <c r="E7" i="26"/>
  <c r="E6" i="26"/>
  <c r="E5" i="26"/>
  <c r="E4" i="26"/>
  <c r="E3" i="26"/>
  <c r="U3" i="9"/>
  <c r="S3" i="9"/>
  <c r="Q3" i="9"/>
  <c r="J4" i="9"/>
  <c r="I4" i="9"/>
  <c r="N3" i="26"/>
  <c r="V3" i="9"/>
  <c r="R3" i="9"/>
  <c r="I3" i="26"/>
  <c r="Y3" i="26"/>
  <c r="G3" i="26"/>
  <c r="T3" i="26"/>
  <c r="Q3" i="26"/>
  <c r="M3" i="9"/>
  <c r="O3" i="26"/>
  <c r="L3" i="26"/>
  <c r="V3" i="26"/>
  <c r="N3" i="9"/>
  <c r="W3" i="26"/>
  <c r="D3" i="26"/>
  <c r="F3" i="26"/>
  <c r="T3" i="9"/>
  <c r="Z3" i="26" l="1"/>
  <c r="X3" i="26"/>
  <c r="AA3" i="26" s="1"/>
  <c r="R3" i="26"/>
  <c r="P3" i="26"/>
  <c r="S3" i="26" s="1"/>
  <c r="J3" i="26"/>
  <c r="H3" i="26"/>
  <c r="K3" i="26" s="1"/>
  <c r="M9" i="22" l="1"/>
  <c r="M6" i="22" l="1"/>
  <c r="M12" i="22" s="1"/>
  <c r="M11" i="22"/>
  <c r="M10" i="22"/>
  <c r="M8" i="22"/>
  <c r="M7" i="22"/>
  <c r="L12" i="22"/>
  <c r="E6" i="9" l="1"/>
  <c r="B22" i="9" l="1"/>
  <c r="B23" i="9" s="1"/>
  <c r="B2" i="9"/>
  <c r="B1" i="12"/>
  <c r="H40" i="9" l="1"/>
  <c r="B12" i="15"/>
  <c r="B15" i="9" l="1"/>
  <c r="B11" i="9"/>
  <c r="E40" i="9"/>
  <c r="B39" i="9" l="1"/>
  <c r="B6" i="9"/>
  <c r="E15" i="12" l="1"/>
  <c r="E14" i="12"/>
  <c r="C18" i="14"/>
  <c r="B3" i="9" l="1"/>
  <c r="I5" i="9"/>
  <c r="H6" i="9" s="1"/>
  <c r="H5" i="9"/>
  <c r="J5" i="9" s="1"/>
  <c r="J6" i="9" l="1"/>
  <c r="I6" i="9"/>
  <c r="I7" i="9" l="1"/>
  <c r="H7" i="9"/>
  <c r="J7" i="9" s="1"/>
  <c r="I8" i="9" l="1"/>
  <c r="H8" i="9"/>
  <c r="J8" i="9" l="1"/>
  <c r="H9" i="9"/>
  <c r="J9" i="9" s="1"/>
  <c r="I9" i="9"/>
  <c r="L7" i="9" l="1"/>
  <c r="U7" i="9" s="1"/>
  <c r="K5" i="9"/>
  <c r="K9" i="9"/>
  <c r="L6" i="9"/>
  <c r="U6" i="9" s="1"/>
  <c r="K6" i="9"/>
  <c r="K4" i="9"/>
  <c r="L5" i="9"/>
  <c r="U5" i="9" s="1"/>
  <c r="K7" i="9"/>
  <c r="L4" i="9"/>
  <c r="U4" i="9" s="1"/>
  <c r="L8" i="9"/>
  <c r="U8" i="9" s="1"/>
  <c r="K8" i="9"/>
  <c r="L9" i="9"/>
  <c r="U9" i="9" s="1"/>
  <c r="B7" i="9"/>
  <c r="Q7" i="9" l="1"/>
  <c r="S7" i="9"/>
  <c r="Q4" i="9"/>
  <c r="S4" i="9"/>
  <c r="Q5" i="9"/>
  <c r="S5" i="9"/>
  <c r="S6" i="9"/>
  <c r="Q6" i="9"/>
  <c r="Q8" i="9"/>
  <c r="S8" i="9"/>
  <c r="Q9" i="9"/>
  <c r="S9" i="9"/>
</calcChain>
</file>

<file path=xl/sharedStrings.xml><?xml version="1.0" encoding="utf-8"?>
<sst xmlns="http://schemas.openxmlformats.org/spreadsheetml/2006/main" count="966" uniqueCount="280">
  <si>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</si>
  <si>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</si>
  <si>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</si>
  <si>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</si>
  <si>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</si>
  <si>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</si>
  <si>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</si>
  <si>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</si>
  <si>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</si>
  <si>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</si>
  <si>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</si>
  <si>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</si>
  <si>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</si>
  <si>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</si>
  <si>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</si>
  <si>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</si>
  <si>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</si>
  <si>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</si>
  <si>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</si>
  <si>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</si>
  <si>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</si>
  <si>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</si>
  <si>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</si>
  <si>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</si>
  <si>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</si>
  <si>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</si>
  <si>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</si>
  <si>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</si>
  <si>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</si>
  <si>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</si>
  <si>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</si>
  <si>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</si>
  <si>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</si>
  <si>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</si>
  <si>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</si>
  <si>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</si>
  <si>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</si>
  <si>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</si>
  <si>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</si>
  <si>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</si>
  <si>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</si>
  <si>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</si>
  <si>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</si>
  <si>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</si>
  <si>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</si>
  <si>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</si>
  <si>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</si>
  <si>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</si>
  <si>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</si>
  <si>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</si>
  <si>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</si>
  <si>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</si>
  <si>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</si>
  <si>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</si>
  <si>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</si>
  <si>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</si>
  <si>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</si>
  <si>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</si>
  <si>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</si>
  <si>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</si>
  <si>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</si>
  <si>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</si>
  <si>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</si>
  <si>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</si>
  <si>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</si>
  <si>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</si>
  <si>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</si>
  <si>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</si>
  <si>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</si>
  <si>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</si>
  <si>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</si>
  <si>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</si>
  <si>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</si>
  <si>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</si>
  <si>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</si>
  <si>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</si>
  <si>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</si>
  <si>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</si>
  <si>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</si>
  <si>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</si>
  <si>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</si>
  <si>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</si>
  <si>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</si>
  <si>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</si>
  <si>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</si>
  <si>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</si>
  <si>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</si>
  <si>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</si>
  <si>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</si>
  <si>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</si>
  <si>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</si>
  <si>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</si>
  <si>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</si>
  <si>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</si>
  <si>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</si>
  <si>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</si>
  <si>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</si>
  <si>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</si>
  <si>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</si>
  <si>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</si>
  <si>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</si>
  <si>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</si>
  <si>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</si>
  <si>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</si>
  <si>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</si>
  <si>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</si>
  <si>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</si>
  <si>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</si>
  <si>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</si>
  <si>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</si>
  <si>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</si>
  <si>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</si>
  <si>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</si>
  <si>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</si>
  <si>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</si>
  <si>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</si>
  <si>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</si>
  <si>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</si>
  <si>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</si>
  <si>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</si>
  <si>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</si>
  <si>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</si>
  <si>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</si>
  <si>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</si>
  <si>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</si>
  <si>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</si>
  <si>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</si>
  <si>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</si>
  <si>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</si>
  <si>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</si>
  <si>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</si>
  <si>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</si>
  <si>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</si>
  <si>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</si>
  <si>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</si>
  <si>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</si>
  <si>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</si>
  <si>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</si>
  <si>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</si>
  <si>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</si>
  <si>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</si>
  <si>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</si>
  <si>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</si>
  <si>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</si>
  <si>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</si>
  <si>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</si>
  <si>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</si>
  <si>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</si>
  <si>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</si>
  <si>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</si>
  <si>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</si>
  <si>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</si>
  <si>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</si>
  <si>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</si>
  <si>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</si>
  <si>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</si>
  <si>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</si>
  <si>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</si>
  <si>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</si>
  <si>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</si>
  <si>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</si>
  <si>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</si>
  <si>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</si>
  <si>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</si>
  <si>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</si>
  <si>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</si>
  <si>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</si>
  <si>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</si>
  <si>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</si>
  <si>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</si>
  <si>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</si>
  <si>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</si>
  <si>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</si>
  <si>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</si>
  <si>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</si>
  <si>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</si>
  <si>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</si>
  <si>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</si>
  <si>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</si>
  <si>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</si>
  <si>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</si>
  <si>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</si>
  <si>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</si>
  <si>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</si>
  <si>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</si>
  <si>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</si>
  <si>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</si>
  <si>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</si>
  <si>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</si>
  <si>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</si>
  <si>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</si>
  <si>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</si>
  <si>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</si>
  <si>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</si>
  <si>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</si>
  <si>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</si>
  <si>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</si>
  <si>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</si>
  <si>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</si>
  <si>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</si>
  <si>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</si>
  <si>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</si>
  <si>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</si>
  <si>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</si>
  <si>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</si>
  <si>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</si>
  <si>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</si>
  <si>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</si>
  <si>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</si>
  <si>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</si>
  <si>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</si>
  <si>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</si>
  <si>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</si>
  <si>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</si>
  <si>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</si>
  <si>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</si>
  <si>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</si>
  <si>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</si>
  <si>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</si>
  <si>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</si>
  <si>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</si>
  <si>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</si>
  <si>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</si>
  <si>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</si>
  <si>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</si>
  <si>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</si>
  <si>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</si>
  <si>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</si>
  <si>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</si>
  <si>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</si>
  <si>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</si>
  <si>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$[SUBSTITUTE(SUBSTITUTE(SUBSTITUTE(AE2, "ocket", ""), "uasar", ""), "egasus", "")]</t>
  </si>
  <si>
    <t>&lt;mt:execute script="field-helper-tool.groovy"/&gt;&lt;mt:execute script="blueprint-helper.groovy"/&gt;&lt;mt:execute script="blueprint-rocket-dashboard-helper.groovy"/&gt;</t>
  </si>
  <si>
    <t>Cross Project Move</t>
  </si>
  <si>
    <t>Excel Import</t>
  </si>
  <si>
    <t>Rocket Component</t>
  </si>
  <si>
    <t>${bpHelper.getRocketComponent(issue)}</t>
  </si>
  <si>
    <t>CPM</t>
  </si>
  <si>
    <t>Feature</t>
  </si>
  <si>
    <t>Cost</t>
  </si>
  <si>
    <t>Time Elapsed Excel Import</t>
  </si>
  <si>
    <t>R1</t>
  </si>
  <si>
    <t>R2</t>
  </si>
  <si>
    <t>R3</t>
  </si>
  <si>
    <t>R4</t>
  </si>
  <si>
    <t>R5</t>
  </si>
  <si>
    <t>R6</t>
  </si>
  <si>
    <t>Sum of Stories Estimate</t>
  </si>
  <si>
    <t>Sum of Epic Decomposed</t>
  </si>
  <si>
    <t>R0</t>
  </si>
  <si>
    <t>P1</t>
  </si>
  <si>
    <t>P2</t>
  </si>
  <si>
    <t>P3</t>
  </si>
  <si>
    <t>P4</t>
  </si>
  <si>
    <t>P5</t>
  </si>
  <si>
    <t>P6</t>
  </si>
  <si>
    <t>RD</t>
  </si>
  <si>
    <t>Rocket1</t>
  </si>
  <si>
    <t>Rocket2</t>
  </si>
  <si>
    <t>Rocket3</t>
  </si>
  <si>
    <t>Rocket4</t>
  </si>
  <si>
    <t>Rocket5</t>
  </si>
  <si>
    <t>Rocket6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</si>
  <si>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</si>
  <si>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</si>
  <si>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</si>
  <si>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</si>
  <si>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</si>
  <si>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</si>
  <si>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</si>
  <si>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</si>
  <si>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</si>
  <si>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</si>
  <si>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</si>
  <si>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</si>
  <si>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</si>
  <si>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</si>
  <si>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UME v2</t>
  </si>
  <si>
    <t>UML v2</t>
  </si>
  <si>
    <t>Release, CPM, UME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</si>
</sst>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4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0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0" fontId="0" fillId="0" borderId="20" xfId="0" applyNumberFormat="1" applyFont="1" applyBorder="1"/>
    <xf numFmtId="166" fontId="0" fillId="0" borderId="0" xfId="0" applyNumberFormat="1" applyFont="1" applyBorder="1"/>
    <xf numFmtId="0" fontId="0" fillId="0" borderId="20" xfId="0" applyFont="1" applyBorder="1"/>
    <xf numFmtId="14" fontId="0" fillId="0" borderId="20" xfId="0" applyNumberFormat="1" applyFont="1" applyBorder="1"/>
    <xf numFmtId="1" fontId="0" fillId="0" borderId="20" xfId="0" applyNumberFormat="1" applyFont="1" applyBorder="1"/>
    <xf numFmtId="9" fontId="0" fillId="0" borderId="20" xfId="0" applyNumberFormat="1" applyFont="1" applyBorder="1"/>
    <xf numFmtId="166" fontId="0" fillId="0" borderId="20" xfId="0" applyNumberFormat="1" applyBorder="1"/>
    <xf numFmtId="166" fontId="0" fillId="0" borderId="2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166" fontId="0" fillId="0" borderId="1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_ReleaseData!$N$3:$N$9</c:f>
              <c:numCache>
                <c:formatCode>0.00%</c:formatCode>
                <c:ptCount val="7"/>
                <c:pt idx="0" formatCode="0%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_ReleaseData!$E$28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_ReleaseData!$D$29:$D$33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_ReleaseData!$E$29:$E$33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_ReleaseData!$S$3:$S$9</c:f>
              <c:numCache>
                <c:formatCode>0.0</c:formatCode>
                <c:ptCount val="7"/>
                <c:pt idx="0">
                  <c:v>50</c:v>
                </c:pt>
                <c:pt idx="1">
                  <c:v>41.228070175438596</c:v>
                </c:pt>
                <c:pt idx="2">
                  <c:v>32.456140350877192</c:v>
                </c:pt>
                <c:pt idx="3">
                  <c:v>23.684210526315791</c:v>
                </c:pt>
                <c:pt idx="4">
                  <c:v>14.912280701754387</c:v>
                </c:pt>
                <c:pt idx="5">
                  <c:v>8.7719298245614024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_ReleaseData!$T$3:$T$9</c:f>
              <c:numCache>
                <c:formatCode>0.0</c:formatCode>
                <c:ptCount val="7"/>
                <c:pt idx="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Excel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Excel Import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_ReleaseData!$L$3:$L$9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_ReleaseData!$P$3:$P$9</c:f>
              <c:numCache>
                <c:formatCode>0.00%</c:formatCode>
                <c:ptCount val="7"/>
                <c:pt idx="0" formatCode="0%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_ReleaseData!$H$28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_ReleaseData!$G$29:$G$33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_ReleaseData!$H$29:$H$33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_ReleaseData!$U$3:$U$9</c:f>
              <c:numCache>
                <c:formatCode>0.0</c:formatCode>
                <c:ptCount val="7"/>
                <c:pt idx="0">
                  <c:v>50</c:v>
                </c:pt>
                <c:pt idx="1">
                  <c:v>41.228070175438596</c:v>
                </c:pt>
                <c:pt idx="2">
                  <c:v>32.456140350877192</c:v>
                </c:pt>
                <c:pt idx="3">
                  <c:v>23.684210526315791</c:v>
                </c:pt>
                <c:pt idx="4">
                  <c:v>14.912280701754387</c:v>
                </c:pt>
                <c:pt idx="5">
                  <c:v>8.7719298245614024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_ReleaseData!$V$3:$V$9</c:f>
              <c:numCache>
                <c:formatCode>0.0</c:formatCode>
                <c:ptCount val="7"/>
                <c:pt idx="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Import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0.6785714285714286</c:v>
                </c:pt>
                <c:pt idx="1">
                  <c:v>0.3214285714285714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v2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_ReleaseData!$P$3:$P$9</c:f>
              <c:numCache>
                <c:formatCode>0.00%</c:formatCode>
                <c:ptCount val="7"/>
                <c:pt idx="0" formatCode="0%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_ReleaseData!$W$3:$W$9</c:f>
              <c:numCache>
                <c:formatCode>0.0</c:formatCode>
                <c:ptCount val="7"/>
                <c:pt idx="0">
                  <c:v>75</c:v>
                </c:pt>
                <c:pt idx="1">
                  <c:v>61.842105263157897</c:v>
                </c:pt>
                <c:pt idx="2">
                  <c:v>48.684210526315788</c:v>
                </c:pt>
                <c:pt idx="3">
                  <c:v>35.526315789473685</c:v>
                </c:pt>
                <c:pt idx="4">
                  <c:v>22.368421052631582</c:v>
                </c:pt>
                <c:pt idx="5">
                  <c:v>13.157894736842104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_ReleaseData!$X$3:$X$9</c:f>
              <c:numCache>
                <c:formatCode>0.0</c:formatCode>
                <c:ptCount val="7"/>
                <c:pt idx="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[Rocket-Dashboard.xlsx]_ReleaseData!PivotTable6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_ReleaseData!$K$28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_ReleaseData!$J$29:$J$33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_ReleaseData!$K$29:$K$33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_TeamBacklogData!$A$6:$A$11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_TeamBacklogData!$B$6:$B$11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_TeamVelocityData!$B$5:$B$11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_TeamVelocityData!$C$5:$C$11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[Rocket-Dashboard.xlsx]_ActiveSprintData!PivotTable2</c:name>
    <c:fmtId val="0"/>
  </c:pivotSource>
  <c:chart>
    <c:title>
      <c:tx>
        <c:strRef>
          <c:f>_ActiveSprintData!$E$15</c:f>
          <c:strCache>
            <c:ptCount val="1"/>
            <c:pt idx="0">
              <c:v>Sprint Rocket1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_ActiveSprintData!$E$15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Unkown</c:v>
                </c:pt>
              </c:strCache>
            </c:strRef>
          </c:cat>
          <c:val>
            <c:numRef>
              <c:f>_ActiveSprintData!$E$15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_ReleaseData!$M$3:$M$9</c:f>
              <c:numCache>
                <c:formatCode>0.00%</c:formatCode>
                <c:ptCount val="7"/>
                <c:pt idx="0">
                  <c:v>0.6785714285714286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Rocket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_BugsData!$B$30:$B$36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_BugsData!$C$30:$C$36</c:f>
              <c:numCache>
                <c:formatCode>General</c:formatCode>
                <c:ptCount val="6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_ReleaseData!$A$29:$A$33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_ReleaseData!$B$29:$B$33</c:f>
              <c:numCache>
                <c:formatCode>General</c:formatCode>
                <c:ptCount val="5"/>
                <c:pt idx="0">
                  <c:v>950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_ReleaseData!$A$54:$A$61</c:f>
              <c:strCache>
                <c:ptCount val="7"/>
                <c:pt idx="0">
                  <c:v>CPM</c:v>
                </c:pt>
                <c:pt idx="1">
                  <c:v>Excel Import</c:v>
                </c:pt>
                <c:pt idx="2">
                  <c:v>UME v2</c:v>
                </c:pt>
                <c:pt idx="3">
                  <c:v>DevOps</c:v>
                </c:pt>
                <c:pt idx="4">
                  <c:v>R&amp;D Bucket</c:v>
                </c:pt>
                <c:pt idx="5">
                  <c:v>Other</c:v>
                </c:pt>
                <c:pt idx="6">
                  <c:v>(blank)</c:v>
                </c:pt>
              </c:strCache>
            </c:strRef>
          </c:cat>
          <c:val>
            <c:numRef>
              <c:f>_ReleaseData!$B$54:$B$61</c:f>
              <c:numCache>
                <c:formatCode>General</c:formatCode>
                <c:ptCount val="7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_ReleaseData!$Q$3:$Q$9</c:f>
              <c:numCache>
                <c:formatCode>0.0</c:formatCode>
                <c:ptCount val="7"/>
                <c:pt idx="0">
                  <c:v>285</c:v>
                </c:pt>
                <c:pt idx="1">
                  <c:v>235</c:v>
                </c:pt>
                <c:pt idx="2">
                  <c:v>185</c:v>
                </c:pt>
                <c:pt idx="3">
                  <c:v>135</c:v>
                </c:pt>
                <c:pt idx="4">
                  <c:v>85.000000000000014</c:v>
                </c:pt>
                <c:pt idx="5">
                  <c:v>50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_ReleaseData!$R$3:$R$9</c:f>
              <c:numCache>
                <c:formatCode>0.0</c:formatCode>
                <c:ptCount val="7"/>
                <c:pt idx="0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CPM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33338</xdr:rowOff>
    </xdr:from>
    <xdr:ext cx="1147762" cy="405432"/>
    <xdr:sp macro="" textlink="_ReleaseData!$B$39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62113"/>
          <a:ext cx="114776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2380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0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0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17324</xdr:rowOff>
    </xdr:from>
    <xdr:ext cx="1509712" cy="718466"/>
    <xdr:sp macro="" textlink="_TeamBacklogData!$B$12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189024"/>
          <a:ext cx="1509712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4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4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457202</xdr:colOff>
      <xdr:row>9</xdr:row>
      <xdr:rowOff>171452</xdr:rowOff>
    </xdr:from>
    <xdr:ext cx="1047759" cy="655885"/>
    <xdr:sp macro="" textlink="_ActiveSprintData!$E$14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400302" y="1800227"/>
          <a:ext cx="10477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3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</a:t>
          </a:fld>
          <a:endParaRPr lang="en-US" sz="3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68%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0.36798</cdr:x>
      <cdr:y>0.44579</cdr:y>
    </cdr:from>
    <cdr:to>
      <cdr:x>0.62724</cdr:x>
      <cdr:y>0.56688</cdr:y>
    </cdr:to>
    <cdr:sp macro="" textlink="_ReleaseData!$B$60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66847" y="1492513"/>
          <a:ext cx="1033465" cy="4054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E61AECC-3EDA-497E-9584-05DE28D958EC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0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0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396.334546527774" createdVersion="6" refreshedVersion="6" minRefreshableVersion="3" recordCount="104" xr:uid="{00000000-000A-0000-FFFF-FFFF0C000000}">
  <cacheSource type="worksheet">
    <worksheetSource name="issues"/>
  </cacheSource>
  <cacheFields count="47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7">
        <s v="${fieldHelper.getFieldValueByName(issue, &quot;ST:Components&quot;)}"/>
        <m/>
        <s v="Cross Project Move"/>
        <s v="Excel Import"/>
        <s v="Diagram Editor"/>
        <s v="Artifact List"/>
        <s v="DevOps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200" maxValue="20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30">
        <s v="${bpHelper.getLastSprint(issue)}"/>
        <m/>
        <s v="Rocket1"/>
        <s v="Rocket2"/>
        <s v="Rocket3"/>
        <s v="Rocket4"/>
        <s v="Rocket5"/>
        <s v="Rocket6"/>
        <s v="Pegasus2" u="1"/>
        <s v="Pegasus7" u="1"/>
        <s v="Quasar14" u="1"/>
        <s v="Pegasus1" u="1"/>
        <s v="Pegasus6" u="1"/>
        <s v="Quasar13" u="1"/>
        <s v="Quasar1" u="1"/>
        <s v="Pegasus5" u="1"/>
        <s v="Quasar2" u="1"/>
        <s v="Quasar3" u="1"/>
        <s v="Quasar12" u="1"/>
        <s v="Quasar4" u="1"/>
        <s v="Pegasus4" u="1"/>
        <s v="Quasar5" u="1"/>
        <s v="Quasar6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26">
        <s v="$[SUBSTITUTE(SUBSTITUTE(SUBSTITUTE(AE2, &quot;ocket&quot;, &quot;&quot;), &quot;uasar&quot;, &quot;&quot;), &quot;egasus&quot;, &quot;&quot;)]"/>
        <m/>
        <s v="P1"/>
        <s v="P2"/>
        <s v="P3"/>
        <s v="P4"/>
        <s v="P5"/>
        <s v="P6"/>
        <s v="Q10" u="1"/>
        <s v="Q11" u="1"/>
        <s v="Q12" u="1"/>
        <s v="Q13" u="1"/>
        <s v="Q14" u="1"/>
        <s v="Q2" u="1"/>
        <s v="$[SUBSTITUTE(SUBSTITUTE(SUBSTITUTE(AE3, &quot;ocket&quot;, &quot;&quot;), &quot;uasar&quot;, &quot;&quot;), &quot;egasus&quot;, &quot;&quot;)]" u="1"/>
        <s v="Q4" u="1"/>
        <s v="Q6" u="1"/>
        <s v="Q8" u="1"/>
        <s v="$[=SUBSTITUTE(SUBSTITUTE(SUBSTITUTE(AE3, &quot;ocket&quot;, &quot;&quot;), &quot;uasar&quot;, &quot;&quot;), &quot;egasus&quot;, &quot;&quot;)]" u="1"/>
        <s v="Q1" u="1"/>
        <s v="$[SUBSTITUTE(AE2, &quot;uasar&quot;, &quot;&quot;)]" u="1"/>
        <s v="Q3" u="1"/>
        <s v="Q5" u="1"/>
        <s v="Q7" u="1"/>
        <s v="Q9" u="1"/>
        <s v="$[= SUBSTITUTE('Last Sprint', &quot;uasar&quot;, &quot;&quot;)]" u="1"/>
      </sharedItems>
    </cacheField>
    <cacheField name="Release" numFmtId="0">
      <sharedItems containsBlank="1" count="5">
        <s v="${issue.fixVersions.name}"/>
        <m/>
        <s v="Rocket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ocket Component" numFmtId="0">
      <sharedItems containsBlank="1" count="11">
        <s v="${bpHelper.getRocketComponent(issue)}"/>
        <m/>
        <s v="UME v2"/>
        <s v="CPM"/>
        <s v="Excel Import"/>
        <s v="DevOps"/>
        <s v="R&amp;D Bucket"/>
        <s v="Other"/>
        <s v="UME" u="1"/>
        <s v="Cross Project Move" u="1"/>
        <s v="Artifact List v2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ngStars"/>
        <s v="NW"/>
        <s v="RD"/>
        <s v="Titan"/>
        <s v="Alpha"/>
        <s v="Unassigned"/>
        <s v="QA"/>
        <s v="DevOps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  <x v="1"/>
  </r>
  <r>
    <s v="key"/>
    <x v="3"/>
    <m/>
    <s v="NW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x v="1"/>
    <x v="1"/>
    <x v="1"/>
    <x v="3"/>
    <x v="3"/>
    <m/>
    <x v="3"/>
    <s v="NW"/>
    <m/>
    <m/>
    <m/>
    <m/>
    <m/>
    <x v="2"/>
  </r>
  <r>
    <s v="key"/>
    <x v="4"/>
    <s v="NEEDS FOR FILTERING IN PIVOT TABLES"/>
    <s v="SoftTeco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x v="1"/>
    <x v="1"/>
    <x v="1"/>
    <x v="4"/>
    <x v="4"/>
    <m/>
    <x v="4"/>
    <s v="SoftTeco"/>
    <m/>
    <m/>
    <m/>
    <m/>
    <m/>
    <x v="2"/>
  </r>
  <r>
    <s v="key"/>
    <x v="5"/>
    <m/>
    <s v="Titan"/>
    <x v="5"/>
    <m/>
    <m/>
    <m/>
    <m/>
    <m/>
    <x v="1"/>
    <m/>
    <m/>
    <n v="20"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  <x v="2"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6"/>
    <m/>
    <x v="6"/>
    <s v="Alpha"/>
    <m/>
    <m/>
    <m/>
    <m/>
    <m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7"/>
    <s v="Unassigned"/>
    <m/>
    <m/>
    <m/>
    <m/>
    <m/>
    <x v="3"/>
  </r>
  <r>
    <s v="key"/>
    <x v="7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2"/>
    <x v="1"/>
    <x v="1"/>
    <x v="1"/>
    <x v="8"/>
    <x v="1"/>
    <m/>
    <x v="4"/>
    <s v="TechComm"/>
    <m/>
    <m/>
    <m/>
    <m/>
    <m/>
    <x v="3"/>
  </r>
  <r>
    <s v="key"/>
    <x v="7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3"/>
    <x v="1"/>
    <x v="1"/>
    <x v="1"/>
    <x v="1"/>
    <x v="1"/>
    <m/>
    <x v="8"/>
    <s v="QA"/>
    <m/>
    <m/>
    <m/>
    <m/>
    <m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9"/>
    <s v="DevOps"/>
    <m/>
    <m/>
    <m/>
    <m/>
    <m/>
    <x v="1"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5"/>
    <x v="3"/>
    <x v="1"/>
    <x v="1"/>
    <x v="1"/>
    <x v="1"/>
    <m/>
    <x v="1"/>
    <m/>
    <m/>
    <m/>
    <m/>
    <m/>
    <m/>
    <x v="1"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6"/>
    <x v="4"/>
    <x v="1"/>
    <x v="1"/>
    <x v="1"/>
    <x v="1"/>
    <m/>
    <x v="1"/>
    <m/>
    <m/>
    <m/>
    <m/>
    <m/>
    <m/>
    <x v="2"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7"/>
    <x v="5"/>
    <x v="1"/>
    <x v="1"/>
    <x v="1"/>
    <x v="1"/>
    <m/>
    <x v="1"/>
    <m/>
    <m/>
    <m/>
    <m/>
    <m/>
    <m/>
    <x v="1"/>
  </r>
  <r>
    <s v="key"/>
    <x v="1"/>
    <m/>
    <m/>
    <x v="14"/>
    <m/>
    <m/>
    <m/>
    <m/>
    <m/>
    <x v="1"/>
    <m/>
    <m/>
    <m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1"/>
  </r>
  <r>
    <s v="key"/>
    <x v="1"/>
    <m/>
    <m/>
    <x v="15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</r>
  <r>
    <s v="key"/>
    <x v="1"/>
    <m/>
    <m/>
    <x v="16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</r>
  <r>
    <s v="key"/>
    <x v="1"/>
    <m/>
    <m/>
    <x v="17"/>
    <m/>
    <m/>
    <m/>
    <m/>
    <m/>
    <x v="1"/>
    <m/>
    <m/>
    <m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1"/>
  </r>
  <r>
    <s v="key"/>
    <x v="1"/>
    <m/>
    <m/>
    <x v="18"/>
    <m/>
    <m/>
    <m/>
    <m/>
    <m/>
    <x v="1"/>
    <m/>
    <m/>
    <m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1"/>
  </r>
  <r>
    <s v="key"/>
    <x v="1"/>
    <m/>
    <m/>
    <x v="19"/>
    <m/>
    <m/>
    <m/>
    <m/>
    <m/>
    <x v="1"/>
    <m/>
    <m/>
    <m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1"/>
  </r>
  <r>
    <s v="key"/>
    <x v="1"/>
    <m/>
    <m/>
    <x v="20"/>
    <m/>
    <m/>
    <m/>
    <m/>
    <m/>
    <x v="1"/>
    <m/>
    <m/>
    <m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2"/>
    <x v="1"/>
    <m/>
    <x v="1"/>
    <m/>
    <m/>
    <m/>
    <m/>
    <m/>
    <m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3"/>
    <x v="1"/>
    <m/>
    <x v="1"/>
    <m/>
    <m/>
    <m/>
    <m/>
    <m/>
    <m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4"/>
    <x v="1"/>
    <m/>
    <x v="1"/>
    <m/>
    <m/>
    <m/>
    <m/>
    <m/>
    <m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5"/>
    <x v="1"/>
    <m/>
    <x v="1"/>
    <m/>
    <m/>
    <m/>
    <m/>
    <m/>
    <m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6"/>
    <x v="1"/>
    <m/>
    <x v="1"/>
    <m/>
    <m/>
    <m/>
    <m/>
    <m/>
    <m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7"/>
    <x v="1"/>
    <m/>
    <x v="1"/>
    <m/>
    <m/>
    <m/>
    <m/>
    <m/>
    <m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8"/>
    <x v="1"/>
    <m/>
    <x v="1"/>
    <m/>
    <m/>
    <m/>
    <m/>
    <m/>
    <m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5"/>
    <m/>
    <m/>
    <m/>
    <m/>
    <m/>
    <m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5"/>
    <m/>
    <m/>
    <m/>
    <m/>
    <m/>
    <m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5"/>
    <m/>
    <m/>
    <m/>
    <m/>
    <m/>
    <m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5"/>
    <m/>
    <m/>
    <m/>
    <m/>
    <m/>
    <m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5"/>
    <m/>
    <m/>
    <m/>
    <m/>
    <m/>
    <m/>
    <x v="1"/>
  </r>
  <r>
    <s v="key"/>
    <x v="1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1"/>
    <m/>
    <n v="30"/>
    <n v="60"/>
    <n v="40"/>
    <m/>
    <m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4"/>
    <m/>
    <x v="1"/>
    <m/>
    <n v="30"/>
    <n v="60"/>
    <n v="40"/>
    <m/>
    <m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2"/>
    <x v="1"/>
    <m/>
    <x v="6"/>
    <m/>
    <n v="30"/>
    <n v="60"/>
    <n v="40"/>
    <m/>
    <m/>
    <x v="1"/>
  </r>
  <r>
    <s v="key"/>
    <x v="3"/>
    <m/>
    <m/>
    <x v="12"/>
    <m/>
    <m/>
    <m/>
    <m/>
    <m/>
    <x v="5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6"/>
    <m/>
    <m/>
    <m/>
    <m/>
    <m/>
    <m/>
    <x v="1"/>
  </r>
  <r>
    <s v="key"/>
    <x v="3"/>
    <m/>
    <m/>
    <x v="13"/>
    <m/>
    <m/>
    <m/>
    <m/>
    <m/>
    <x v="6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6"/>
    <m/>
    <m/>
    <m/>
    <m/>
    <m/>
    <m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6"/>
    <m/>
    <m/>
    <m/>
    <m/>
    <m/>
    <m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6"/>
    <m/>
    <m/>
    <m/>
    <m/>
    <m/>
    <m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3"/>
    <m/>
    <m/>
    <m/>
    <m/>
    <m/>
    <m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3"/>
    <m/>
    <m/>
    <m/>
    <m/>
    <m/>
    <m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3"/>
    <m/>
    <m/>
    <m/>
    <m/>
    <m/>
    <m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3"/>
    <m/>
    <m/>
    <m/>
    <m/>
    <m/>
    <m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4"/>
    <m/>
    <m/>
    <m/>
    <m/>
    <m/>
    <m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4"/>
    <m/>
    <m/>
    <m/>
    <m/>
    <m/>
    <m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4"/>
    <m/>
    <m/>
    <m/>
    <m/>
    <m/>
    <m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4"/>
    <m/>
    <m/>
    <m/>
    <m/>
    <m/>
    <m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4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2"/>
    <x v="1"/>
    <x v="1"/>
    <x v="5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2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5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4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5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3:B61" firstHeaderRow="1" firstDataRow="1" firstDataCol="1" rowPageCount="2" colPageCount="1"/>
  <pivotFields count="47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axis="axisRow" showAll="0">
      <items count="12">
        <item x="0"/>
        <item m="1" x="10"/>
        <item m="1" x="9"/>
        <item x="3"/>
        <item x="4"/>
        <item m="1" x="8"/>
        <item x="2"/>
        <item x="5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3"/>
    </i>
    <i>
      <x v="4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1" item="2" hier="-1"/>
    <pageField fld="32" item="4" hier="-1"/>
  </pageFields>
  <dataFields count="1">
    <dataField name="Sum of Epic Total Estimate" fld="15" baseField="35" baseItem="0"/>
  </dataFields>
  <chartFormats count="10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5" count="1" selected="0">
            <x v="9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5" count="1" selected="0">
            <x v="8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5" count="1" selected="0">
            <x v="10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5" count="1" selected="0">
            <x v="7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8:K33" firstHeaderRow="1" firstDataRow="1" firstDataCol="1" rowPageCount="3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10" item="2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1" colPageCount="1"/>
  <pivotFields count="47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2"/>
    </i>
    <i>
      <x v="3"/>
    </i>
    <i>
      <x v="4"/>
    </i>
    <i>
      <x v="5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1">
    <pageField fld="32" item="4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/>
  <pivotFields count="47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Epic Not Decomposed Estimate" fld="46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5" firstHeaderRow="1" firstDataRow="1" firstDataCol="1" rowPageCount="2" colPageCount="1"/>
  <pivotFields count="4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m="1" x="3"/>
        <item m="1" x="4"/>
        <item x="2"/>
        <item h="1" x="1"/>
        <item t="default"/>
      </items>
    </pivotField>
    <pivotField showAll="0"/>
    <pivotField showAll="0"/>
    <pivotField showAll="0"/>
    <pivotField showAll="0"/>
    <pivotField axis="axisRow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1">
    <i t="grand">
      <x/>
    </i>
  </rowItems>
  <colItems count="1">
    <i/>
  </colItems>
  <pageFields count="2">
    <pageField fld="32" hier="-1"/>
    <pageField fld="44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5:B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4" hier="-1"/>
    <pageField fld="1" hier="-1"/>
    <pageField fld="37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4:C11" firstHeaderRow="1" firstDataRow="1" firstDataCol="1" rowPageCount="2" colPageCount="1"/>
  <pivotFields count="47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7">
        <item h="1" m="1" x="25"/>
        <item h="1" m="1" x="20"/>
        <item h="1" m="1" x="19"/>
        <item h="1" m="1" x="13"/>
        <item h="1" m="1" x="21"/>
        <item h="1" m="1" x="15"/>
        <item h="1" m="1" x="22"/>
        <item h="1" m="1" x="16"/>
        <item h="1" m="1" x="23"/>
        <item h="1" m="1" x="17"/>
        <item h="1" m="1" x="24"/>
        <item h="1" x="1"/>
        <item h="1" m="1" x="8"/>
        <item m="1" x="9"/>
        <item m="1" x="10"/>
        <item m="1" x="11"/>
        <item m="1" x="12"/>
        <item h="1" m="1" x="18"/>
        <item h="1" m="1" x="14"/>
        <item h="1" x="0"/>
        <item x="2"/>
        <item x="3"/>
        <item x="4"/>
        <item x="5"/>
        <item x="6"/>
        <item x="7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ageFields count="2">
    <pageField fld="1" hier="-1"/>
    <pageField fld="4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:E12" firstHeaderRow="1" firstDataRow="1" firstDataCol="1" rowPageCount="2" colPageCount="1"/>
  <pivotFields count="47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1">
        <item x="0"/>
        <item m="1" x="11"/>
        <item m="1" x="8"/>
        <item m="1" x="26"/>
        <item m="1" x="20"/>
        <item m="1" x="15"/>
        <item m="1" x="12"/>
        <item m="1" x="9"/>
        <item m="1" x="27"/>
        <item m="1" x="14"/>
        <item m="1" x="29"/>
        <item m="1" x="24"/>
        <item m="1" x="18"/>
        <item m="1" x="13"/>
        <item m="1" x="10"/>
        <item m="1" x="16"/>
        <item m="1" x="17"/>
        <item m="1" x="19"/>
        <item m="1" x="21"/>
        <item m="1" x="22"/>
        <item m="1" x="23"/>
        <item m="1" x="25"/>
        <item m="1" x="28"/>
        <item x="1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2">
    <pageField fld="1" hier="-1"/>
    <pageField fld="30" item="24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6" firstHeaderRow="1" firstDataRow="1" firstDataCol="1" rowPageCount="4" colPageCount="1"/>
  <pivotFields count="47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27">
        <item h="1" m="1" x="25"/>
        <item h="1" m="1" x="19"/>
        <item h="1" m="1" x="13"/>
        <item h="1" m="1" x="21"/>
        <item h="1" m="1" x="15"/>
        <item h="1" m="1" x="22"/>
        <item h="1" m="1" x="16"/>
        <item h="1" m="1" x="23"/>
        <item h="1" m="1" x="17"/>
        <item h="1" m="1" x="24"/>
        <item h="1" x="1"/>
        <item h="1" m="1" x="8"/>
        <item h="1" m="1" x="9"/>
        <item h="1" m="1" x="10"/>
        <item h="1" m="1" x="11"/>
        <item h="1" m="1" x="12"/>
        <item h="1" m="1" x="20"/>
        <item h="1" m="1" x="18"/>
        <item h="1" m="1" x="14"/>
        <item h="1" x="0"/>
        <item x="2"/>
        <item x="3"/>
        <item x="4"/>
        <item x="5"/>
        <item x="6"/>
        <item x="7"/>
        <item t="default"/>
      </items>
    </pivotField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7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39:D40" firstHeaderRow="1" firstDataRow="1" firstDataCol="0" rowPageCount="3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8:A39" firstHeaderRow="1" firstDataRow="1" firstDataCol="0" rowPageCount="2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2">
    <pageField fld="32" item="3" hier="-1"/>
    <pageField fld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39:J40" firstHeaderRow="1" firstDataRow="1" firstDataCol="0" rowPageCount="3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8:B33" firstHeaderRow="1" firstDataRow="1" firstDataCol="1" rowPageCount="2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2">
    <pageField fld="32" item="4" hier="-1"/>
    <pageField fld="1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8:H33" firstHeaderRow="1" firstDataRow="1" firstDataCol="1" rowPageCount="3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10" item="5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9:G40" firstHeaderRow="1" firstDataRow="1" firstDataCol="0" rowPageCount="3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5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8:E33" firstHeaderRow="1" firstDataRow="1" firstDataCol="1" rowPageCount="3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10" item="4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4:AD9" firstHeaderRow="0" firstDataRow="1" firstDataCol="1" rowPageCount="2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1"/>
        <item x="5"/>
        <item x="4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32" item="4" hier="-1"/>
    <pageField fld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5" totalsRowShown="0" headerRowDxfId="4">
  <autoFilter ref="Z2:Z5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1" totalsRowShown="0">
  <autoFilter ref="B15:D21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5:M12" totalsRowCount="1">
  <autoFilter ref="K5:M11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>
      <calculatedColumnFormula>SUM(L6:L6)</calculatedColumnFormula>
    </tableColumn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9"/>
  <sheetViews>
    <sheetView showGridLines="0" tabSelected="1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141</v>
      </c>
      <c r="B1" t="s">
        <v>227</v>
      </c>
    </row>
    <row r="2" spans="1:2" x14ac:dyDescent="0.45">
      <c r="A2" s="16" t="s">
        <v>9</v>
      </c>
      <c r="B2" t="s">
        <v>159</v>
      </c>
    </row>
    <row r="3" spans="1:2" x14ac:dyDescent="0.45">
      <c r="A3" s="16" t="s">
        <v>119</v>
      </c>
      <c r="B3" t="s">
        <v>186</v>
      </c>
    </row>
    <row r="5" spans="1:2" x14ac:dyDescent="0.45">
      <c r="A5" s="16" t="s">
        <v>146</v>
      </c>
      <c r="B5" t="s">
        <v>150</v>
      </c>
    </row>
    <row r="6" spans="1:2" x14ac:dyDescent="0.45">
      <c r="A6" s="17" t="s">
        <v>157</v>
      </c>
      <c r="B6" s="20">
        <v>100</v>
      </c>
    </row>
    <row r="7" spans="1:2" x14ac:dyDescent="0.45">
      <c r="A7" s="17" t="s">
        <v>155</v>
      </c>
      <c r="B7" s="20">
        <v>100</v>
      </c>
    </row>
    <row r="8" spans="1:2" x14ac:dyDescent="0.45">
      <c r="A8" s="17" t="s">
        <v>154</v>
      </c>
      <c r="B8" s="20">
        <v>100</v>
      </c>
    </row>
    <row r="9" spans="1:2" x14ac:dyDescent="0.45">
      <c r="A9" s="17" t="s">
        <v>182</v>
      </c>
      <c r="B9" s="20">
        <v>100</v>
      </c>
    </row>
    <row r="10" spans="1:2" x14ac:dyDescent="0.45">
      <c r="A10" s="17" t="s">
        <v>153</v>
      </c>
      <c r="B10" s="20">
        <v>90</v>
      </c>
    </row>
    <row r="11" spans="1:2" x14ac:dyDescent="0.45">
      <c r="A11" s="17" t="s">
        <v>50</v>
      </c>
      <c r="B11" s="20">
        <v>490</v>
      </c>
    </row>
    <row r="12" spans="1:2" x14ac:dyDescent="0.45">
      <c r="A12" s="17" t="s">
        <v>50</v>
      </c>
      <c r="B12">
        <f>GETPIVOTDATA("Story Points", $A$5)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2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159</v>
      </c>
    </row>
    <row r="2" spans="2:13" x14ac:dyDescent="0.45">
      <c r="B2" s="16" t="s">
        <v>0</v>
      </c>
      <c r="C2" t="s">
        <v>159</v>
      </c>
    </row>
    <row r="4" spans="2:13" x14ac:dyDescent="0.45">
      <c r="B4" s="16" t="s">
        <v>146</v>
      </c>
      <c r="C4" t="s">
        <v>150</v>
      </c>
      <c r="K4" s="39" t="s">
        <v>198</v>
      </c>
    </row>
    <row r="5" spans="2:13" x14ac:dyDescent="0.45">
      <c r="B5" s="17" t="s">
        <v>250</v>
      </c>
      <c r="C5" s="20">
        <v>90</v>
      </c>
      <c r="K5" t="s">
        <v>197</v>
      </c>
      <c r="L5" t="s">
        <v>276</v>
      </c>
      <c r="M5" t="s">
        <v>196</v>
      </c>
    </row>
    <row r="6" spans="2:13" x14ac:dyDescent="0.45">
      <c r="B6" s="17" t="s">
        <v>251</v>
      </c>
      <c r="C6" s="20">
        <v>90</v>
      </c>
      <c r="K6" t="s">
        <v>250</v>
      </c>
      <c r="M6">
        <f t="shared" ref="M6:M11" si="0">SUM(L6:L6)</f>
        <v>0</v>
      </c>
    </row>
    <row r="7" spans="2:13" x14ac:dyDescent="0.45">
      <c r="B7" s="17" t="s">
        <v>252</v>
      </c>
      <c r="C7" s="20">
        <v>60</v>
      </c>
      <c r="K7" t="s">
        <v>251</v>
      </c>
      <c r="M7">
        <f t="shared" si="0"/>
        <v>0</v>
      </c>
    </row>
    <row r="8" spans="2:13" x14ac:dyDescent="0.45">
      <c r="B8" s="17" t="s">
        <v>253</v>
      </c>
      <c r="C8" s="20">
        <v>60</v>
      </c>
      <c r="K8" t="s">
        <v>252</v>
      </c>
      <c r="M8">
        <f t="shared" si="0"/>
        <v>0</v>
      </c>
    </row>
    <row r="9" spans="2:13" x14ac:dyDescent="0.45">
      <c r="B9" s="17" t="s">
        <v>254</v>
      </c>
      <c r="C9" s="20">
        <v>60</v>
      </c>
      <c r="K9" t="s">
        <v>253</v>
      </c>
      <c r="M9">
        <f t="shared" si="0"/>
        <v>0</v>
      </c>
    </row>
    <row r="10" spans="2:13" x14ac:dyDescent="0.45">
      <c r="B10" s="17" t="s">
        <v>255</v>
      </c>
      <c r="C10" s="20">
        <v>60</v>
      </c>
      <c r="K10" t="s">
        <v>254</v>
      </c>
      <c r="M10">
        <f t="shared" si="0"/>
        <v>0</v>
      </c>
    </row>
    <row r="11" spans="2:13" x14ac:dyDescent="0.45">
      <c r="B11" s="17" t="s">
        <v>50</v>
      </c>
      <c r="C11" s="20">
        <v>420</v>
      </c>
      <c r="K11" t="s">
        <v>255</v>
      </c>
      <c r="M11">
        <f t="shared" si="0"/>
        <v>0</v>
      </c>
    </row>
    <row r="12" spans="2:13" x14ac:dyDescent="0.45">
      <c r="K12" t="s">
        <v>196</v>
      </c>
      <c r="L12">
        <f>SUBTOTAL(109,Table1[R&amp;D])</f>
        <v>0</v>
      </c>
      <c r="M12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5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149</v>
      </c>
      <c r="B1" t="str">
        <f>$E$2</f>
        <v>Rocket1</v>
      </c>
      <c r="D1" s="16" t="s">
        <v>9</v>
      </c>
      <c r="E1" t="s">
        <v>159</v>
      </c>
    </row>
    <row r="2" spans="1:5" x14ac:dyDescent="0.45">
      <c r="D2" s="16" t="s">
        <v>147</v>
      </c>
      <c r="E2" t="s">
        <v>257</v>
      </c>
    </row>
    <row r="4" spans="1:5" x14ac:dyDescent="0.45">
      <c r="D4" s="16" t="s">
        <v>146</v>
      </c>
      <c r="E4" t="s">
        <v>150</v>
      </c>
    </row>
    <row r="5" spans="1:5" x14ac:dyDescent="0.45">
      <c r="D5" s="17" t="s">
        <v>157</v>
      </c>
      <c r="E5" s="20">
        <v>1</v>
      </c>
    </row>
    <row r="6" spans="1:5" x14ac:dyDescent="0.45">
      <c r="D6" s="17" t="s">
        <v>155</v>
      </c>
      <c r="E6" s="20">
        <v>1</v>
      </c>
    </row>
    <row r="7" spans="1:5" x14ac:dyDescent="0.45">
      <c r="D7" s="17" t="s">
        <v>154</v>
      </c>
      <c r="E7" s="20">
        <v>1</v>
      </c>
    </row>
    <row r="8" spans="1:5" x14ac:dyDescent="0.45">
      <c r="D8" s="17" t="s">
        <v>182</v>
      </c>
      <c r="E8" s="20">
        <v>1</v>
      </c>
    </row>
    <row r="9" spans="1:5" x14ac:dyDescent="0.45">
      <c r="D9" s="17" t="s">
        <v>153</v>
      </c>
      <c r="E9" s="20">
        <v>1</v>
      </c>
    </row>
    <row r="10" spans="1:5" x14ac:dyDescent="0.45">
      <c r="D10" s="17" t="s">
        <v>156</v>
      </c>
      <c r="E10" s="20">
        <v>1</v>
      </c>
    </row>
    <row r="11" spans="1:5" x14ac:dyDescent="0.45">
      <c r="D11" s="17" t="s">
        <v>158</v>
      </c>
      <c r="E11" s="20"/>
    </row>
    <row r="12" spans="1:5" x14ac:dyDescent="0.45">
      <c r="D12" s="17" t="s">
        <v>50</v>
      </c>
      <c r="E12" s="20">
        <v>6</v>
      </c>
    </row>
    <row r="14" spans="1:5" x14ac:dyDescent="0.45">
      <c r="D14" t="s">
        <v>50</v>
      </c>
      <c r="E14">
        <f>GETPIVOTDATA("Story Points", $D$4)</f>
        <v>6</v>
      </c>
    </row>
    <row r="15" spans="1:5" x14ac:dyDescent="0.45">
      <c r="D15" t="s">
        <v>160</v>
      </c>
      <c r="E15" t="str">
        <f>"Sprint " &amp; SUBSTITUTE($B$1,"Quasar", "") &amp; " Progress"</f>
        <v>Sprint Rocket1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6"/>
  <sheetViews>
    <sheetView workbookViewId="0">
      <selection activeCell="B4" sqref="B4"/>
      <pivotSelection pane="bottomRight" activeRow="3" activeCol="1" previousRow="3" previousCol="1" click="1" r:id="rId2">
        <pivotArea field="32" type="button" dataOnly="0" labelOnly="1" outline="0" axis="axisPage" fieldPosition="0"/>
      </pivotSelection>
    </sheetView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3" x14ac:dyDescent="0.45">
      <c r="A1" t="s">
        <v>161</v>
      </c>
    </row>
    <row r="2" spans="1:3" x14ac:dyDescent="0.45">
      <c r="A2" t="s">
        <v>168</v>
      </c>
    </row>
    <row r="4" spans="1:3" x14ac:dyDescent="0.45">
      <c r="B4" s="16" t="s">
        <v>141</v>
      </c>
      <c r="C4" t="s">
        <v>227</v>
      </c>
    </row>
    <row r="5" spans="1:3" x14ac:dyDescent="0.45">
      <c r="B5" s="16" t="s">
        <v>9</v>
      </c>
      <c r="C5" t="s">
        <v>72</v>
      </c>
    </row>
    <row r="6" spans="1:3" x14ac:dyDescent="0.45">
      <c r="B6" s="16" t="s">
        <v>119</v>
      </c>
      <c r="C6" t="s">
        <v>186</v>
      </c>
    </row>
    <row r="7" spans="1:3" x14ac:dyDescent="0.45">
      <c r="B7" s="16" t="s">
        <v>0</v>
      </c>
      <c r="C7" t="s">
        <v>159</v>
      </c>
    </row>
    <row r="9" spans="1:3" x14ac:dyDescent="0.45">
      <c r="B9" s="16" t="s">
        <v>146</v>
      </c>
      <c r="C9" t="s">
        <v>167</v>
      </c>
    </row>
    <row r="10" spans="1:3" x14ac:dyDescent="0.45">
      <c r="B10" s="17" t="s">
        <v>162</v>
      </c>
      <c r="C10" s="20">
        <v>1</v>
      </c>
    </row>
    <row r="11" spans="1:3" x14ac:dyDescent="0.45">
      <c r="B11" s="17" t="s">
        <v>163</v>
      </c>
      <c r="C11" s="20">
        <v>1</v>
      </c>
    </row>
    <row r="12" spans="1:3" x14ac:dyDescent="0.45">
      <c r="B12" s="17" t="s">
        <v>164</v>
      </c>
      <c r="C12" s="20">
        <v>1</v>
      </c>
    </row>
    <row r="13" spans="1:3" x14ac:dyDescent="0.45">
      <c r="B13" s="17" t="s">
        <v>165</v>
      </c>
      <c r="C13" s="20">
        <v>1</v>
      </c>
    </row>
    <row r="14" spans="1:3" x14ac:dyDescent="0.45">
      <c r="B14" s="17" t="s">
        <v>166</v>
      </c>
      <c r="C14" s="20">
        <v>1</v>
      </c>
    </row>
    <row r="15" spans="1:3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141</v>
      </c>
      <c r="C24" t="s">
        <v>227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186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146</v>
      </c>
      <c r="C29" t="s">
        <v>167</v>
      </c>
    </row>
    <row r="30" spans="2:3" x14ac:dyDescent="0.45">
      <c r="B30" s="17" t="s">
        <v>250</v>
      </c>
      <c r="C30" s="20">
        <v>1</v>
      </c>
    </row>
    <row r="31" spans="2:3" x14ac:dyDescent="0.45">
      <c r="B31" s="17" t="s">
        <v>251</v>
      </c>
      <c r="C31" s="20"/>
    </row>
    <row r="32" spans="2:3" x14ac:dyDescent="0.45">
      <c r="B32" s="17" t="s">
        <v>252</v>
      </c>
      <c r="C32" s="20"/>
    </row>
    <row r="33" spans="2:3" x14ac:dyDescent="0.45">
      <c r="B33" s="17" t="s">
        <v>253</v>
      </c>
      <c r="C33" s="20">
        <v>1</v>
      </c>
    </row>
    <row r="34" spans="2:3" x14ac:dyDescent="0.45">
      <c r="B34" s="17" t="s">
        <v>254</v>
      </c>
      <c r="C34" s="20"/>
    </row>
    <row r="35" spans="2:3" x14ac:dyDescent="0.45">
      <c r="B35" s="17" t="s">
        <v>255</v>
      </c>
      <c r="C35" s="20"/>
    </row>
    <row r="36" spans="2:3" x14ac:dyDescent="0.45">
      <c r="B36" s="17" t="s">
        <v>50</v>
      </c>
      <c r="C36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T105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13.73046875" style="5" customWidth="1"/>
    <col min="46" max="16384" width="9.1328125" style="3"/>
  </cols>
  <sheetData>
    <row r="1" spans="1:46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126</v>
      </c>
      <c r="Z1" s="1" t="s">
        <v>132</v>
      </c>
      <c r="AA1" s="1" t="s">
        <v>134</v>
      </c>
      <c r="AB1" s="1" t="s">
        <v>136</v>
      </c>
      <c r="AC1" s="1" t="s">
        <v>138</v>
      </c>
      <c r="AD1" s="1" t="s">
        <v>140</v>
      </c>
      <c r="AE1" s="1" t="s">
        <v>147</v>
      </c>
      <c r="AF1" s="1" t="s">
        <v>170</v>
      </c>
      <c r="AG1" s="1" t="s">
        <v>141</v>
      </c>
      <c r="AH1" s="1" t="s">
        <v>43</v>
      </c>
      <c r="AI1" s="1" t="s">
        <v>151</v>
      </c>
      <c r="AJ1" s="1" t="s">
        <v>235</v>
      </c>
      <c r="AK1" s="1" t="s">
        <v>44</v>
      </c>
      <c r="AL1" s="1" t="s">
        <v>119</v>
      </c>
      <c r="AM1" s="1" t="s">
        <v>120</v>
      </c>
      <c r="AN1" s="1" t="s">
        <v>177</v>
      </c>
      <c r="AO1" s="1" t="s">
        <v>176</v>
      </c>
      <c r="AP1" s="1" t="s">
        <v>178</v>
      </c>
      <c r="AQ1" s="1" t="s">
        <v>128</v>
      </c>
      <c r="AR1" s="1" t="s">
        <v>48</v>
      </c>
      <c r="AS1" s="1" t="s">
        <v>226</v>
      </c>
      <c r="AT1" s="3" t="s">
        <v>232</v>
      </c>
    </row>
    <row r="2" spans="1:46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127</v>
      </c>
      <c r="Z2" s="11" t="s">
        <v>133</v>
      </c>
      <c r="AA2" s="11" t="s">
        <v>135</v>
      </c>
      <c r="AB2" s="11" t="s">
        <v>137</v>
      </c>
      <c r="AC2" s="15" t="s">
        <v>139</v>
      </c>
      <c r="AD2" s="15" t="s">
        <v>127</v>
      </c>
      <c r="AE2" s="15" t="s">
        <v>148</v>
      </c>
      <c r="AF2" s="15" t="s">
        <v>231</v>
      </c>
      <c r="AG2" s="15" t="s">
        <v>142</v>
      </c>
      <c r="AH2" s="10" t="s">
        <v>46</v>
      </c>
      <c r="AI2" s="10" t="s">
        <v>152</v>
      </c>
      <c r="AJ2" s="10" t="s">
        <v>236</v>
      </c>
      <c r="AK2" s="14" t="s">
        <v>49</v>
      </c>
      <c r="AL2" s="14" t="s">
        <v>122</v>
      </c>
      <c r="AM2" s="14" t="s">
        <v>121</v>
      </c>
      <c r="AN2" s="11" t="s">
        <v>171</v>
      </c>
      <c r="AO2" s="11" t="s">
        <v>172</v>
      </c>
      <c r="AP2" s="11" t="s">
        <v>173</v>
      </c>
      <c r="AQ2" s="15" t="s">
        <v>129</v>
      </c>
      <c r="AR2" s="15" t="s">
        <v>225</v>
      </c>
      <c r="AS2" s="15" t="s">
        <v>230</v>
      </c>
      <c r="AT2" s="5" t="s">
        <v>11</v>
      </c>
    </row>
    <row r="3" spans="1:46" x14ac:dyDescent="0.45">
      <c r="A3" s="3" t="s">
        <v>55</v>
      </c>
    </row>
    <row r="4" spans="1:46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257</v>
      </c>
      <c r="AG4" s="5" t="s">
        <v>227</v>
      </c>
      <c r="AI4" s="5" t="s">
        <v>153</v>
      </c>
      <c r="AJ4" s="10" t="s">
        <v>277</v>
      </c>
      <c r="AL4" s="4" t="s">
        <v>56</v>
      </c>
      <c r="AM4" s="4" t="s">
        <v>56</v>
      </c>
      <c r="AN4" s="4"/>
      <c r="AO4" s="4"/>
      <c r="AP4" s="4"/>
      <c r="AQ4" s="4"/>
    </row>
    <row r="5" spans="1:46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N5" s="5">
        <v>5</v>
      </c>
      <c r="V5" s="4" t="s">
        <v>54</v>
      </c>
      <c r="W5" s="4"/>
      <c r="AE5" s="5" t="s">
        <v>258</v>
      </c>
      <c r="AI5" s="5" t="s">
        <v>182</v>
      </c>
      <c r="AJ5" s="10" t="s">
        <v>237</v>
      </c>
      <c r="AL5" s="4" t="s">
        <v>54</v>
      </c>
      <c r="AM5" s="4" t="s">
        <v>54</v>
      </c>
      <c r="AN5" s="4"/>
      <c r="AO5" s="4"/>
      <c r="AP5" s="4"/>
      <c r="AQ5" s="4"/>
      <c r="AS5" s="5" t="s">
        <v>228</v>
      </c>
    </row>
    <row r="6" spans="1:46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N6" s="5">
        <v>10</v>
      </c>
      <c r="V6" s="4" t="s">
        <v>57</v>
      </c>
      <c r="W6" s="4"/>
      <c r="AE6" s="5" t="s">
        <v>259</v>
      </c>
      <c r="AI6" s="5" t="s">
        <v>154</v>
      </c>
      <c r="AJ6" s="5" t="s">
        <v>234</v>
      </c>
      <c r="AL6" s="4" t="s">
        <v>256</v>
      </c>
      <c r="AM6" s="4" t="s">
        <v>57</v>
      </c>
      <c r="AN6" s="4"/>
      <c r="AO6" s="4"/>
      <c r="AP6" s="4"/>
      <c r="AQ6" s="4"/>
      <c r="AS6" s="5" t="s">
        <v>228</v>
      </c>
    </row>
    <row r="7" spans="1:46" x14ac:dyDescent="0.45">
      <c r="A7" s="5" t="s">
        <v>51</v>
      </c>
      <c r="B7" s="5" t="s">
        <v>70</v>
      </c>
      <c r="D7" s="4" t="s">
        <v>52</v>
      </c>
      <c r="E7" s="19" t="s">
        <v>95</v>
      </c>
      <c r="N7" s="5">
        <v>20</v>
      </c>
      <c r="V7" s="4" t="s">
        <v>52</v>
      </c>
      <c r="W7" s="4"/>
      <c r="AE7" s="5" t="s">
        <v>260</v>
      </c>
      <c r="AI7" s="5" t="s">
        <v>155</v>
      </c>
      <c r="AJ7" s="5" t="s">
        <v>61</v>
      </c>
      <c r="AL7" s="4" t="s">
        <v>52</v>
      </c>
      <c r="AM7" s="4" t="s">
        <v>52</v>
      </c>
      <c r="AN7" s="4"/>
      <c r="AO7" s="4"/>
      <c r="AP7" s="4"/>
      <c r="AQ7" s="4"/>
      <c r="AS7" s="5" t="s">
        <v>228</v>
      </c>
    </row>
    <row r="8" spans="1:46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261</v>
      </c>
      <c r="AI8" s="5" t="s">
        <v>157</v>
      </c>
      <c r="AJ8" s="10" t="s">
        <v>194</v>
      </c>
      <c r="AL8" s="4" t="s">
        <v>58</v>
      </c>
      <c r="AM8" s="4" t="s">
        <v>58</v>
      </c>
      <c r="AN8" s="4"/>
      <c r="AO8" s="4"/>
      <c r="AP8" s="4"/>
      <c r="AQ8" s="4"/>
      <c r="AS8" s="5" t="s">
        <v>229</v>
      </c>
    </row>
    <row r="9" spans="1:46" x14ac:dyDescent="0.45">
      <c r="A9" s="5" t="s">
        <v>51</v>
      </c>
      <c r="B9" s="5" t="s">
        <v>61</v>
      </c>
      <c r="D9" s="4" t="s">
        <v>59</v>
      </c>
      <c r="E9" s="19" t="s">
        <v>97</v>
      </c>
      <c r="V9" s="4" t="s">
        <v>59</v>
      </c>
      <c r="W9" s="4"/>
      <c r="AE9" s="5" t="s">
        <v>262</v>
      </c>
      <c r="AI9" s="5" t="s">
        <v>156</v>
      </c>
      <c r="AJ9" s="10" t="s">
        <v>195</v>
      </c>
      <c r="AL9" s="4" t="s">
        <v>59</v>
      </c>
      <c r="AM9" s="4" t="s">
        <v>59</v>
      </c>
      <c r="AN9" s="4"/>
      <c r="AO9" s="4"/>
      <c r="AP9" s="4"/>
      <c r="AQ9" s="4"/>
      <c r="AS9" s="5" t="s">
        <v>229</v>
      </c>
    </row>
    <row r="10" spans="1:46" x14ac:dyDescent="0.45">
      <c r="A10" s="5" t="s">
        <v>51</v>
      </c>
      <c r="B10" s="5" t="s">
        <v>61</v>
      </c>
      <c r="D10" s="4" t="s">
        <v>60</v>
      </c>
      <c r="E10" s="19" t="s">
        <v>98</v>
      </c>
      <c r="V10" s="4" t="s">
        <v>60</v>
      </c>
      <c r="W10" s="4"/>
      <c r="AE10" s="5" t="s">
        <v>257</v>
      </c>
      <c r="AI10" s="5" t="s">
        <v>158</v>
      </c>
      <c r="AL10" s="4" t="s">
        <v>256</v>
      </c>
      <c r="AM10" s="4" t="s">
        <v>60</v>
      </c>
      <c r="AN10" s="4"/>
      <c r="AO10" s="4"/>
      <c r="AP10" s="4"/>
      <c r="AQ10" s="4"/>
      <c r="AS10" s="5" t="s">
        <v>229</v>
      </c>
    </row>
    <row r="11" spans="1:46" x14ac:dyDescent="0.45">
      <c r="A11" s="5" t="s">
        <v>51</v>
      </c>
      <c r="B11" s="5" t="s">
        <v>61</v>
      </c>
      <c r="D11" s="4" t="s">
        <v>53</v>
      </c>
      <c r="E11" s="19" t="s">
        <v>99</v>
      </c>
      <c r="V11" s="4" t="s">
        <v>53</v>
      </c>
      <c r="W11" s="4"/>
      <c r="AE11" s="5" t="s">
        <v>258</v>
      </c>
      <c r="AL11" s="4" t="s">
        <v>53</v>
      </c>
      <c r="AM11" s="4" t="s">
        <v>53</v>
      </c>
      <c r="AN11" s="4"/>
      <c r="AO11" s="4"/>
      <c r="AP11" s="4"/>
      <c r="AQ11" s="4"/>
    </row>
    <row r="12" spans="1:46" x14ac:dyDescent="0.45">
      <c r="A12" s="5" t="s">
        <v>51</v>
      </c>
      <c r="B12" s="5" t="s">
        <v>61</v>
      </c>
      <c r="D12" s="4" t="s">
        <v>61</v>
      </c>
      <c r="E12" s="19" t="s">
        <v>100</v>
      </c>
      <c r="V12" s="4" t="s">
        <v>61</v>
      </c>
      <c r="W12" s="4"/>
      <c r="AE12" s="5" t="s">
        <v>259</v>
      </c>
      <c r="AF12" s="5" t="s">
        <v>250</v>
      </c>
      <c r="AL12" s="4" t="s">
        <v>61</v>
      </c>
      <c r="AM12" s="4" t="s">
        <v>61</v>
      </c>
      <c r="AN12" s="4"/>
      <c r="AO12" s="4"/>
      <c r="AP12" s="4"/>
      <c r="AQ12" s="4"/>
    </row>
    <row r="13" spans="1:46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260</v>
      </c>
      <c r="AF13" s="5" t="s">
        <v>251</v>
      </c>
      <c r="AL13" s="4"/>
      <c r="AM13" s="4"/>
      <c r="AN13" s="4"/>
      <c r="AO13" s="4"/>
      <c r="AP13" s="4"/>
      <c r="AQ13" s="4"/>
    </row>
    <row r="14" spans="1:46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261</v>
      </c>
      <c r="AF14" s="5" t="s">
        <v>252</v>
      </c>
      <c r="AL14" s="4"/>
      <c r="AM14" s="4"/>
      <c r="AN14" s="4"/>
      <c r="AO14" s="4"/>
      <c r="AP14" s="4"/>
      <c r="AQ14" s="4"/>
      <c r="AS14" s="5" t="s">
        <v>228</v>
      </c>
    </row>
    <row r="15" spans="1:46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262</v>
      </c>
      <c r="AF15" s="5" t="s">
        <v>253</v>
      </c>
      <c r="AL15" s="4"/>
      <c r="AM15" s="4"/>
      <c r="AN15" s="4"/>
      <c r="AO15" s="4"/>
      <c r="AP15" s="4"/>
      <c r="AQ15" s="4"/>
    </row>
    <row r="16" spans="1:46" x14ac:dyDescent="0.45">
      <c r="A16" s="5" t="s">
        <v>51</v>
      </c>
      <c r="E16" s="19" t="s">
        <v>104</v>
      </c>
      <c r="AE16" s="5" t="s">
        <v>257</v>
      </c>
      <c r="AF16" s="5" t="s">
        <v>254</v>
      </c>
    </row>
    <row r="17" spans="1:35" ht="26.25" x14ac:dyDescent="0.45">
      <c r="A17" s="5" t="s">
        <v>51</v>
      </c>
      <c r="E17" s="19" t="s">
        <v>105</v>
      </c>
      <c r="AE17" s="5" t="s">
        <v>258</v>
      </c>
      <c r="AF17" s="5" t="s">
        <v>255</v>
      </c>
    </row>
    <row r="18" spans="1:35" x14ac:dyDescent="0.45">
      <c r="A18" s="5" t="s">
        <v>51</v>
      </c>
      <c r="E18" s="19" t="s">
        <v>106</v>
      </c>
      <c r="AE18" s="5" t="s">
        <v>259</v>
      </c>
      <c r="AF18" s="5" t="s">
        <v>250</v>
      </c>
    </row>
    <row r="19" spans="1:35" ht="39.4" x14ac:dyDescent="0.45">
      <c r="A19" s="5" t="s">
        <v>51</v>
      </c>
      <c r="E19" s="19" t="s">
        <v>107</v>
      </c>
      <c r="AE19" s="5" t="s">
        <v>260</v>
      </c>
      <c r="AF19" s="5" t="s">
        <v>251</v>
      </c>
    </row>
    <row r="20" spans="1:35" ht="26.25" x14ac:dyDescent="0.45">
      <c r="A20" s="5" t="s">
        <v>51</v>
      </c>
      <c r="E20" s="19" t="s">
        <v>108</v>
      </c>
      <c r="AE20" s="5" t="s">
        <v>261</v>
      </c>
      <c r="AF20" s="5" t="s">
        <v>252</v>
      </c>
    </row>
    <row r="21" spans="1:35" ht="26.25" x14ac:dyDescent="0.45">
      <c r="A21" s="5" t="s">
        <v>51</v>
      </c>
      <c r="E21" s="19" t="s">
        <v>109</v>
      </c>
      <c r="AE21" s="5" t="s">
        <v>262</v>
      </c>
      <c r="AF21" s="5" t="s">
        <v>253</v>
      </c>
    </row>
    <row r="22" spans="1:35" ht="26.25" x14ac:dyDescent="0.45">
      <c r="A22" s="5" t="s">
        <v>51</v>
      </c>
      <c r="E22" s="19" t="s">
        <v>110</v>
      </c>
      <c r="AE22" s="5" t="s">
        <v>257</v>
      </c>
      <c r="AF22" s="5" t="s">
        <v>254</v>
      </c>
    </row>
    <row r="23" spans="1:35" ht="26.25" x14ac:dyDescent="0.45">
      <c r="A23" s="5" t="s">
        <v>51</v>
      </c>
      <c r="E23" s="19" t="s">
        <v>111</v>
      </c>
      <c r="AE23" s="5" t="s">
        <v>258</v>
      </c>
      <c r="AF23" s="5" t="s">
        <v>255</v>
      </c>
    </row>
    <row r="24" spans="1:35" x14ac:dyDescent="0.45">
      <c r="A24" s="5" t="s">
        <v>51</v>
      </c>
      <c r="E24" s="19" t="s">
        <v>112</v>
      </c>
      <c r="AE24" s="5" t="s">
        <v>259</v>
      </c>
      <c r="AF24" s="5" t="s">
        <v>250</v>
      </c>
    </row>
    <row r="25" spans="1:35" x14ac:dyDescent="0.45">
      <c r="A25" s="5" t="s">
        <v>51</v>
      </c>
      <c r="E25" s="19" t="s">
        <v>113</v>
      </c>
      <c r="AE25" s="5" t="s">
        <v>260</v>
      </c>
      <c r="AF25" s="5" t="s">
        <v>250</v>
      </c>
    </row>
    <row r="26" spans="1:35" x14ac:dyDescent="0.45">
      <c r="A26" s="5" t="s">
        <v>51</v>
      </c>
      <c r="E26" s="19" t="s">
        <v>114</v>
      </c>
    </row>
    <row r="27" spans="1:35" x14ac:dyDescent="0.45">
      <c r="A27" s="5" t="s">
        <v>51</v>
      </c>
      <c r="B27" s="5" t="s">
        <v>70</v>
      </c>
      <c r="E27" s="19" t="s">
        <v>115</v>
      </c>
      <c r="N27" s="5">
        <v>30</v>
      </c>
    </row>
    <row r="28" spans="1:35" ht="26.25" x14ac:dyDescent="0.45">
      <c r="A28" s="5" t="s">
        <v>51</v>
      </c>
      <c r="E28" s="19" t="s">
        <v>116</v>
      </c>
    </row>
    <row r="29" spans="1:35" x14ac:dyDescent="0.45">
      <c r="A29" s="5" t="s">
        <v>51</v>
      </c>
      <c r="E29" s="19" t="s">
        <v>73</v>
      </c>
    </row>
    <row r="30" spans="1:35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">
        <v>257</v>
      </c>
      <c r="AI30" s="5" t="s">
        <v>153</v>
      </c>
    </row>
    <row r="31" spans="1:35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">
        <v>257</v>
      </c>
      <c r="AI31" s="5" t="s">
        <v>182</v>
      </c>
    </row>
    <row r="32" spans="1:35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">
        <v>257</v>
      </c>
      <c r="AI32" s="5" t="s">
        <v>154</v>
      </c>
    </row>
    <row r="33" spans="1:38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">
        <v>257</v>
      </c>
      <c r="AI33" s="5" t="s">
        <v>155</v>
      </c>
    </row>
    <row r="34" spans="1:38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">
        <v>257</v>
      </c>
      <c r="AI34" s="5" t="s">
        <v>157</v>
      </c>
    </row>
    <row r="35" spans="1:38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">
        <v>257</v>
      </c>
      <c r="AI35" s="5" t="s">
        <v>156</v>
      </c>
    </row>
    <row r="36" spans="1:38" ht="26.25" x14ac:dyDescent="0.45">
      <c r="A36" s="5" t="s">
        <v>51</v>
      </c>
      <c r="E36" s="19" t="s">
        <v>80</v>
      </c>
      <c r="N36" s="5">
        <v>1</v>
      </c>
      <c r="AE36" s="5" t="s">
        <v>257</v>
      </c>
      <c r="AI36" s="5" t="s">
        <v>158</v>
      </c>
    </row>
    <row r="37" spans="1:38" x14ac:dyDescent="0.45">
      <c r="A37" s="5" t="s">
        <v>51</v>
      </c>
      <c r="E37" s="19" t="s">
        <v>81</v>
      </c>
    </row>
    <row r="38" spans="1:38" x14ac:dyDescent="0.45">
      <c r="A38" s="5" t="s">
        <v>51</v>
      </c>
      <c r="E38" s="19" t="s">
        <v>82</v>
      </c>
    </row>
    <row r="39" spans="1:38" x14ac:dyDescent="0.45">
      <c r="A39" s="5" t="s">
        <v>51</v>
      </c>
      <c r="E39" s="19" t="s">
        <v>83</v>
      </c>
    </row>
    <row r="40" spans="1:38" x14ac:dyDescent="0.45">
      <c r="A40" s="5" t="s">
        <v>51</v>
      </c>
      <c r="B40" s="3" t="s">
        <v>72</v>
      </c>
      <c r="E40" s="19" t="s">
        <v>84</v>
      </c>
      <c r="AF40" s="5" t="s">
        <v>250</v>
      </c>
      <c r="AG40" s="5" t="s">
        <v>227</v>
      </c>
      <c r="AH40" s="5" t="s">
        <v>162</v>
      </c>
      <c r="AL40" s="4" t="s">
        <v>52</v>
      </c>
    </row>
    <row r="41" spans="1:38" x14ac:dyDescent="0.45">
      <c r="A41" s="5" t="s">
        <v>51</v>
      </c>
      <c r="B41" s="5" t="s">
        <v>72</v>
      </c>
      <c r="E41" s="19" t="s">
        <v>85</v>
      </c>
      <c r="AF41" s="5" t="s">
        <v>251</v>
      </c>
      <c r="AG41" s="5" t="s">
        <v>227</v>
      </c>
      <c r="AH41" s="5" t="s">
        <v>163</v>
      </c>
      <c r="AL41" s="4" t="s">
        <v>52</v>
      </c>
    </row>
    <row r="42" spans="1:38" x14ac:dyDescent="0.45">
      <c r="A42" s="5" t="s">
        <v>51</v>
      </c>
      <c r="B42" s="5" t="s">
        <v>72</v>
      </c>
      <c r="E42" s="19" t="s">
        <v>86</v>
      </c>
      <c r="AF42" s="5" t="s">
        <v>252</v>
      </c>
      <c r="AG42" s="5" t="s">
        <v>227</v>
      </c>
      <c r="AH42" s="5" t="s">
        <v>164</v>
      </c>
      <c r="AL42" s="4" t="s">
        <v>52</v>
      </c>
    </row>
    <row r="43" spans="1:38" x14ac:dyDescent="0.45">
      <c r="A43" s="5" t="s">
        <v>51</v>
      </c>
      <c r="B43" s="5" t="s">
        <v>72</v>
      </c>
      <c r="E43" s="19" t="s">
        <v>87</v>
      </c>
      <c r="AF43" s="5" t="s">
        <v>253</v>
      </c>
      <c r="AG43" s="5" t="s">
        <v>227</v>
      </c>
      <c r="AH43" s="5" t="s">
        <v>165</v>
      </c>
      <c r="AL43" s="4" t="s">
        <v>52</v>
      </c>
    </row>
    <row r="44" spans="1:38" x14ac:dyDescent="0.45">
      <c r="A44" s="5" t="s">
        <v>51</v>
      </c>
      <c r="B44" s="5" t="s">
        <v>72</v>
      </c>
      <c r="E44" s="19" t="s">
        <v>88</v>
      </c>
      <c r="AF44" s="5" t="s">
        <v>254</v>
      </c>
      <c r="AG44" s="5" t="s">
        <v>227</v>
      </c>
      <c r="AH44" s="5" t="s">
        <v>166</v>
      </c>
      <c r="AL44" s="4" t="s">
        <v>52</v>
      </c>
    </row>
    <row r="45" spans="1:38" ht="26.25" x14ac:dyDescent="0.45">
      <c r="A45" s="5" t="s">
        <v>51</v>
      </c>
      <c r="B45" s="5" t="s">
        <v>72</v>
      </c>
      <c r="E45" s="19" t="s">
        <v>89</v>
      </c>
      <c r="AF45" s="5" t="s">
        <v>255</v>
      </c>
      <c r="AG45" s="5" t="s">
        <v>227</v>
      </c>
      <c r="AH45" s="5" t="s">
        <v>165</v>
      </c>
      <c r="AL45" s="4" t="s">
        <v>52</v>
      </c>
    </row>
    <row r="46" spans="1:38" ht="26.25" x14ac:dyDescent="0.45">
      <c r="A46" s="5" t="s">
        <v>51</v>
      </c>
      <c r="E46" s="19" t="s">
        <v>90</v>
      </c>
    </row>
    <row r="47" spans="1:38" x14ac:dyDescent="0.45">
      <c r="A47" s="5" t="s">
        <v>51</v>
      </c>
      <c r="E47" s="19" t="s">
        <v>91</v>
      </c>
    </row>
    <row r="48" spans="1:38" x14ac:dyDescent="0.45">
      <c r="A48" s="3" t="s">
        <v>51</v>
      </c>
    </row>
    <row r="49" spans="1:42" x14ac:dyDescent="0.45">
      <c r="A49" s="3" t="s">
        <v>51</v>
      </c>
      <c r="B49" s="3" t="s">
        <v>72</v>
      </c>
      <c r="E49" s="19" t="s">
        <v>87</v>
      </c>
      <c r="AF49" s="5" t="s">
        <v>250</v>
      </c>
      <c r="AG49" s="5" t="s">
        <v>227</v>
      </c>
      <c r="AH49" s="5" t="s">
        <v>162</v>
      </c>
      <c r="AL49" s="4" t="s">
        <v>52</v>
      </c>
    </row>
    <row r="50" spans="1:42" x14ac:dyDescent="0.45">
      <c r="A50" s="5" t="s">
        <v>51</v>
      </c>
      <c r="B50" s="5" t="s">
        <v>68</v>
      </c>
      <c r="K50" s="5" t="s">
        <v>233</v>
      </c>
      <c r="P50" s="5">
        <v>200</v>
      </c>
      <c r="Q50" s="5">
        <v>150</v>
      </c>
      <c r="W50" s="5">
        <v>180</v>
      </c>
      <c r="AG50" s="5" t="s">
        <v>227</v>
      </c>
      <c r="AJ50" s="5" t="s">
        <v>61</v>
      </c>
      <c r="AN50" s="5">
        <v>30</v>
      </c>
      <c r="AO50" s="5">
        <v>60</v>
      </c>
      <c r="AP50" s="5">
        <v>40</v>
      </c>
    </row>
    <row r="51" spans="1:42" x14ac:dyDescent="0.45">
      <c r="A51" s="3" t="s">
        <v>51</v>
      </c>
      <c r="B51" s="3" t="s">
        <v>68</v>
      </c>
      <c r="K51" s="5" t="s">
        <v>234</v>
      </c>
      <c r="P51" s="5">
        <v>200</v>
      </c>
      <c r="Q51" s="5">
        <v>150</v>
      </c>
      <c r="W51" s="5">
        <v>180</v>
      </c>
      <c r="AG51" s="5" t="s">
        <v>227</v>
      </c>
      <c r="AJ51" s="5" t="s">
        <v>234</v>
      </c>
      <c r="AN51" s="5">
        <v>30</v>
      </c>
      <c r="AO51" s="5">
        <v>60</v>
      </c>
      <c r="AP51" s="5">
        <v>40</v>
      </c>
    </row>
    <row r="52" spans="1:42" s="5" customFormat="1" x14ac:dyDescent="0.45">
      <c r="A52" s="5" t="s">
        <v>51</v>
      </c>
      <c r="B52" s="5" t="s">
        <v>68</v>
      </c>
      <c r="C52" s="4"/>
      <c r="D52" s="4"/>
      <c r="E52" s="19" t="s">
        <v>100</v>
      </c>
      <c r="K52" s="5" t="s">
        <v>185</v>
      </c>
      <c r="N52" s="5">
        <v>10</v>
      </c>
      <c r="P52" s="5">
        <v>200</v>
      </c>
      <c r="Q52" s="5">
        <v>150</v>
      </c>
      <c r="AG52" s="5" t="s">
        <v>227</v>
      </c>
      <c r="AI52" s="5" t="s">
        <v>153</v>
      </c>
      <c r="AL52" s="4" t="s">
        <v>58</v>
      </c>
      <c r="AN52" s="5">
        <v>30</v>
      </c>
      <c r="AO52" s="5">
        <v>60</v>
      </c>
      <c r="AP52" s="5">
        <v>40</v>
      </c>
    </row>
    <row r="53" spans="1:42" x14ac:dyDescent="0.45">
      <c r="A53" s="5" t="s">
        <v>51</v>
      </c>
      <c r="B53" s="5" t="s">
        <v>71</v>
      </c>
      <c r="E53" s="19" t="s">
        <v>102</v>
      </c>
      <c r="K53" s="5" t="s">
        <v>184</v>
      </c>
      <c r="N53" s="5">
        <v>10</v>
      </c>
      <c r="P53" s="5">
        <v>200</v>
      </c>
      <c r="Q53" s="5">
        <v>150</v>
      </c>
      <c r="AG53" s="5" t="s">
        <v>227</v>
      </c>
      <c r="AI53" s="5" t="s">
        <v>182</v>
      </c>
      <c r="AL53" s="4" t="s">
        <v>58</v>
      </c>
    </row>
    <row r="54" spans="1:42" ht="26.25" x14ac:dyDescent="0.45">
      <c r="A54" s="5" t="s">
        <v>51</v>
      </c>
      <c r="B54" s="5" t="s">
        <v>71</v>
      </c>
      <c r="E54" s="19" t="s">
        <v>103</v>
      </c>
      <c r="K54" s="5" t="s">
        <v>61</v>
      </c>
      <c r="N54" s="5">
        <v>10</v>
      </c>
      <c r="P54" s="5">
        <v>200</v>
      </c>
      <c r="Q54" s="5">
        <v>150</v>
      </c>
      <c r="AG54" s="5" t="s">
        <v>227</v>
      </c>
      <c r="AI54" s="5" t="s">
        <v>154</v>
      </c>
      <c r="AL54" s="4" t="s">
        <v>58</v>
      </c>
    </row>
    <row r="55" spans="1:42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227</v>
      </c>
      <c r="AI55" s="5" t="s">
        <v>155</v>
      </c>
      <c r="AL55" s="4" t="s">
        <v>58</v>
      </c>
    </row>
    <row r="56" spans="1:42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227</v>
      </c>
      <c r="AI56" s="5" t="s">
        <v>157</v>
      </c>
      <c r="AL56" s="4" t="s">
        <v>58</v>
      </c>
    </row>
    <row r="57" spans="1:42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227</v>
      </c>
      <c r="AI57" s="5" t="s">
        <v>153</v>
      </c>
      <c r="AL57" s="4" t="s">
        <v>56</v>
      </c>
    </row>
    <row r="58" spans="1:42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227</v>
      </c>
      <c r="AI58" s="5" t="s">
        <v>182</v>
      </c>
      <c r="AL58" s="4" t="s">
        <v>56</v>
      </c>
    </row>
    <row r="59" spans="1:42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227</v>
      </c>
      <c r="AI59" s="5" t="s">
        <v>154</v>
      </c>
      <c r="AL59" s="4" t="s">
        <v>56</v>
      </c>
    </row>
    <row r="60" spans="1:42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227</v>
      </c>
      <c r="AI60" s="5" t="s">
        <v>155</v>
      </c>
      <c r="AL60" s="4" t="s">
        <v>56</v>
      </c>
    </row>
    <row r="61" spans="1:42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227</v>
      </c>
      <c r="AI61" s="5" t="s">
        <v>157</v>
      </c>
      <c r="AL61" s="4" t="s">
        <v>56</v>
      </c>
    </row>
    <row r="62" spans="1:42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227</v>
      </c>
      <c r="AI62" s="5" t="s">
        <v>153</v>
      </c>
      <c r="AL62" s="4" t="s">
        <v>54</v>
      </c>
    </row>
    <row r="63" spans="1:42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227</v>
      </c>
      <c r="AI63" s="5" t="s">
        <v>182</v>
      </c>
      <c r="AL63" s="4" t="s">
        <v>54</v>
      </c>
    </row>
    <row r="64" spans="1:42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227</v>
      </c>
      <c r="AI64" s="5" t="s">
        <v>154</v>
      </c>
      <c r="AL64" s="4" t="s">
        <v>54</v>
      </c>
    </row>
    <row r="65" spans="1:38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227</v>
      </c>
      <c r="AI65" s="5" t="s">
        <v>155</v>
      </c>
      <c r="AL65" s="4" t="s">
        <v>54</v>
      </c>
    </row>
    <row r="66" spans="1:38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227</v>
      </c>
      <c r="AI66" s="5" t="s">
        <v>157</v>
      </c>
      <c r="AL66" s="4" t="s">
        <v>54</v>
      </c>
    </row>
    <row r="67" spans="1:38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227</v>
      </c>
      <c r="AI67" s="5" t="s">
        <v>153</v>
      </c>
      <c r="AL67" s="4" t="s">
        <v>256</v>
      </c>
    </row>
    <row r="68" spans="1:38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227</v>
      </c>
      <c r="AI68" s="5" t="s">
        <v>182</v>
      </c>
      <c r="AL68" s="4" t="s">
        <v>256</v>
      </c>
    </row>
    <row r="69" spans="1:38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227</v>
      </c>
      <c r="AI69" s="5" t="s">
        <v>154</v>
      </c>
      <c r="AL69" s="4" t="s">
        <v>256</v>
      </c>
    </row>
    <row r="70" spans="1:38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227</v>
      </c>
      <c r="AI70" s="5" t="s">
        <v>155</v>
      </c>
      <c r="AL70" s="4" t="s">
        <v>256</v>
      </c>
    </row>
    <row r="71" spans="1:38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227</v>
      </c>
      <c r="AI71" s="5" t="s">
        <v>157</v>
      </c>
      <c r="AL71" s="4" t="s">
        <v>256</v>
      </c>
    </row>
    <row r="72" spans="1:38" x14ac:dyDescent="0.45">
      <c r="A72" s="5" t="s">
        <v>51</v>
      </c>
    </row>
    <row r="73" spans="1:38" x14ac:dyDescent="0.45">
      <c r="A73" s="5" t="s">
        <v>51</v>
      </c>
      <c r="B73" s="5" t="s">
        <v>68</v>
      </c>
      <c r="P73" s="5">
        <v>200</v>
      </c>
      <c r="AG73" s="5" t="s">
        <v>227</v>
      </c>
      <c r="AJ73" s="10" t="s">
        <v>277</v>
      </c>
    </row>
    <row r="74" spans="1:38" x14ac:dyDescent="0.45">
      <c r="A74" s="5" t="s">
        <v>51</v>
      </c>
      <c r="B74" s="5" t="s">
        <v>68</v>
      </c>
      <c r="P74" s="5">
        <v>200</v>
      </c>
      <c r="AG74" s="5" t="s">
        <v>227</v>
      </c>
      <c r="AJ74" s="10" t="s">
        <v>237</v>
      </c>
    </row>
    <row r="75" spans="1:38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227</v>
      </c>
      <c r="AJ75" s="10" t="s">
        <v>194</v>
      </c>
    </row>
    <row r="76" spans="1:38" x14ac:dyDescent="0.45">
      <c r="A76" s="5" t="s">
        <v>51</v>
      </c>
      <c r="B76" s="5" t="s">
        <v>68</v>
      </c>
      <c r="P76" s="5">
        <v>200</v>
      </c>
      <c r="AG76" s="5" t="s">
        <v>227</v>
      </c>
      <c r="AJ76" s="10" t="s">
        <v>195</v>
      </c>
    </row>
    <row r="77" spans="1:38" x14ac:dyDescent="0.45">
      <c r="A77" s="5" t="s">
        <v>51</v>
      </c>
      <c r="AG77" s="5" t="s">
        <v>227</v>
      </c>
      <c r="AJ77" s="5" t="s">
        <v>234</v>
      </c>
      <c r="AL77" s="4"/>
    </row>
    <row r="78" spans="1:38" x14ac:dyDescent="0.45">
      <c r="A78" s="5" t="s">
        <v>51</v>
      </c>
      <c r="B78" s="5" t="s">
        <v>71</v>
      </c>
      <c r="E78" s="19" t="s">
        <v>106</v>
      </c>
      <c r="N78" s="5">
        <v>30</v>
      </c>
      <c r="AF78" s="5" t="s">
        <v>250</v>
      </c>
      <c r="AG78" s="5" t="s">
        <v>227</v>
      </c>
      <c r="AJ78" s="5" t="s">
        <v>61</v>
      </c>
      <c r="AL78" s="4" t="s">
        <v>54</v>
      </c>
    </row>
    <row r="79" spans="1:38" x14ac:dyDescent="0.45">
      <c r="A79" s="5" t="s">
        <v>51</v>
      </c>
      <c r="B79" s="5" t="s">
        <v>71</v>
      </c>
      <c r="E79" s="19" t="s">
        <v>106</v>
      </c>
      <c r="N79" s="5">
        <v>30</v>
      </c>
      <c r="AF79" s="5" t="s">
        <v>251</v>
      </c>
      <c r="AG79" s="5" t="s">
        <v>227</v>
      </c>
      <c r="AL79" s="4" t="s">
        <v>56</v>
      </c>
    </row>
    <row r="80" spans="1:38" x14ac:dyDescent="0.45">
      <c r="A80" s="5" t="s">
        <v>51</v>
      </c>
      <c r="B80" s="5" t="s">
        <v>71</v>
      </c>
      <c r="E80" s="19" t="s">
        <v>106</v>
      </c>
      <c r="N80" s="5">
        <v>30</v>
      </c>
      <c r="AF80" s="5" t="s">
        <v>252</v>
      </c>
      <c r="AL80" s="4" t="s">
        <v>58</v>
      </c>
    </row>
    <row r="81" spans="1:38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253</v>
      </c>
      <c r="AL81" s="4" t="s">
        <v>52</v>
      </c>
    </row>
    <row r="82" spans="1:38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254</v>
      </c>
      <c r="AL82" s="4" t="s">
        <v>256</v>
      </c>
    </row>
    <row r="83" spans="1:38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255</v>
      </c>
      <c r="AL83" s="4" t="s">
        <v>54</v>
      </c>
    </row>
    <row r="84" spans="1:38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250</v>
      </c>
      <c r="AL84" s="4" t="s">
        <v>56</v>
      </c>
    </row>
    <row r="85" spans="1:38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251</v>
      </c>
      <c r="AL85" s="4" t="s">
        <v>58</v>
      </c>
    </row>
    <row r="86" spans="1:38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252</v>
      </c>
      <c r="AL86" s="4" t="s">
        <v>52</v>
      </c>
    </row>
    <row r="87" spans="1:38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253</v>
      </c>
      <c r="AL87" s="4" t="s">
        <v>256</v>
      </c>
    </row>
    <row r="88" spans="1:38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254</v>
      </c>
      <c r="AL88" s="4" t="s">
        <v>54</v>
      </c>
    </row>
    <row r="89" spans="1:38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255</v>
      </c>
      <c r="AL89" s="4" t="s">
        <v>56</v>
      </c>
    </row>
    <row r="90" spans="1:38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250</v>
      </c>
      <c r="AL90" s="4" t="s">
        <v>58</v>
      </c>
    </row>
    <row r="91" spans="1:38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251</v>
      </c>
      <c r="AL91" s="4" t="s">
        <v>52</v>
      </c>
    </row>
    <row r="92" spans="1:38" x14ac:dyDescent="0.45">
      <c r="A92" s="5" t="s">
        <v>51</v>
      </c>
    </row>
    <row r="93" spans="1:38" x14ac:dyDescent="0.45">
      <c r="A93" s="5" t="s">
        <v>51</v>
      </c>
      <c r="B93" s="5" t="s">
        <v>61</v>
      </c>
      <c r="E93" s="19" t="s">
        <v>263</v>
      </c>
    </row>
    <row r="94" spans="1:38" x14ac:dyDescent="0.45">
      <c r="A94" s="5" t="s">
        <v>51</v>
      </c>
      <c r="B94" s="5" t="s">
        <v>61</v>
      </c>
      <c r="E94" s="19" t="s">
        <v>264</v>
      </c>
    </row>
    <row r="95" spans="1:38" x14ac:dyDescent="0.45">
      <c r="A95" s="5" t="s">
        <v>51</v>
      </c>
      <c r="B95" s="5" t="s">
        <v>61</v>
      </c>
      <c r="E95" s="19" t="s">
        <v>265</v>
      </c>
    </row>
    <row r="96" spans="1:38" ht="26.25" x14ac:dyDescent="0.45">
      <c r="A96" s="5" t="s">
        <v>51</v>
      </c>
      <c r="B96" s="5" t="s">
        <v>61</v>
      </c>
      <c r="E96" s="19" t="s">
        <v>266</v>
      </c>
    </row>
    <row r="97" spans="1:45" x14ac:dyDescent="0.45">
      <c r="A97" s="5" t="s">
        <v>51</v>
      </c>
      <c r="B97" s="5" t="s">
        <v>61</v>
      </c>
      <c r="E97" s="19" t="s">
        <v>267</v>
      </c>
    </row>
    <row r="98" spans="1:45" ht="26.25" x14ac:dyDescent="0.45">
      <c r="A98" s="5" t="s">
        <v>51</v>
      </c>
      <c r="B98" s="5" t="s">
        <v>61</v>
      </c>
      <c r="E98" s="19" t="s">
        <v>268</v>
      </c>
    </row>
    <row r="99" spans="1:45" x14ac:dyDescent="0.45">
      <c r="A99" s="5" t="s">
        <v>51</v>
      </c>
      <c r="B99" s="5" t="s">
        <v>61</v>
      </c>
      <c r="E99" s="19" t="s">
        <v>269</v>
      </c>
    </row>
    <row r="100" spans="1:45" ht="39.4" x14ac:dyDescent="0.45">
      <c r="A100" s="5" t="s">
        <v>51</v>
      </c>
      <c r="B100" s="5" t="s">
        <v>61</v>
      </c>
      <c r="E100" s="19" t="s">
        <v>270</v>
      </c>
    </row>
    <row r="101" spans="1:45" ht="26.25" x14ac:dyDescent="0.45">
      <c r="A101" s="5" t="s">
        <v>51</v>
      </c>
      <c r="B101" s="5" t="s">
        <v>61</v>
      </c>
      <c r="E101" s="19" t="s">
        <v>271</v>
      </c>
    </row>
    <row r="102" spans="1:45" ht="26.25" x14ac:dyDescent="0.45">
      <c r="A102" s="5" t="s">
        <v>51</v>
      </c>
      <c r="B102" s="5" t="s">
        <v>61</v>
      </c>
      <c r="E102" s="19" t="s">
        <v>272</v>
      </c>
    </row>
    <row r="103" spans="1:45" ht="26.25" x14ac:dyDescent="0.45">
      <c r="A103" s="5" t="s">
        <v>51</v>
      </c>
      <c r="B103" s="5" t="s">
        <v>61</v>
      </c>
      <c r="E103" s="19" t="s">
        <v>273</v>
      </c>
    </row>
    <row r="104" spans="1:45" ht="26.25" x14ac:dyDescent="0.45">
      <c r="A104" s="5" t="s">
        <v>51</v>
      </c>
      <c r="B104" s="5" t="s">
        <v>61</v>
      </c>
      <c r="E104" s="19" t="s">
        <v>274</v>
      </c>
    </row>
    <row r="105" spans="1:45" x14ac:dyDescent="0.45">
      <c r="A105" s="5" t="s">
        <v>51</v>
      </c>
      <c r="B105" s="5" t="s">
        <v>61</v>
      </c>
      <c r="E105" s="19" t="s">
        <v>275</v>
      </c>
      <c r="AS105" s="5" t="s">
        <v>125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4" t="s">
        <v>208</v>
      </c>
    </row>
    <row r="3" spans="1:2" x14ac:dyDescent="0.45">
      <c r="A3" t="s">
        <v>205</v>
      </c>
    </row>
    <row r="4" spans="1:2" x14ac:dyDescent="0.45">
      <c r="B4" t="s">
        <v>204</v>
      </c>
    </row>
    <row r="5" spans="1:2" x14ac:dyDescent="0.45">
      <c r="A5" t="s">
        <v>219</v>
      </c>
    </row>
    <row r="6" spans="1:2" x14ac:dyDescent="0.45">
      <c r="B6" t="s">
        <v>220</v>
      </c>
    </row>
    <row r="7" spans="1:2" x14ac:dyDescent="0.45">
      <c r="A7" t="s">
        <v>221</v>
      </c>
    </row>
    <row r="8" spans="1:2" x14ac:dyDescent="0.45">
      <c r="B8" t="s">
        <v>206</v>
      </c>
    </row>
    <row r="9" spans="1:2" x14ac:dyDescent="0.45">
      <c r="A9" t="s">
        <v>222</v>
      </c>
    </row>
    <row r="10" spans="1:2" x14ac:dyDescent="0.45">
      <c r="B10" t="s">
        <v>207</v>
      </c>
    </row>
    <row r="11" spans="1:2" x14ac:dyDescent="0.45">
      <c r="A11" t="s">
        <v>223</v>
      </c>
    </row>
    <row r="12" spans="1:2" x14ac:dyDescent="0.45">
      <c r="B12" t="s">
        <v>209</v>
      </c>
    </row>
    <row r="13" spans="1:2" x14ac:dyDescent="0.45">
      <c r="B13" t="s">
        <v>210</v>
      </c>
    </row>
    <row r="14" spans="1:2" x14ac:dyDescent="0.45">
      <c r="A14" t="s">
        <v>224</v>
      </c>
    </row>
    <row r="15" spans="1:2" x14ac:dyDescent="0.45">
      <c r="B15" t="s">
        <v>211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1"/>
  <sheetViews>
    <sheetView zoomScaleNormal="100" workbookViewId="0"/>
  </sheetViews>
  <sheetFormatPr defaultRowHeight="14.25" x14ac:dyDescent="0.45"/>
  <cols>
    <col min="1" max="1" width="14.33203125" bestFit="1" customWidth="1"/>
    <col min="2" max="2" width="8.265625" bestFit="1" customWidth="1"/>
    <col min="3" max="3" width="10.19921875" bestFit="1" customWidth="1"/>
    <col min="4" max="4" width="14.33203125" bestFit="1" customWidth="1"/>
    <col min="5" max="5" width="18.06640625" bestFit="1" customWidth="1"/>
    <col min="7" max="7" width="22.46484375" bestFit="1" customWidth="1"/>
    <col min="8" max="8" width="12.73046875" bestFit="1" customWidth="1"/>
    <col min="9" max="9" width="12" customWidth="1"/>
    <col min="10" max="10" width="14.33203125" bestFit="1" customWidth="1"/>
    <col min="11" max="11" width="14.79687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5.863281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189</v>
      </c>
      <c r="B1" t="s">
        <v>161</v>
      </c>
      <c r="K1" t="s">
        <v>279</v>
      </c>
      <c r="L1" t="s">
        <v>234</v>
      </c>
      <c r="M1" t="s">
        <v>141</v>
      </c>
      <c r="N1" t="s">
        <v>237</v>
      </c>
      <c r="O1" t="s">
        <v>234</v>
      </c>
      <c r="P1" t="s">
        <v>277</v>
      </c>
      <c r="Q1" s="81" t="s">
        <v>141</v>
      </c>
      <c r="R1" s="81"/>
      <c r="S1" s="81" t="s">
        <v>237</v>
      </c>
      <c r="T1" s="81"/>
      <c r="U1" s="81" t="s">
        <v>234</v>
      </c>
      <c r="V1" s="81"/>
      <c r="W1" s="81" t="s">
        <v>278</v>
      </c>
      <c r="X1" s="81"/>
      <c r="AB1" s="16" t="s">
        <v>141</v>
      </c>
      <c r="AC1" t="s">
        <v>227</v>
      </c>
    </row>
    <row r="2" spans="1:30" x14ac:dyDescent="0.45">
      <c r="A2" t="s">
        <v>143</v>
      </c>
      <c r="B2" s="45">
        <f ca="1">MAX(NETWORKDAYS($D$3,$E$6,$Z$3:$Z$5)/NETWORKDAYS($D$3,$E$3,$Z$3:$Z$5),0%)</f>
        <v>0</v>
      </c>
      <c r="D2" s="28" t="s">
        <v>130</v>
      </c>
      <c r="E2" s="29" t="s">
        <v>131</v>
      </c>
      <c r="G2" s="22" t="s">
        <v>145</v>
      </c>
      <c r="H2" s="22" t="s">
        <v>130</v>
      </c>
      <c r="I2" s="22" t="s">
        <v>131</v>
      </c>
      <c r="J2" s="22" t="s">
        <v>175</v>
      </c>
      <c r="K2" s="22" t="s">
        <v>187</v>
      </c>
      <c r="L2" s="22" t="s">
        <v>187</v>
      </c>
      <c r="M2" s="65" t="s">
        <v>188</v>
      </c>
      <c r="N2" s="22" t="s">
        <v>188</v>
      </c>
      <c r="O2" s="22" t="s">
        <v>188</v>
      </c>
      <c r="P2" s="22" t="s">
        <v>188</v>
      </c>
      <c r="Q2" s="22" t="s">
        <v>202</v>
      </c>
      <c r="R2" s="22" t="s">
        <v>203</v>
      </c>
      <c r="S2" s="22" t="s">
        <v>202</v>
      </c>
      <c r="T2" s="22" t="s">
        <v>203</v>
      </c>
      <c r="U2" s="22" t="s">
        <v>202</v>
      </c>
      <c r="V2" s="22" t="s">
        <v>203</v>
      </c>
      <c r="W2" s="22" t="s">
        <v>202</v>
      </c>
      <c r="X2" s="22" t="s">
        <v>203</v>
      </c>
      <c r="Z2" s="25" t="s">
        <v>174</v>
      </c>
      <c r="AB2" s="16" t="s">
        <v>9</v>
      </c>
      <c r="AC2" t="s">
        <v>68</v>
      </c>
    </row>
    <row r="3" spans="1:30" x14ac:dyDescent="0.45">
      <c r="A3" t="s">
        <v>144</v>
      </c>
      <c r="B3" s="30">
        <f ca="1">MAX(100%,B2)-B2</f>
        <v>1</v>
      </c>
      <c r="D3" s="26">
        <v>43397</v>
      </c>
      <c r="E3" s="27">
        <v>43480</v>
      </c>
      <c r="J3" s="34"/>
      <c r="K3" s="33">
        <v>0</v>
      </c>
      <c r="L3" s="33">
        <v>0</v>
      </c>
      <c r="M3" s="67">
        <f>100%-GETPIVOTDATA("Epic Remaining Estimate",$AB$4)/GETPIVOTDATA("Epic Total Estimate",$AB$4)</f>
        <v>0.6785714285714286</v>
      </c>
      <c r="N3" s="33">
        <f>100%-GETPIVOTDATA("Epic Remaining Estimate",$AB$4,"ST:Components","Cross Project Move")/GETPIVOTDATA("Epic Total Estimate",$AB$4,"ST:Components","Cross Project Move")</f>
        <v>0.25</v>
      </c>
      <c r="O3" s="33">
        <f>100%-GETPIVOTDATA("Epic Remaining Estimate",$AB$4,"ST:Components","Excel Import")/GETPIVOTDATA("Epic Total Estimate",$AB$4,"ST:Components","Excel Import")</f>
        <v>0.25</v>
      </c>
      <c r="P3" s="33">
        <f>100%-GETPIVOTDATA("Epic Remaining Estimate",$AB$4,"ST:Components","Diagram Editor")/GETPIVOTDATA("Epic Total Estimate",$AB$4,"ST:Components","Diagram Editor")</f>
        <v>0.25</v>
      </c>
      <c r="Q3" s="41">
        <f>Q25*(100%-K3)</f>
        <v>285</v>
      </c>
      <c r="R3" s="41">
        <f>GETPIVOTDATA("Epic Remaining Estimate",$AB$4)</f>
        <v>450</v>
      </c>
      <c r="S3" s="41">
        <f>Q26*(100%-K3)</f>
        <v>50</v>
      </c>
      <c r="T3" s="41">
        <f>GETPIVOTDATA("Epic Remaining Estimate",$AB$4,"ST:Components","Cross Project Move")</f>
        <v>150</v>
      </c>
      <c r="U3" s="41">
        <f>Q27*(100%-L3)</f>
        <v>50</v>
      </c>
      <c r="V3" s="41">
        <f>GETPIVOTDATA("Epic Remaining Estimate",$AB$4,"ST:Components","Excel Import")</f>
        <v>150</v>
      </c>
      <c r="W3" s="41">
        <f>Q28*(100%-K3)</f>
        <v>75</v>
      </c>
      <c r="X3" s="41">
        <f>GETPIVOTDATA("Epic Remaining Estimate",$AB$4,"ST:Components","Diagram Editor")</f>
        <v>150</v>
      </c>
      <c r="Z3" s="32">
        <v>43459</v>
      </c>
    </row>
    <row r="4" spans="1:30" x14ac:dyDescent="0.45">
      <c r="D4" s="46"/>
      <c r="E4" s="47">
        <v>43354</v>
      </c>
      <c r="G4" s="23" t="s">
        <v>241</v>
      </c>
      <c r="H4" s="24">
        <v>43397</v>
      </c>
      <c r="I4" s="24">
        <f>H4+13</f>
        <v>43410</v>
      </c>
      <c r="J4" s="35">
        <f t="shared" ref="J4:J9" si="0">NETWORKDAYS(H4,I4,$Z$3:$Z$5)</f>
        <v>10</v>
      </c>
      <c r="K4" s="36">
        <f>SUM($J$4:J4)/SUM($J$4:$J$9)</f>
        <v>0.17543859649122806</v>
      </c>
      <c r="L4" s="36">
        <f>SUM($J$4:J4)/SUM($J$4:$J$9)</f>
        <v>0.17543859649122806</v>
      </c>
      <c r="M4" s="38"/>
      <c r="N4" s="38"/>
      <c r="O4" s="40"/>
      <c r="P4" s="40"/>
      <c r="Q4" s="41">
        <f>Q25*(100%-K4)</f>
        <v>235</v>
      </c>
      <c r="R4" s="41"/>
      <c r="S4" s="43">
        <f>Q26*(100%-K4)</f>
        <v>41.228070175438596</v>
      </c>
      <c r="T4" s="41"/>
      <c r="U4" s="41">
        <f>Q27*(100%-L4)</f>
        <v>41.228070175438596</v>
      </c>
      <c r="V4" s="41"/>
      <c r="W4" s="41">
        <f>Q28*(100%-K4)</f>
        <v>61.842105263157897</v>
      </c>
      <c r="X4" s="41"/>
      <c r="Z4" s="32">
        <v>43460</v>
      </c>
      <c r="AB4" s="16" t="s">
        <v>146</v>
      </c>
      <c r="AC4" t="s">
        <v>118</v>
      </c>
      <c r="AD4" t="s">
        <v>117</v>
      </c>
    </row>
    <row r="5" spans="1:30" x14ac:dyDescent="0.45">
      <c r="A5" s="39" t="s">
        <v>141</v>
      </c>
      <c r="D5" t="s">
        <v>192</v>
      </c>
      <c r="E5" s="25" t="s">
        <v>190</v>
      </c>
      <c r="G5" s="23" t="s">
        <v>242</v>
      </c>
      <c r="H5" s="24">
        <f>I4+1</f>
        <v>43411</v>
      </c>
      <c r="I5" s="24">
        <f>I4+14</f>
        <v>43424</v>
      </c>
      <c r="J5" s="35">
        <f t="shared" si="0"/>
        <v>10</v>
      </c>
      <c r="K5" s="36">
        <f>SUM($J$4:J5)/SUM($J$4:$J$9)</f>
        <v>0.35087719298245612</v>
      </c>
      <c r="L5" s="36">
        <f>SUM($J$4:J5)/SUM($J$4:$J$9)</f>
        <v>0.35087719298245612</v>
      </c>
      <c r="M5" s="38"/>
      <c r="N5" s="38"/>
      <c r="O5" s="38"/>
      <c r="P5" s="38"/>
      <c r="Q5" s="41">
        <f>Q25*(100%-K5)</f>
        <v>185</v>
      </c>
      <c r="R5" s="41"/>
      <c r="S5" s="43">
        <f>Q26*(100%-K5)</f>
        <v>32.456140350877192</v>
      </c>
      <c r="T5" s="41"/>
      <c r="U5" s="41">
        <f>Q27*(100%-L5)</f>
        <v>32.456140350877192</v>
      </c>
      <c r="V5" s="41"/>
      <c r="W5" s="41">
        <f>Q28*(100%-K5)</f>
        <v>48.684210526315788</v>
      </c>
      <c r="X5" s="41"/>
      <c r="Z5" s="32">
        <v>43466</v>
      </c>
      <c r="AB5" s="17" t="s">
        <v>193</v>
      </c>
      <c r="AC5" s="20">
        <v>800</v>
      </c>
      <c r="AD5" s="20"/>
    </row>
    <row r="6" spans="1:30" x14ac:dyDescent="0.45">
      <c r="A6" t="s">
        <v>143</v>
      </c>
      <c r="B6" s="45">
        <f>100%-GETPIVOTDATA("Epic Remaining Estimate",$AB$4)/GETPIVOTDATA("Epic Total Estimate",$AB$4)</f>
        <v>0.6785714285714286</v>
      </c>
      <c r="C6" s="21"/>
      <c r="D6" s="21" t="s">
        <v>191</v>
      </c>
      <c r="E6" s="25">
        <f ca="1">TODAY()</f>
        <v>43396</v>
      </c>
      <c r="G6" s="23" t="s">
        <v>243</v>
      </c>
      <c r="H6" s="24">
        <f>I5+1</f>
        <v>43425</v>
      </c>
      <c r="I6" s="24">
        <f>I5+14</f>
        <v>43438</v>
      </c>
      <c r="J6" s="35">
        <f t="shared" si="0"/>
        <v>10</v>
      </c>
      <c r="K6" s="36">
        <f>SUM($J$4:J6)/SUM($J$4:$J$9)</f>
        <v>0.52631578947368418</v>
      </c>
      <c r="L6" s="36">
        <f>SUM($J$4:J6)/SUM($J$4:$J$9)</f>
        <v>0.52631578947368418</v>
      </c>
      <c r="M6" s="38"/>
      <c r="N6" s="38"/>
      <c r="O6" s="38"/>
      <c r="P6" s="38"/>
      <c r="Q6" s="41">
        <f>Q25*(100%-K6)</f>
        <v>135</v>
      </c>
      <c r="R6" s="42"/>
      <c r="S6" s="43">
        <f>Q26*(100%-K6)</f>
        <v>23.684210526315791</v>
      </c>
      <c r="T6" s="42"/>
      <c r="U6" s="41">
        <f>Q27*(100%-L6)</f>
        <v>23.684210526315791</v>
      </c>
      <c r="V6" s="42"/>
      <c r="W6" s="41">
        <f>Q28*(100%-K6)</f>
        <v>35.526315789473685</v>
      </c>
      <c r="X6" s="42"/>
      <c r="Z6" s="32"/>
      <c r="AB6" s="17" t="s">
        <v>185</v>
      </c>
      <c r="AC6" s="20">
        <v>200</v>
      </c>
      <c r="AD6" s="20">
        <v>150</v>
      </c>
    </row>
    <row r="7" spans="1:30" x14ac:dyDescent="0.45">
      <c r="A7" t="s">
        <v>144</v>
      </c>
      <c r="B7" s="30">
        <f>MAX(100%,B6)-B6</f>
        <v>0.3214285714285714</v>
      </c>
      <c r="D7" s="21"/>
      <c r="E7" s="20"/>
      <c r="G7" s="23" t="s">
        <v>244</v>
      </c>
      <c r="H7" s="24">
        <f t="shared" ref="H7:H9" si="1">I6+1</f>
        <v>43439</v>
      </c>
      <c r="I7" s="24">
        <f t="shared" ref="I7:I9" si="2">I6+14</f>
        <v>43452</v>
      </c>
      <c r="J7" s="35">
        <f t="shared" si="0"/>
        <v>10</v>
      </c>
      <c r="K7" s="36">
        <f>SUM($J$4:J7)/SUM($J$4:$J$9)</f>
        <v>0.70175438596491224</v>
      </c>
      <c r="L7" s="36">
        <f>SUM($J$4:J7)/SUM($J$4:$J$9)</f>
        <v>0.70175438596491224</v>
      </c>
      <c r="M7" s="38"/>
      <c r="N7" s="38"/>
      <c r="O7" s="38"/>
      <c r="P7" s="38"/>
      <c r="Q7" s="41">
        <f>Q25*(100%-K7)</f>
        <v>85.000000000000014</v>
      </c>
      <c r="R7" s="42"/>
      <c r="S7" s="43">
        <f>Q26*(100%-K7)</f>
        <v>14.912280701754387</v>
      </c>
      <c r="T7" s="42"/>
      <c r="U7" s="41">
        <f>Q27*(100%-L7)</f>
        <v>14.912280701754387</v>
      </c>
      <c r="V7" s="42"/>
      <c r="W7" s="41">
        <f>Q28*(100%-K7)</f>
        <v>22.368421052631582</v>
      </c>
      <c r="X7" s="42"/>
      <c r="Z7" s="32"/>
      <c r="AB7" s="17" t="s">
        <v>233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245</v>
      </c>
      <c r="H8" s="24">
        <f t="shared" si="1"/>
        <v>43453</v>
      </c>
      <c r="I8" s="24">
        <f t="shared" si="2"/>
        <v>43466</v>
      </c>
      <c r="J8" s="35">
        <f t="shared" si="0"/>
        <v>7</v>
      </c>
      <c r="K8" s="36">
        <f>SUM($J$4:J8)/SUM($J$4:$J$9)</f>
        <v>0.82456140350877194</v>
      </c>
      <c r="L8" s="36">
        <f>SUM($J$4:J8)/SUM($J$4:$J$9)</f>
        <v>0.82456140350877194</v>
      </c>
      <c r="M8" s="38"/>
      <c r="N8" s="38"/>
      <c r="O8" s="38"/>
      <c r="P8" s="38"/>
      <c r="Q8" s="41">
        <f>Q25*(100%-K8)</f>
        <v>50</v>
      </c>
      <c r="R8" s="42"/>
      <c r="S8" s="43">
        <f>Q26*(100%-K8)</f>
        <v>8.7719298245614024</v>
      </c>
      <c r="T8" s="42"/>
      <c r="U8" s="41">
        <f>Q27*(100%-L8)</f>
        <v>8.7719298245614024</v>
      </c>
      <c r="V8" s="42"/>
      <c r="W8" s="41">
        <f>Q28*(100%-K8)</f>
        <v>13.157894736842104</v>
      </c>
      <c r="X8" s="42"/>
      <c r="Z8" s="32"/>
      <c r="AB8" s="17" t="s">
        <v>234</v>
      </c>
      <c r="AC8" s="20">
        <v>200</v>
      </c>
      <c r="AD8" s="20">
        <v>150</v>
      </c>
    </row>
    <row r="9" spans="1:30" x14ac:dyDescent="0.45">
      <c r="A9" s="39" t="s">
        <v>237</v>
      </c>
      <c r="B9" s="21"/>
      <c r="C9" s="21"/>
      <c r="D9" s="21"/>
      <c r="G9" s="23" t="s">
        <v>246</v>
      </c>
      <c r="H9" s="24">
        <f t="shared" si="1"/>
        <v>43467</v>
      </c>
      <c r="I9" s="24">
        <f t="shared" si="2"/>
        <v>43480</v>
      </c>
      <c r="J9" s="35">
        <f t="shared" si="0"/>
        <v>10</v>
      </c>
      <c r="K9" s="36">
        <f>SUM($J$4:J9)/SUM($J$4:$J$9)</f>
        <v>1</v>
      </c>
      <c r="L9" s="36">
        <f>SUM($J$4:J9)/SUM($J$4:$J$9)</f>
        <v>1</v>
      </c>
      <c r="M9" s="38"/>
      <c r="N9" s="38"/>
      <c r="O9" s="38"/>
      <c r="P9" s="38"/>
      <c r="Q9" s="41">
        <f>285*(100%-K9)</f>
        <v>0</v>
      </c>
      <c r="R9" s="42"/>
      <c r="S9" s="43">
        <f>Q26*(100%-K9)</f>
        <v>0</v>
      </c>
      <c r="T9" s="42"/>
      <c r="U9" s="41">
        <f>Q27*(100%-L9)</f>
        <v>0</v>
      </c>
      <c r="V9" s="42"/>
      <c r="W9" s="79">
        <f>Q28*(100%-K9)</f>
        <v>0</v>
      </c>
      <c r="X9" s="80"/>
      <c r="Z9" s="32"/>
      <c r="AB9" s="17" t="s">
        <v>50</v>
      </c>
      <c r="AC9" s="20">
        <v>1400</v>
      </c>
      <c r="AD9" s="20">
        <v>450</v>
      </c>
    </row>
    <row r="10" spans="1:30" x14ac:dyDescent="0.45">
      <c r="A10" t="s">
        <v>143</v>
      </c>
      <c r="B10" s="45">
        <f>100%-GETPIVOTDATA("Epic Remaining Estimate",$AB$4,"ST:Components","Cross Project Move")/GETPIVOTDATA("Epic Total Estimate",$AB$4,"ST:Components","Cross Project Move")</f>
        <v>0.25</v>
      </c>
      <c r="G10" s="69"/>
      <c r="H10" s="70"/>
      <c r="I10" s="70"/>
      <c r="J10" s="71"/>
      <c r="K10" s="72"/>
      <c r="L10" s="72"/>
      <c r="M10" s="67"/>
      <c r="N10" s="67"/>
      <c r="O10" s="67"/>
      <c r="P10" s="67"/>
      <c r="Q10" s="73"/>
      <c r="R10" s="74"/>
      <c r="S10" s="73"/>
      <c r="T10" s="74"/>
      <c r="U10" s="73"/>
      <c r="V10" s="74"/>
      <c r="W10" s="68"/>
      <c r="X10" s="68"/>
      <c r="Z10" s="32"/>
    </row>
    <row r="11" spans="1:30" x14ac:dyDescent="0.45">
      <c r="A11" t="s">
        <v>144</v>
      </c>
      <c r="B11" s="30">
        <f>MAX(100%,B10)-B10</f>
        <v>0.75</v>
      </c>
      <c r="G11" s="75"/>
      <c r="H11" s="76"/>
      <c r="I11" s="76"/>
      <c r="J11" s="77"/>
      <c r="K11" s="78"/>
      <c r="L11" s="78"/>
      <c r="M11" s="66"/>
      <c r="N11" s="66"/>
      <c r="O11" s="66"/>
      <c r="P11" s="66"/>
      <c r="Q11" s="43"/>
      <c r="R11" s="68"/>
      <c r="S11" s="43"/>
      <c r="T11" s="68"/>
      <c r="U11" s="43"/>
      <c r="V11" s="68"/>
      <c r="W11" s="68"/>
      <c r="X11" s="68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1"/>
      <c r="R12" s="42"/>
      <c r="S12" s="43"/>
      <c r="T12" s="42"/>
      <c r="U12" s="41"/>
      <c r="V12" s="42"/>
      <c r="W12" s="42"/>
      <c r="X12" s="42"/>
      <c r="Z12" s="32"/>
    </row>
    <row r="13" spans="1:30" x14ac:dyDescent="0.45">
      <c r="A13" s="39" t="s">
        <v>234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1"/>
      <c r="R13" s="42"/>
      <c r="S13" s="43"/>
      <c r="T13" s="42"/>
      <c r="U13" s="41"/>
      <c r="V13" s="42"/>
      <c r="W13" s="42"/>
      <c r="X13" s="42"/>
    </row>
    <row r="14" spans="1:30" x14ac:dyDescent="0.45">
      <c r="A14" t="s">
        <v>143</v>
      </c>
      <c r="B14" s="45">
        <f>100%-GETPIVOTDATA("Epic Remaining Estimate",$AB$4,"ST:Components","Excel Import")/GETPIVOTDATA("Epic Total Estimate",$AB$4,"ST:Components","Excel Import")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1"/>
      <c r="R14" s="42"/>
      <c r="S14" s="43"/>
      <c r="T14" s="42"/>
      <c r="U14" s="41"/>
      <c r="V14" s="42"/>
      <c r="W14" s="42"/>
      <c r="X14" s="42"/>
    </row>
    <row r="15" spans="1:30" x14ac:dyDescent="0.45">
      <c r="A15" t="s">
        <v>144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1"/>
      <c r="R15" s="42"/>
      <c r="S15" s="43"/>
      <c r="T15" s="42"/>
      <c r="U15" s="41"/>
      <c r="V15" s="42"/>
      <c r="W15" s="42"/>
      <c r="X15" s="42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1"/>
      <c r="R16" s="42"/>
      <c r="S16" s="43"/>
      <c r="T16" s="42"/>
      <c r="U16" s="41"/>
      <c r="V16" s="42"/>
      <c r="W16" s="42"/>
      <c r="X16" s="42"/>
    </row>
    <row r="17" spans="1:24" x14ac:dyDescent="0.45">
      <c r="A17" s="39" t="s">
        <v>277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1"/>
      <c r="R17" s="42"/>
      <c r="S17" s="43"/>
      <c r="T17" s="42"/>
      <c r="U17" s="41"/>
      <c r="V17" s="42"/>
      <c r="W17" s="42"/>
      <c r="X17" s="42"/>
    </row>
    <row r="18" spans="1:24" x14ac:dyDescent="0.45">
      <c r="A18" t="s">
        <v>143</v>
      </c>
      <c r="B18" s="45">
        <f>100%-GETPIVOTDATA("Epic Remaining Estimate",$AB$4,"ST:Components","Diagram Editor")/GETPIVOTDATA("Epic Total Estimate",$AB$4,"ST:Components","Diagram Editor")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1"/>
      <c r="R18" s="42"/>
      <c r="S18" s="43"/>
      <c r="T18" s="42"/>
      <c r="U18" s="41"/>
      <c r="V18" s="42"/>
      <c r="W18" s="42"/>
      <c r="X18" s="42"/>
    </row>
    <row r="19" spans="1:24" x14ac:dyDescent="0.45">
      <c r="A19" t="s">
        <v>144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1"/>
      <c r="R19" s="42"/>
      <c r="S19" s="43"/>
      <c r="T19" s="42"/>
      <c r="U19" s="41"/>
      <c r="V19" s="42"/>
      <c r="W19" s="42"/>
      <c r="X19" s="42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1"/>
      <c r="R20" s="42"/>
      <c r="S20" s="43"/>
      <c r="T20" s="42"/>
      <c r="U20" s="41"/>
      <c r="V20" s="42"/>
      <c r="W20" s="42"/>
      <c r="X20" s="42"/>
    </row>
    <row r="21" spans="1:24" x14ac:dyDescent="0.45">
      <c r="A21" s="39" t="s">
        <v>240</v>
      </c>
      <c r="B21" s="39"/>
    </row>
    <row r="22" spans="1:24" x14ac:dyDescent="0.45">
      <c r="A22" t="s">
        <v>143</v>
      </c>
      <c r="B22" s="45">
        <f ca="1">MAX(NETWORKDAYS($D$3,$E$6,$Z$3:$Z$5)/NETWORKDAYS($D$3,$E$3,$Z$3:$Z$5),0%)</f>
        <v>0</v>
      </c>
    </row>
    <row r="23" spans="1:24" x14ac:dyDescent="0.45">
      <c r="A23" t="s">
        <v>144</v>
      </c>
      <c r="B23" s="30">
        <f ca="1">MAX(100%,B22)-B22</f>
        <v>1</v>
      </c>
    </row>
    <row r="24" spans="1:24" x14ac:dyDescent="0.45">
      <c r="D24" s="16" t="s">
        <v>141</v>
      </c>
      <c r="E24" t="s">
        <v>227</v>
      </c>
      <c r="G24" s="16" t="s">
        <v>141</v>
      </c>
      <c r="H24" t="s">
        <v>227</v>
      </c>
      <c r="J24" s="16" t="s">
        <v>141</v>
      </c>
      <c r="K24" t="s">
        <v>227</v>
      </c>
      <c r="P24" t="s">
        <v>238</v>
      </c>
      <c r="Q24" t="s">
        <v>239</v>
      </c>
    </row>
    <row r="25" spans="1:24" x14ac:dyDescent="0.45">
      <c r="A25" s="16" t="s">
        <v>141</v>
      </c>
      <c r="B25" t="s">
        <v>227</v>
      </c>
      <c r="C25" s="37"/>
      <c r="D25" s="16" t="s">
        <v>9</v>
      </c>
      <c r="E25" t="s">
        <v>68</v>
      </c>
      <c r="G25" s="16" t="s">
        <v>9</v>
      </c>
      <c r="H25" t="s">
        <v>68</v>
      </c>
      <c r="J25" s="16" t="s">
        <v>9</v>
      </c>
      <c r="K25" t="s">
        <v>68</v>
      </c>
      <c r="P25" t="s">
        <v>141</v>
      </c>
      <c r="Q25">
        <v>285</v>
      </c>
    </row>
    <row r="26" spans="1:24" x14ac:dyDescent="0.45">
      <c r="A26" s="16" t="s">
        <v>9</v>
      </c>
      <c r="B26" t="s">
        <v>68</v>
      </c>
      <c r="D26" s="16" t="s">
        <v>20</v>
      </c>
      <c r="E26" t="s">
        <v>233</v>
      </c>
      <c r="G26" s="16" t="s">
        <v>20</v>
      </c>
      <c r="H26" t="s">
        <v>234</v>
      </c>
      <c r="J26" s="16" t="s">
        <v>20</v>
      </c>
      <c r="K26" t="s">
        <v>185</v>
      </c>
      <c r="P26" t="s">
        <v>237</v>
      </c>
      <c r="Q26">
        <v>50</v>
      </c>
    </row>
    <row r="27" spans="1:24" x14ac:dyDescent="0.45">
      <c r="P27" t="s">
        <v>234</v>
      </c>
      <c r="Q27">
        <v>50</v>
      </c>
    </row>
    <row r="28" spans="1:24" x14ac:dyDescent="0.45">
      <c r="A28" s="16" t="s">
        <v>179</v>
      </c>
      <c r="D28" s="16" t="s">
        <v>179</v>
      </c>
      <c r="G28" s="16" t="s">
        <v>179</v>
      </c>
      <c r="J28" s="16" t="s">
        <v>179</v>
      </c>
      <c r="L28" s="16"/>
      <c r="M28" s="16"/>
      <c r="N28" s="16"/>
      <c r="O28" s="16"/>
      <c r="P28" s="16" t="s">
        <v>277</v>
      </c>
      <c r="Q28" s="16">
        <v>75</v>
      </c>
    </row>
    <row r="29" spans="1:24" x14ac:dyDescent="0.45">
      <c r="A29" s="17" t="s">
        <v>180</v>
      </c>
      <c r="B29" s="20">
        <v>950</v>
      </c>
      <c r="D29" s="17" t="s">
        <v>180</v>
      </c>
      <c r="E29" s="20">
        <v>50</v>
      </c>
      <c r="G29" s="17" t="s">
        <v>180</v>
      </c>
      <c r="H29" s="20">
        <v>50</v>
      </c>
      <c r="J29" s="17" t="s">
        <v>180</v>
      </c>
      <c r="K29" s="20">
        <v>50</v>
      </c>
    </row>
    <row r="30" spans="1:24" x14ac:dyDescent="0.45">
      <c r="A30" s="17" t="s">
        <v>181</v>
      </c>
      <c r="B30" s="20">
        <v>120</v>
      </c>
      <c r="D30" s="17" t="s">
        <v>181</v>
      </c>
      <c r="E30" s="20">
        <v>40</v>
      </c>
      <c r="G30" s="17" t="s">
        <v>181</v>
      </c>
      <c r="H30" s="20">
        <v>40</v>
      </c>
      <c r="J30" s="17" t="s">
        <v>181</v>
      </c>
      <c r="K30" s="20">
        <v>40</v>
      </c>
    </row>
    <row r="31" spans="1:24" x14ac:dyDescent="0.45">
      <c r="A31" s="17" t="s">
        <v>154</v>
      </c>
      <c r="B31" s="20">
        <v>180</v>
      </c>
      <c r="D31" s="17" t="s">
        <v>154</v>
      </c>
      <c r="E31" s="20">
        <v>60</v>
      </c>
      <c r="G31" s="17" t="s">
        <v>154</v>
      </c>
      <c r="H31" s="20">
        <v>60</v>
      </c>
      <c r="J31" s="17" t="s">
        <v>154</v>
      </c>
      <c r="K31" s="20">
        <v>60</v>
      </c>
    </row>
    <row r="32" spans="1:24" x14ac:dyDescent="0.45">
      <c r="A32" s="17" t="s">
        <v>182</v>
      </c>
      <c r="B32" s="20">
        <v>90</v>
      </c>
      <c r="D32" s="17" t="s">
        <v>182</v>
      </c>
      <c r="E32" s="20">
        <v>30</v>
      </c>
      <c r="G32" s="17" t="s">
        <v>182</v>
      </c>
      <c r="H32" s="20">
        <v>30</v>
      </c>
      <c r="J32" s="17" t="s">
        <v>182</v>
      </c>
      <c r="K32" s="20">
        <v>30</v>
      </c>
    </row>
    <row r="33" spans="1:11" x14ac:dyDescent="0.45">
      <c r="A33" s="17" t="s">
        <v>183</v>
      </c>
      <c r="B33" s="20">
        <v>1040</v>
      </c>
      <c r="D33" s="17" t="s">
        <v>183</v>
      </c>
      <c r="E33" s="20">
        <v>20</v>
      </c>
      <c r="G33" s="17" t="s">
        <v>183</v>
      </c>
      <c r="H33" s="20">
        <v>20</v>
      </c>
      <c r="J33" s="17" t="s">
        <v>183</v>
      </c>
      <c r="K33" s="20">
        <v>200</v>
      </c>
    </row>
    <row r="35" spans="1:11" x14ac:dyDescent="0.45">
      <c r="A35" s="16" t="s">
        <v>141</v>
      </c>
      <c r="B35" t="s">
        <v>193</v>
      </c>
      <c r="D35" s="16" t="s">
        <v>141</v>
      </c>
      <c r="E35" t="s">
        <v>227</v>
      </c>
      <c r="G35" s="16" t="s">
        <v>141</v>
      </c>
      <c r="H35" t="s">
        <v>227</v>
      </c>
      <c r="J35" s="16" t="s">
        <v>141</v>
      </c>
      <c r="K35" t="s">
        <v>227</v>
      </c>
    </row>
    <row r="36" spans="1:11" x14ac:dyDescent="0.45">
      <c r="A36" s="16" t="s">
        <v>9</v>
      </c>
      <c r="B36" t="s">
        <v>68</v>
      </c>
      <c r="D36" s="16" t="s">
        <v>9</v>
      </c>
      <c r="E36" t="s">
        <v>68</v>
      </c>
      <c r="G36" s="16" t="s">
        <v>9</v>
      </c>
      <c r="H36" t="s">
        <v>68</v>
      </c>
      <c r="J36" s="16" t="s">
        <v>9</v>
      </c>
      <c r="K36" t="s">
        <v>68</v>
      </c>
    </row>
    <row r="37" spans="1:11" x14ac:dyDescent="0.45">
      <c r="D37" s="16" t="s">
        <v>20</v>
      </c>
      <c r="E37" t="s">
        <v>233</v>
      </c>
      <c r="G37" s="16" t="s">
        <v>20</v>
      </c>
      <c r="H37" t="s">
        <v>234</v>
      </c>
      <c r="J37" s="16" t="s">
        <v>20</v>
      </c>
      <c r="K37" t="s">
        <v>185</v>
      </c>
    </row>
    <row r="38" spans="1:11" x14ac:dyDescent="0.45">
      <c r="A38" t="s">
        <v>118</v>
      </c>
    </row>
    <row r="39" spans="1:11" x14ac:dyDescent="0.45">
      <c r="A39" s="20"/>
      <c r="B39">
        <f>SUM(B29:B33)</f>
        <v>2380</v>
      </c>
      <c r="D39" t="s">
        <v>118</v>
      </c>
      <c r="G39" t="s">
        <v>118</v>
      </c>
      <c r="J39" t="s">
        <v>118</v>
      </c>
    </row>
    <row r="40" spans="1:11" x14ac:dyDescent="0.45">
      <c r="D40" s="20">
        <v>200</v>
      </c>
      <c r="E40">
        <f>SUM(E29:E33)</f>
        <v>200</v>
      </c>
      <c r="G40" s="20">
        <v>200</v>
      </c>
      <c r="H40">
        <f>SUM(H29:H33)</f>
        <v>200</v>
      </c>
      <c r="J40" s="20">
        <v>200</v>
      </c>
      <c r="K40">
        <f>SUM(K29:K33)</f>
        <v>380</v>
      </c>
    </row>
    <row r="41" spans="1:11" x14ac:dyDescent="0.45">
      <c r="D41" s="20"/>
      <c r="G41" s="20"/>
    </row>
    <row r="42" spans="1:11" x14ac:dyDescent="0.45">
      <c r="D42" s="20"/>
      <c r="G42" s="20"/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50" spans="1:2" x14ac:dyDescent="0.45">
      <c r="A50" s="16" t="s">
        <v>9</v>
      </c>
      <c r="B50" t="s">
        <v>68</v>
      </c>
    </row>
    <row r="51" spans="1:2" x14ac:dyDescent="0.45">
      <c r="A51" s="16" t="s">
        <v>141</v>
      </c>
      <c r="B51" t="s">
        <v>227</v>
      </c>
    </row>
    <row r="53" spans="1:2" x14ac:dyDescent="0.45">
      <c r="A53" s="16" t="s">
        <v>146</v>
      </c>
      <c r="B53" t="s">
        <v>118</v>
      </c>
    </row>
    <row r="54" spans="1:2" x14ac:dyDescent="0.45">
      <c r="A54" s="17" t="s">
        <v>237</v>
      </c>
      <c r="B54" s="20">
        <v>200</v>
      </c>
    </row>
    <row r="55" spans="1:2" x14ac:dyDescent="0.45">
      <c r="A55" s="17" t="s">
        <v>234</v>
      </c>
      <c r="B55" s="20">
        <v>200</v>
      </c>
    </row>
    <row r="56" spans="1:2" x14ac:dyDescent="0.45">
      <c r="A56" s="17" t="s">
        <v>277</v>
      </c>
      <c r="B56" s="20">
        <v>200</v>
      </c>
    </row>
    <row r="57" spans="1:2" x14ac:dyDescent="0.45">
      <c r="A57" s="17" t="s">
        <v>61</v>
      </c>
      <c r="B57" s="20">
        <v>200</v>
      </c>
    </row>
    <row r="58" spans="1:2" x14ac:dyDescent="0.45">
      <c r="A58" s="17" t="s">
        <v>194</v>
      </c>
      <c r="B58" s="20">
        <v>200</v>
      </c>
    </row>
    <row r="59" spans="1:2" x14ac:dyDescent="0.45">
      <c r="A59" s="17" t="s">
        <v>195</v>
      </c>
      <c r="B59" s="20">
        <v>200</v>
      </c>
    </row>
    <row r="60" spans="1:2" x14ac:dyDescent="0.45">
      <c r="A60" s="17" t="s">
        <v>193</v>
      </c>
      <c r="B60" s="20">
        <v>200</v>
      </c>
    </row>
    <row r="61" spans="1:2" x14ac:dyDescent="0.45">
      <c r="A61" s="17" t="s">
        <v>50</v>
      </c>
      <c r="B61" s="20">
        <v>1400</v>
      </c>
    </row>
  </sheetData>
  <mergeCells count="4">
    <mergeCell ref="Q1:R1"/>
    <mergeCell ref="S1:T1"/>
    <mergeCell ref="U1:V1"/>
    <mergeCell ref="W1:X1"/>
  </mergeCells>
  <conditionalFormatting sqref="B39">
    <cfRule type="cellIs" dxfId="15" priority="4" operator="notEqual">
      <formula>$A$39</formula>
    </cfRule>
  </conditionalFormatting>
  <conditionalFormatting sqref="E40">
    <cfRule type="cellIs" dxfId="14" priority="3" operator="notEqual">
      <formula>$D$40</formula>
    </cfRule>
  </conditionalFormatting>
  <conditionalFormatting sqref="H40">
    <cfRule type="cellIs" dxfId="13" priority="2" operator="notEqual">
      <formula>$G$40</formula>
    </cfRule>
  </conditionalFormatting>
  <conditionalFormatting sqref="K40">
    <cfRule type="cellIs" dxfId="12" priority="1" operator="notEqual">
      <formula>$J$40</formula>
    </cfRule>
  </conditionalFormatting>
  <pageMargins left="0.7" right="0.7" top="0.75" bottom="0.75" header="0.3" footer="0.3"/>
  <pageSetup orientation="portrait" r:id="rId11"/>
  <tableParts count="3">
    <tablePart r:id="rId12"/>
    <tablePart r:id="rId13"/>
    <tablePart r:id="rId1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2" customWidth="1"/>
    <col min="5" max="5" width="8.06640625" style="64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8"/>
    <col min="13" max="13" width="9.06640625" style="64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2" customWidth="1"/>
    <col min="21" max="21" width="8" style="64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2" customWidth="1"/>
    <col min="29" max="29" width="8" style="64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8"/>
    <col min="38" max="38" width="15.863281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2"/>
      <c r="B1" s="82"/>
      <c r="C1" s="82"/>
      <c r="D1" s="83" t="s">
        <v>141</v>
      </c>
      <c r="E1" s="83"/>
      <c r="F1" s="83"/>
      <c r="G1" s="83"/>
      <c r="H1" s="83"/>
      <c r="I1" s="83"/>
      <c r="J1" s="83"/>
      <c r="K1" s="83"/>
      <c r="L1" s="83" t="s">
        <v>237</v>
      </c>
      <c r="M1" s="83"/>
      <c r="N1" s="83"/>
      <c r="O1" s="83"/>
      <c r="P1" s="83"/>
      <c r="Q1" s="83"/>
      <c r="R1" s="83"/>
      <c r="S1" s="83"/>
      <c r="T1" s="83" t="s">
        <v>234</v>
      </c>
      <c r="U1" s="83"/>
      <c r="V1" s="83"/>
      <c r="W1" s="83"/>
      <c r="X1" s="83"/>
      <c r="Y1" s="83"/>
      <c r="Z1" s="83"/>
      <c r="AA1" s="83"/>
      <c r="AB1" s="83" t="s">
        <v>277</v>
      </c>
      <c r="AC1" s="83"/>
      <c r="AD1" s="83"/>
      <c r="AE1" s="83"/>
      <c r="AF1" s="83"/>
      <c r="AG1" s="83"/>
      <c r="AH1" s="83"/>
      <c r="AI1" s="83"/>
    </row>
    <row r="2" spans="1:42" s="56" customFormat="1" ht="42.75" x14ac:dyDescent="0.45">
      <c r="A2" s="49" t="s">
        <v>197</v>
      </c>
      <c r="B2" s="49" t="s">
        <v>130</v>
      </c>
      <c r="C2" s="49" t="s">
        <v>131</v>
      </c>
      <c r="D2" s="50" t="s">
        <v>212</v>
      </c>
      <c r="E2" s="51" t="s">
        <v>213</v>
      </c>
      <c r="F2" s="52" t="s">
        <v>123</v>
      </c>
      <c r="G2" s="52" t="s">
        <v>214</v>
      </c>
      <c r="H2" s="52" t="s">
        <v>215</v>
      </c>
      <c r="I2" s="52" t="s">
        <v>216</v>
      </c>
      <c r="J2" s="52" t="s">
        <v>217</v>
      </c>
      <c r="K2" s="53" t="s">
        <v>218</v>
      </c>
      <c r="L2" s="50" t="s">
        <v>212</v>
      </c>
      <c r="M2" s="51" t="s">
        <v>213</v>
      </c>
      <c r="N2" s="52" t="s">
        <v>123</v>
      </c>
      <c r="O2" s="52" t="s">
        <v>214</v>
      </c>
      <c r="P2" s="52" t="s">
        <v>215</v>
      </c>
      <c r="Q2" s="52" t="s">
        <v>216</v>
      </c>
      <c r="R2" s="52" t="s">
        <v>217</v>
      </c>
      <c r="S2" s="53" t="s">
        <v>218</v>
      </c>
      <c r="T2" s="54" t="s">
        <v>212</v>
      </c>
      <c r="U2" s="51" t="s">
        <v>213</v>
      </c>
      <c r="V2" s="52" t="s">
        <v>123</v>
      </c>
      <c r="W2" s="52" t="s">
        <v>214</v>
      </c>
      <c r="X2" s="52" t="s">
        <v>215</v>
      </c>
      <c r="Y2" s="52" t="s">
        <v>216</v>
      </c>
      <c r="Z2" s="52" t="s">
        <v>217</v>
      </c>
      <c r="AA2" s="53" t="s">
        <v>218</v>
      </c>
      <c r="AB2" s="54" t="s">
        <v>212</v>
      </c>
      <c r="AC2" s="51" t="s">
        <v>213</v>
      </c>
      <c r="AD2" s="52" t="s">
        <v>123</v>
      </c>
      <c r="AE2" s="52" t="s">
        <v>214</v>
      </c>
      <c r="AF2" s="52" t="s">
        <v>215</v>
      </c>
      <c r="AG2" s="52" t="s">
        <v>216</v>
      </c>
      <c r="AH2" s="52" t="s">
        <v>217</v>
      </c>
      <c r="AI2" s="53" t="s">
        <v>218</v>
      </c>
      <c r="AJ2" s="55"/>
    </row>
    <row r="3" spans="1:42" x14ac:dyDescent="0.45">
      <c r="A3" t="s">
        <v>249</v>
      </c>
      <c r="B3" s="57"/>
      <c r="C3" s="57"/>
      <c r="D3" s="58">
        <f>GETPIVOTDATA("Epic Total Estimate", $AL$8, "Type", "Epic")</f>
        <v>1400</v>
      </c>
      <c r="E3" s="59">
        <f>_ReleaseData!Q25</f>
        <v>285</v>
      </c>
      <c r="F3" s="41">
        <f>GETPIVOTDATA("Stories Estimate", $AL$8, "Type", "Epic")</f>
        <v>0</v>
      </c>
      <c r="G3" s="41">
        <f>GETPIVOTDATA("Epic Decomposed", $AL$8, "Type", "Epic")</f>
        <v>360</v>
      </c>
      <c r="H3" s="41">
        <f>D3-I3</f>
        <v>950</v>
      </c>
      <c r="I3" s="41">
        <f>GETPIVOTDATA("Epic Remaining Estimate", $AL$8, "Type", "Epic")</f>
        <v>450</v>
      </c>
      <c r="J3" s="33">
        <f t="shared" ref="J3" si="0" xml:space="preserve"> G3/D3</f>
        <v>0.25714285714285712</v>
      </c>
      <c r="K3" s="33">
        <f xml:space="preserve"> H3/D3</f>
        <v>0.6785714285714286</v>
      </c>
      <c r="L3" s="60">
        <f>GETPIVOTDATA("Epic Total Estimate", $AL$8, "Type", "Epic", "ST:Components", "Cross Project Move")</f>
        <v>200</v>
      </c>
      <c r="M3" s="59">
        <v>50</v>
      </c>
      <c r="N3" s="41">
        <f>GETPIVOTDATA("Stories Estimate", $AL$8, "Type", "Epic", "ST:Components", "Cross Project Move")</f>
        <v>0</v>
      </c>
      <c r="O3" s="41">
        <f>GETPIVOTDATA("Epic Decomposed", $AL$8, "Type", "Epic", "ST:Components", "Cross Project Move")</f>
        <v>180</v>
      </c>
      <c r="P3" s="41">
        <f>L3-Q3</f>
        <v>50</v>
      </c>
      <c r="Q3" s="41">
        <f>GETPIVOTDATA("Epic Remaining Estimate", $AL$8, "Type", "Epic", "ST:Components", "Cross Project Move")</f>
        <v>150</v>
      </c>
      <c r="R3" s="33">
        <f t="shared" ref="R3" si="1" xml:space="preserve"> O3/L3</f>
        <v>0.9</v>
      </c>
      <c r="S3" s="33">
        <f xml:space="preserve"> P3/L3</f>
        <v>0.25</v>
      </c>
      <c r="T3" s="58">
        <f>GETPIVOTDATA("Epic Total Estimate", $AL$8, "Type", "Epic", "ST:Components", "Excel Import")</f>
        <v>200</v>
      </c>
      <c r="U3" s="59">
        <f>_ReleaseData!Q27</f>
        <v>50</v>
      </c>
      <c r="V3" s="41">
        <f>GETPIVOTDATA("Stories Estimate", $AL$8, "Type", "Epic", "ST:Components", "Excel Import")</f>
        <v>0</v>
      </c>
      <c r="W3" s="41">
        <f>GETPIVOTDATA("Epic Decomposed", $AL$8, "Type", "Epic", "ST:Components", "Excel Import")</f>
        <v>180</v>
      </c>
      <c r="X3" s="41">
        <f>T3-Y3</f>
        <v>50</v>
      </c>
      <c r="Y3" s="41">
        <f>GETPIVOTDATA("Epic Remaining Estimate", $AL$8, "Type", "Epic", "ST:Components", "Excel Import")</f>
        <v>150</v>
      </c>
      <c r="Z3" s="33">
        <f t="shared" ref="Z3" si="2" xml:space="preserve"> W3/T3</f>
        <v>0.9</v>
      </c>
      <c r="AA3" s="33">
        <f>X3/T3</f>
        <v>0.25</v>
      </c>
      <c r="AB3" s="58">
        <f>GETPIVOTDATA("Epic Total Estimate", $AL$8, "Type", "Epic", "ST:Components", "Diagram Editor")</f>
        <v>200</v>
      </c>
      <c r="AC3" s="59">
        <f>_ReleaseData!Q28</f>
        <v>75</v>
      </c>
      <c r="AD3" s="41">
        <f>GETPIVOTDATA("Stories Estimate", $AL$8, "Type", "Epic", "ST:Components", "Diagram Editor")</f>
        <v>0</v>
      </c>
      <c r="AE3" s="41">
        <f>GETPIVOTDATA("Epic Decomposed", $AL$8, "Type", "Epic", "ST:Components", "Diagram Editor")</f>
        <v>0</v>
      </c>
      <c r="AF3" s="41">
        <f>AB3-AG3</f>
        <v>50</v>
      </c>
      <c r="AG3" s="41">
        <f>GETPIVOTDATA("Epic Remaining Estimate", $AL$8, "Type", "Epic", "ST:Components", "Diagram Editor")</f>
        <v>150</v>
      </c>
      <c r="AH3" s="33">
        <f t="shared" ref="AH3" si="3" xml:space="preserve"> AE3/AB3</f>
        <v>0</v>
      </c>
      <c r="AI3" s="33">
        <f>AF3/AB3</f>
        <v>0.25</v>
      </c>
    </row>
    <row r="4" spans="1:42" x14ac:dyDescent="0.45">
      <c r="A4" t="s">
        <v>241</v>
      </c>
      <c r="B4" s="61">
        <v>43397</v>
      </c>
      <c r="C4" s="61">
        <v>43410</v>
      </c>
      <c r="D4" s="58"/>
      <c r="E4" s="59">
        <f>_ReleaseData!Q25</f>
        <v>285</v>
      </c>
      <c r="F4" s="41"/>
      <c r="G4" s="41"/>
      <c r="H4" s="41"/>
      <c r="I4" s="41"/>
      <c r="J4" s="33"/>
      <c r="K4" s="33"/>
      <c r="L4" s="60"/>
      <c r="M4" s="59">
        <v>50</v>
      </c>
      <c r="N4" s="41"/>
      <c r="O4" s="41"/>
      <c r="P4" s="41"/>
      <c r="Q4" s="41"/>
      <c r="R4" s="33"/>
      <c r="S4" s="33"/>
      <c r="T4" s="58"/>
      <c r="U4" s="59">
        <f>_ReleaseData!Q27</f>
        <v>50</v>
      </c>
      <c r="V4" s="41"/>
      <c r="W4" s="41"/>
      <c r="X4" s="41"/>
      <c r="Y4" s="41"/>
      <c r="Z4" s="33"/>
      <c r="AA4" s="33"/>
      <c r="AB4" s="58"/>
      <c r="AC4" s="59">
        <f>_ReleaseData!Q28</f>
        <v>75</v>
      </c>
      <c r="AD4" s="41"/>
      <c r="AE4" s="41"/>
      <c r="AF4" s="41"/>
      <c r="AG4" s="41"/>
      <c r="AH4" s="33"/>
      <c r="AI4" s="33"/>
    </row>
    <row r="5" spans="1:42" x14ac:dyDescent="0.45">
      <c r="A5" t="s">
        <v>242</v>
      </c>
      <c r="B5" s="61">
        <v>43411</v>
      </c>
      <c r="C5" s="61">
        <v>43424</v>
      </c>
      <c r="D5" s="58"/>
      <c r="E5" s="59">
        <f>_ReleaseData!Q25</f>
        <v>285</v>
      </c>
      <c r="F5" s="41"/>
      <c r="G5" s="41"/>
      <c r="H5" s="41"/>
      <c r="I5" s="41"/>
      <c r="J5" s="33"/>
      <c r="K5" s="33"/>
      <c r="L5" s="60"/>
      <c r="M5" s="59">
        <v>50</v>
      </c>
      <c r="N5" s="41"/>
      <c r="O5" s="41"/>
      <c r="P5" s="41"/>
      <c r="Q5" s="41"/>
      <c r="R5" s="33"/>
      <c r="S5" s="33"/>
      <c r="T5" s="58"/>
      <c r="U5" s="59">
        <f>_ReleaseData!Q27</f>
        <v>50</v>
      </c>
      <c r="V5" s="41"/>
      <c r="W5" s="41"/>
      <c r="X5" s="41"/>
      <c r="Y5" s="41"/>
      <c r="Z5" s="33"/>
      <c r="AA5" s="33"/>
      <c r="AB5" s="58"/>
      <c r="AC5" s="59">
        <f>_ReleaseData!Q28</f>
        <v>75</v>
      </c>
      <c r="AD5" s="41"/>
      <c r="AE5" s="41"/>
      <c r="AF5" s="41"/>
      <c r="AG5" s="41"/>
      <c r="AH5" s="33"/>
      <c r="AI5" s="33"/>
    </row>
    <row r="6" spans="1:42" x14ac:dyDescent="0.45">
      <c r="A6" t="s">
        <v>243</v>
      </c>
      <c r="B6" s="61">
        <v>43425</v>
      </c>
      <c r="C6" s="61">
        <v>43438</v>
      </c>
      <c r="D6" s="58"/>
      <c r="E6" s="59">
        <f>_ReleaseData!Q25</f>
        <v>285</v>
      </c>
      <c r="F6" s="41"/>
      <c r="G6" s="41"/>
      <c r="H6" s="41"/>
      <c r="I6" s="41"/>
      <c r="J6" s="33"/>
      <c r="K6" s="33"/>
      <c r="L6" s="60"/>
      <c r="M6" s="59">
        <v>50</v>
      </c>
      <c r="N6" s="41"/>
      <c r="O6" s="41"/>
      <c r="P6" s="41"/>
      <c r="Q6" s="41"/>
      <c r="R6" s="33"/>
      <c r="S6" s="33"/>
      <c r="T6" s="58"/>
      <c r="U6" s="59">
        <f>_ReleaseData!Q27</f>
        <v>50</v>
      </c>
      <c r="W6" s="41"/>
      <c r="X6" s="41"/>
      <c r="Y6" s="41"/>
      <c r="Z6" s="33"/>
      <c r="AA6" s="33"/>
      <c r="AB6" s="58"/>
      <c r="AC6" s="59">
        <f>_ReleaseData!Q28</f>
        <v>75</v>
      </c>
      <c r="AE6" s="41"/>
      <c r="AF6" s="41"/>
      <c r="AG6" s="41"/>
      <c r="AH6" s="33"/>
      <c r="AI6" s="33"/>
    </row>
    <row r="7" spans="1:42" x14ac:dyDescent="0.45">
      <c r="A7" t="s">
        <v>244</v>
      </c>
      <c r="B7" s="61">
        <v>43439</v>
      </c>
      <c r="C7" s="61">
        <v>43452</v>
      </c>
      <c r="D7" s="58"/>
      <c r="E7" s="59">
        <f>_ReleaseData!Q25</f>
        <v>285</v>
      </c>
      <c r="F7" s="41"/>
      <c r="G7" s="41"/>
      <c r="H7" s="41"/>
      <c r="I7" s="41"/>
      <c r="J7" s="33"/>
      <c r="K7" s="33"/>
      <c r="L7" s="60"/>
      <c r="M7" s="59">
        <v>50</v>
      </c>
      <c r="N7" s="41"/>
      <c r="O7" s="41"/>
      <c r="P7" s="41"/>
      <c r="Q7" s="41"/>
      <c r="R7" s="33"/>
      <c r="S7" s="33"/>
      <c r="T7" s="58"/>
      <c r="U7" s="59">
        <f>_ReleaseData!Q27</f>
        <v>50</v>
      </c>
      <c r="V7" s="41"/>
      <c r="W7" s="41"/>
      <c r="X7" s="41"/>
      <c r="Y7" s="41"/>
      <c r="Z7" s="33"/>
      <c r="AA7" s="33"/>
      <c r="AB7" s="58"/>
      <c r="AC7" s="59">
        <f>_ReleaseData!Q28</f>
        <v>75</v>
      </c>
      <c r="AD7" s="41"/>
      <c r="AE7" s="41"/>
      <c r="AF7" s="41"/>
      <c r="AG7" s="41"/>
      <c r="AH7" s="33"/>
      <c r="AI7" s="33"/>
    </row>
    <row r="8" spans="1:42" x14ac:dyDescent="0.45">
      <c r="A8" t="s">
        <v>245</v>
      </c>
      <c r="B8" s="61">
        <v>43453</v>
      </c>
      <c r="C8" s="61">
        <v>43466</v>
      </c>
      <c r="D8" s="58"/>
      <c r="E8" s="59">
        <f>_ReleaseData!Q25</f>
        <v>285</v>
      </c>
      <c r="F8" s="41"/>
      <c r="G8" s="41"/>
      <c r="H8" s="41"/>
      <c r="I8" s="41"/>
      <c r="J8" s="33"/>
      <c r="K8" s="33"/>
      <c r="L8" s="60"/>
      <c r="M8" s="59">
        <v>50</v>
      </c>
      <c r="N8" s="41"/>
      <c r="O8" s="41"/>
      <c r="P8" s="41"/>
      <c r="Q8" s="41"/>
      <c r="R8" s="33"/>
      <c r="S8" s="33"/>
      <c r="T8" s="58"/>
      <c r="U8" s="59">
        <f>_ReleaseData!Q27</f>
        <v>50</v>
      </c>
      <c r="V8" s="41"/>
      <c r="W8" s="41"/>
      <c r="X8" s="41"/>
      <c r="Y8" s="41"/>
      <c r="Z8" s="33"/>
      <c r="AA8" s="33"/>
      <c r="AB8" s="58"/>
      <c r="AC8" s="59">
        <f>_ReleaseData!Q28</f>
        <v>75</v>
      </c>
      <c r="AD8" s="41"/>
      <c r="AE8" s="41"/>
      <c r="AF8" s="41"/>
      <c r="AG8" s="41"/>
      <c r="AH8" s="33"/>
      <c r="AI8" s="33"/>
      <c r="AL8" s="16" t="s">
        <v>141</v>
      </c>
      <c r="AM8" t="s">
        <v>227</v>
      </c>
    </row>
    <row r="9" spans="1:42" x14ac:dyDescent="0.45">
      <c r="A9" t="s">
        <v>246</v>
      </c>
      <c r="B9" s="61">
        <v>43467</v>
      </c>
      <c r="C9" s="61">
        <v>43480</v>
      </c>
      <c r="D9" s="58"/>
      <c r="E9" s="59">
        <f>_ReleaseData!Q25</f>
        <v>285</v>
      </c>
      <c r="F9" s="41"/>
      <c r="G9" s="41"/>
      <c r="H9" s="41"/>
      <c r="I9" s="41"/>
      <c r="J9" s="33"/>
      <c r="K9" s="33"/>
      <c r="L9" s="60"/>
      <c r="M9" s="59">
        <v>50</v>
      </c>
      <c r="N9" s="41"/>
      <c r="O9" s="41"/>
      <c r="P9" s="41"/>
      <c r="Q9" s="41"/>
      <c r="R9" s="33"/>
      <c r="S9" s="33"/>
      <c r="T9" s="58"/>
      <c r="U9" s="59">
        <f>_ReleaseData!Q27</f>
        <v>50</v>
      </c>
      <c r="V9" s="41"/>
      <c r="W9" s="41"/>
      <c r="X9" s="41"/>
      <c r="Y9" s="41"/>
      <c r="Z9" s="33"/>
      <c r="AA9" s="33"/>
      <c r="AB9" s="58"/>
      <c r="AC9" s="59">
        <f>_ReleaseData!Q28</f>
        <v>75</v>
      </c>
      <c r="AD9" s="41"/>
      <c r="AE9" s="41"/>
      <c r="AF9" s="41"/>
      <c r="AG9" s="41"/>
      <c r="AH9" s="33"/>
      <c r="AI9" s="33"/>
    </row>
    <row r="10" spans="1:42" ht="13.9" customHeight="1" x14ac:dyDescent="0.45">
      <c r="B10" s="61"/>
      <c r="C10" s="61"/>
      <c r="D10" s="58"/>
      <c r="E10" s="59"/>
      <c r="F10" s="41"/>
      <c r="G10" s="41"/>
      <c r="H10" s="41"/>
      <c r="I10" s="41"/>
      <c r="J10" s="33"/>
      <c r="K10" s="33"/>
      <c r="L10" s="60"/>
      <c r="M10" s="59"/>
      <c r="N10" s="41"/>
      <c r="O10" s="41"/>
      <c r="P10" s="41"/>
      <c r="Q10" s="41"/>
      <c r="R10" s="33"/>
      <c r="S10" s="33"/>
      <c r="T10" s="58"/>
      <c r="U10" s="59"/>
      <c r="V10" s="41"/>
      <c r="W10" s="41"/>
      <c r="X10" s="41"/>
      <c r="Y10" s="41"/>
      <c r="Z10" s="33"/>
      <c r="AA10" s="33"/>
      <c r="AB10" s="58"/>
      <c r="AC10" s="59"/>
      <c r="AD10" s="41"/>
      <c r="AE10" s="41"/>
      <c r="AF10" s="41"/>
      <c r="AG10" s="41"/>
      <c r="AH10" s="33"/>
      <c r="AI10" s="33"/>
      <c r="AM10" s="16" t="s">
        <v>169</v>
      </c>
    </row>
    <row r="11" spans="1:42" x14ac:dyDescent="0.45">
      <c r="B11" s="61"/>
      <c r="C11" s="61"/>
      <c r="D11" s="58"/>
      <c r="E11" s="59"/>
      <c r="F11" s="41"/>
      <c r="G11" s="41"/>
      <c r="H11" s="41"/>
      <c r="I11" s="41"/>
      <c r="J11" s="33"/>
      <c r="K11" s="33"/>
      <c r="L11" s="60"/>
      <c r="M11" s="59"/>
      <c r="N11" s="41"/>
      <c r="O11" s="41"/>
      <c r="P11" s="41"/>
      <c r="Q11" s="41"/>
      <c r="R11" s="33"/>
      <c r="S11" s="33"/>
      <c r="T11" s="58"/>
      <c r="U11" s="59"/>
      <c r="V11" s="41"/>
      <c r="W11" s="41"/>
      <c r="X11" s="41"/>
      <c r="Y11" s="41"/>
      <c r="Z11" s="33"/>
      <c r="AA11" s="33"/>
      <c r="AB11" s="58"/>
      <c r="AC11" s="59"/>
      <c r="AD11" s="41"/>
      <c r="AE11" s="41"/>
      <c r="AF11" s="41"/>
      <c r="AG11" s="41"/>
      <c r="AH11" s="33"/>
      <c r="AI11" s="33"/>
      <c r="AM11" t="s">
        <v>68</v>
      </c>
    </row>
    <row r="12" spans="1:42" x14ac:dyDescent="0.45">
      <c r="B12" s="61"/>
      <c r="C12" s="61"/>
      <c r="D12" s="58"/>
      <c r="E12" s="59"/>
      <c r="F12" s="41"/>
      <c r="G12" s="41"/>
      <c r="H12" s="41"/>
      <c r="I12" s="41"/>
      <c r="J12" s="33"/>
      <c r="K12" s="33"/>
      <c r="L12" s="60"/>
      <c r="M12" s="59"/>
      <c r="N12" s="41"/>
      <c r="O12" s="41"/>
      <c r="P12" s="41"/>
      <c r="Q12" s="41"/>
      <c r="R12" s="33"/>
      <c r="S12" s="33"/>
      <c r="T12" s="58"/>
      <c r="U12" s="59"/>
      <c r="V12" s="41"/>
      <c r="W12" s="41"/>
      <c r="X12" s="41"/>
      <c r="Y12" s="41"/>
      <c r="Z12" s="33"/>
      <c r="AA12" s="33"/>
      <c r="AB12" s="58"/>
      <c r="AC12" s="59"/>
      <c r="AD12" s="41"/>
      <c r="AE12" s="41"/>
      <c r="AF12" s="41"/>
      <c r="AG12" s="41"/>
      <c r="AH12" s="33"/>
      <c r="AI12" s="33"/>
      <c r="AL12" s="16" t="s">
        <v>146</v>
      </c>
      <c r="AM12" t="s">
        <v>118</v>
      </c>
      <c r="AN12" t="s">
        <v>247</v>
      </c>
      <c r="AO12" t="s">
        <v>248</v>
      </c>
      <c r="AP12" t="s">
        <v>117</v>
      </c>
    </row>
    <row r="13" spans="1:42" x14ac:dyDescent="0.45">
      <c r="B13" s="61"/>
      <c r="C13" s="61"/>
      <c r="D13" s="58"/>
      <c r="E13" s="59"/>
      <c r="F13" s="41"/>
      <c r="G13" s="41"/>
      <c r="H13" s="41"/>
      <c r="I13" s="41"/>
      <c r="J13" s="33"/>
      <c r="K13" s="33"/>
      <c r="L13" s="60"/>
      <c r="M13" s="59"/>
      <c r="N13" s="41"/>
      <c r="O13" s="41"/>
      <c r="P13" s="41"/>
      <c r="Q13" s="41"/>
      <c r="R13" s="33"/>
      <c r="S13" s="33"/>
      <c r="T13" s="58"/>
      <c r="U13" s="59"/>
      <c r="V13" s="41"/>
      <c r="W13" s="41"/>
      <c r="X13" s="41"/>
      <c r="Y13" s="41"/>
      <c r="Z13" s="33"/>
      <c r="AA13" s="33"/>
      <c r="AB13" s="58"/>
      <c r="AC13" s="59"/>
      <c r="AD13" s="41"/>
      <c r="AE13" s="41"/>
      <c r="AF13" s="41"/>
      <c r="AG13" s="41"/>
      <c r="AH13" s="33"/>
      <c r="AI13" s="33"/>
      <c r="AL13" s="17" t="s">
        <v>185</v>
      </c>
      <c r="AM13" s="20">
        <v>200</v>
      </c>
      <c r="AN13" s="20"/>
      <c r="AO13" s="20"/>
      <c r="AP13" s="20">
        <v>150</v>
      </c>
    </row>
    <row r="14" spans="1:42" x14ac:dyDescent="0.45">
      <c r="B14" s="61"/>
      <c r="C14" s="61"/>
      <c r="D14" s="58"/>
      <c r="E14" s="59"/>
      <c r="F14" s="41"/>
      <c r="G14" s="41"/>
      <c r="H14" s="41"/>
      <c r="I14" s="41"/>
      <c r="J14" s="33"/>
      <c r="K14" s="33"/>
      <c r="L14" s="60"/>
      <c r="M14" s="59"/>
      <c r="N14" s="41"/>
      <c r="O14" s="41"/>
      <c r="P14" s="41"/>
      <c r="Q14" s="41"/>
      <c r="R14" s="33"/>
      <c r="S14" s="33"/>
      <c r="T14" s="58"/>
      <c r="U14" s="59"/>
      <c r="V14" s="41"/>
      <c r="W14" s="41"/>
      <c r="X14" s="41"/>
      <c r="Y14" s="41"/>
      <c r="Z14" s="33"/>
      <c r="AA14" s="33"/>
      <c r="AB14" s="58"/>
      <c r="AC14" s="59"/>
      <c r="AD14" s="41"/>
      <c r="AE14" s="41"/>
      <c r="AF14" s="41"/>
      <c r="AG14" s="41"/>
      <c r="AH14" s="33"/>
      <c r="AI14" s="33"/>
      <c r="AL14" s="17" t="s">
        <v>193</v>
      </c>
      <c r="AM14" s="20">
        <v>800</v>
      </c>
      <c r="AN14" s="20"/>
      <c r="AO14" s="20"/>
      <c r="AP14" s="20"/>
    </row>
    <row r="15" spans="1:42" x14ac:dyDescent="0.45">
      <c r="B15" s="61"/>
      <c r="C15" s="61"/>
      <c r="D15" s="58"/>
      <c r="E15" s="59"/>
      <c r="F15" s="41"/>
      <c r="G15" s="41"/>
      <c r="H15" s="41"/>
      <c r="I15" s="41"/>
      <c r="J15" s="33"/>
      <c r="K15" s="33"/>
      <c r="L15" s="60"/>
      <c r="M15" s="59"/>
      <c r="N15" s="41"/>
      <c r="O15" s="41"/>
      <c r="P15" s="41"/>
      <c r="Q15" s="41"/>
      <c r="R15" s="33"/>
      <c r="S15" s="33"/>
      <c r="T15" s="58"/>
      <c r="U15" s="59"/>
      <c r="V15" s="41"/>
      <c r="W15" s="41"/>
      <c r="X15" s="41"/>
      <c r="Y15" s="41"/>
      <c r="Z15" s="33"/>
      <c r="AA15" s="33"/>
      <c r="AB15" s="58"/>
      <c r="AC15" s="59"/>
      <c r="AD15" s="41"/>
      <c r="AE15" s="41"/>
      <c r="AF15" s="41"/>
      <c r="AG15" s="41"/>
      <c r="AH15" s="33"/>
      <c r="AI15" s="33"/>
      <c r="AL15" s="17" t="s">
        <v>233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1"/>
      <c r="C16" s="61"/>
      <c r="D16" s="58"/>
      <c r="E16" s="59"/>
      <c r="F16" s="41"/>
      <c r="G16" s="41"/>
      <c r="H16" s="41"/>
      <c r="I16" s="41"/>
      <c r="J16" s="33"/>
      <c r="K16" s="33"/>
      <c r="L16" s="60"/>
      <c r="M16" s="59"/>
      <c r="N16" s="41"/>
      <c r="O16" s="41"/>
      <c r="P16" s="41"/>
      <c r="Q16" s="41"/>
      <c r="R16" s="33"/>
      <c r="S16" s="33"/>
      <c r="T16" s="58"/>
      <c r="U16" s="59"/>
      <c r="V16" s="41"/>
      <c r="W16" s="41"/>
      <c r="X16" s="41"/>
      <c r="Y16" s="41"/>
      <c r="Z16" s="33"/>
      <c r="AA16" s="33"/>
      <c r="AB16" s="58"/>
      <c r="AC16" s="59"/>
      <c r="AD16" s="41"/>
      <c r="AE16" s="41"/>
      <c r="AF16" s="41"/>
      <c r="AG16" s="41"/>
      <c r="AH16" s="33"/>
      <c r="AI16" s="33"/>
      <c r="AL16" s="17" t="s">
        <v>234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3"/>
      <c r="C17" s="63"/>
      <c r="D17" s="58"/>
      <c r="E17" s="59"/>
      <c r="F17" s="41"/>
      <c r="G17" s="41"/>
      <c r="H17" s="41"/>
      <c r="I17" s="41"/>
      <c r="J17" s="33"/>
      <c r="K17" s="33"/>
      <c r="L17" s="60"/>
      <c r="M17" s="59"/>
      <c r="N17" s="41"/>
      <c r="O17" s="41"/>
      <c r="P17" s="41"/>
      <c r="Q17" s="41"/>
      <c r="R17" s="33"/>
      <c r="S17" s="33"/>
      <c r="T17" s="58"/>
      <c r="U17" s="59"/>
      <c r="V17" s="41"/>
      <c r="W17" s="41"/>
      <c r="X17" s="41"/>
      <c r="Y17" s="41"/>
      <c r="Z17" s="33"/>
      <c r="AA17" s="33"/>
      <c r="AB17" s="58"/>
      <c r="AC17" s="59"/>
      <c r="AD17" s="41"/>
      <c r="AE17" s="41"/>
      <c r="AF17" s="41"/>
      <c r="AG17" s="41"/>
      <c r="AH17" s="33"/>
      <c r="AI17" s="33"/>
      <c r="AL17" s="17" t="s">
        <v>50</v>
      </c>
      <c r="AM17" s="20">
        <v>1400</v>
      </c>
      <c r="AN17" s="20"/>
      <c r="AO17" s="20">
        <v>360</v>
      </c>
      <c r="AP17" s="20">
        <v>450</v>
      </c>
    </row>
    <row r="18" spans="2:42" x14ac:dyDescent="0.45">
      <c r="B18" s="64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1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G1" s="16" t="s">
        <v>141</v>
      </c>
      <c r="H1" t="s">
        <v>227</v>
      </c>
    </row>
    <row r="2" spans="2:8" x14ac:dyDescent="0.45">
      <c r="G2" s="16" t="s">
        <v>226</v>
      </c>
      <c r="H2" t="s">
        <v>228</v>
      </c>
    </row>
    <row r="3" spans="2:8" x14ac:dyDescent="0.45">
      <c r="B3" s="16" t="s">
        <v>146</v>
      </c>
      <c r="C3" t="s">
        <v>199</v>
      </c>
    </row>
    <row r="4" spans="2:8" x14ac:dyDescent="0.45">
      <c r="B4" s="17" t="s">
        <v>68</v>
      </c>
      <c r="C4" s="20">
        <v>1040</v>
      </c>
      <c r="G4" s="16" t="s">
        <v>146</v>
      </c>
      <c r="H4" t="s">
        <v>150</v>
      </c>
    </row>
    <row r="5" spans="2:8" x14ac:dyDescent="0.45">
      <c r="B5" s="17" t="s">
        <v>50</v>
      </c>
      <c r="C5" s="20">
        <v>1040</v>
      </c>
      <c r="G5" s="17" t="s">
        <v>50</v>
      </c>
      <c r="H5" s="20"/>
    </row>
    <row r="15" spans="2:8" x14ac:dyDescent="0.45">
      <c r="B15" t="s">
        <v>197</v>
      </c>
      <c r="C15" t="s">
        <v>200</v>
      </c>
      <c r="D15" t="s">
        <v>201</v>
      </c>
    </row>
    <row r="16" spans="2:8" x14ac:dyDescent="0.45">
      <c r="B16" t="s">
        <v>250</v>
      </c>
      <c r="C16">
        <f>GETPIVOTDATA("Epic Not Decomposed Estimate",$B$3)</f>
        <v>1040</v>
      </c>
      <c r="D16">
        <f>GETPIVOTDATA("Story Points",$G$1)</f>
        <v>0</v>
      </c>
    </row>
    <row r="17" spans="2:2" x14ac:dyDescent="0.45">
      <c r="B17" t="s">
        <v>251</v>
      </c>
    </row>
    <row r="18" spans="2:2" x14ac:dyDescent="0.45">
      <c r="B18" t="s">
        <v>252</v>
      </c>
    </row>
    <row r="19" spans="2:2" x14ac:dyDescent="0.45">
      <c r="B19" t="s">
        <v>253</v>
      </c>
    </row>
    <row r="20" spans="2:2" x14ac:dyDescent="0.45">
      <c r="B20" t="s">
        <v>254</v>
      </c>
    </row>
    <row r="21" spans="2:2" x14ac:dyDescent="0.45">
      <c r="B21" t="s">
        <v>255</v>
      </c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CPM</vt:lpstr>
      <vt:lpstr>Excel Import</vt:lpstr>
      <vt:lpstr>UME v2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'UME v2'!Table10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2018-10-23T12:02:30Z</dcterms:modified>
</cp:coreProperties>
</file>