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1B9A31BD-39BE-4A37-BFB6-805DD7E12981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Reuse" sheetId="19" r:id="rId2"/>
    <sheet name="Glossary" sheetId="20" r:id="rId3"/>
    <sheet name="Doc Gen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94" r:id="rId19"/>
  </pivotCaches>
  <fileRecoveryPr autoRecover="0"/>
</workbook>
</file>

<file path=xl/calcChain.xml><?xml version="1.0" encoding="utf-8"?>
<calcChain xmlns="http://schemas.openxmlformats.org/spreadsheetml/2006/main">
  <c r="AF8" i="26" l="1"/>
  <c r="AC9" i="26"/>
  <c r="U9" i="26"/>
  <c r="M9" i="26"/>
  <c r="E9" i="26"/>
  <c r="C21" i="24"/>
  <c r="D21" i="24"/>
  <c r="AG9" i="26"/>
  <c r="Q9" i="26"/>
  <c r="I9" i="26"/>
  <c r="N9" i="26"/>
  <c r="Y9" i="26"/>
  <c r="T9" i="26"/>
  <c r="D9" i="26"/>
  <c r="W9" i="26"/>
  <c r="O9" i="26"/>
  <c r="G9" i="26"/>
  <c r="V9" i="26"/>
  <c r="F9" i="26"/>
  <c r="AE9" i="26"/>
  <c r="AD9" i="26"/>
  <c r="AB9" i="26"/>
  <c r="L9" i="26"/>
  <c r="P9" i="26" l="1"/>
  <c r="S9" i="26" s="1"/>
  <c r="AF9" i="26"/>
  <c r="AI9" i="26" s="1"/>
  <c r="AH9" i="26"/>
  <c r="J9" i="26"/>
  <c r="R9" i="26"/>
  <c r="Z9" i="26"/>
  <c r="H9" i="26"/>
  <c r="K9" i="26" s="1"/>
  <c r="X9" i="26"/>
  <c r="AA9" i="26" s="1"/>
  <c r="AC8" i="26"/>
  <c r="U8" i="26"/>
  <c r="M8" i="26"/>
  <c r="E8" i="26"/>
  <c r="X9" i="9"/>
  <c r="V9" i="9"/>
  <c r="T9" i="9"/>
  <c r="R9" i="9"/>
  <c r="M9" i="9"/>
  <c r="N9" i="9"/>
  <c r="P9" i="9"/>
  <c r="O9" i="9"/>
  <c r="AI8" i="26" l="1"/>
  <c r="P8" i="26"/>
  <c r="S8" i="26" s="1"/>
  <c r="Z8" i="26"/>
  <c r="R8" i="26"/>
  <c r="AH8" i="26"/>
  <c r="H8" i="26"/>
  <c r="K8" i="26" s="1"/>
  <c r="X8" i="26"/>
  <c r="AA8" i="26" s="1"/>
  <c r="J8" i="26"/>
  <c r="AC7" i="26" l="1"/>
  <c r="U7" i="26"/>
  <c r="M7" i="26"/>
  <c r="E7" i="26"/>
  <c r="J7" i="26" l="1"/>
  <c r="AH7" i="26"/>
  <c r="R7" i="26"/>
  <c r="Z7" i="26"/>
  <c r="H7" i="26"/>
  <c r="K7" i="26" s="1"/>
  <c r="P7" i="26"/>
  <c r="S7" i="26" s="1"/>
  <c r="X7" i="26"/>
  <c r="AA7" i="26" s="1"/>
  <c r="AF7" i="26"/>
  <c r="AI7" i="26" s="1"/>
  <c r="AC6" i="26" l="1"/>
  <c r="U6" i="26"/>
  <c r="M6" i="26"/>
  <c r="E6" i="26"/>
  <c r="X6" i="26" l="1"/>
  <c r="AA6" i="26" s="1"/>
  <c r="AF6" i="26"/>
  <c r="AI6" i="26" s="1"/>
  <c r="J6" i="26"/>
  <c r="AH6" i="26"/>
  <c r="H6" i="26"/>
  <c r="K6" i="26" s="1"/>
  <c r="R6" i="26"/>
  <c r="Z6" i="26"/>
  <c r="P6" i="26"/>
  <c r="S6" i="26" s="1"/>
  <c r="AC5" i="26"/>
  <c r="U5" i="26"/>
  <c r="M5" i="26"/>
  <c r="E5" i="26"/>
  <c r="H5" i="26" l="1"/>
  <c r="K5" i="26" s="1"/>
  <c r="P5" i="26"/>
  <c r="S5" i="26" s="1"/>
  <c r="X5" i="26"/>
  <c r="AA5" i="26" s="1"/>
  <c r="AF5" i="26"/>
  <c r="AI5" i="26" s="1"/>
  <c r="J5" i="26"/>
  <c r="R5" i="26"/>
  <c r="AH5" i="26"/>
  <c r="Z5" i="26"/>
  <c r="AC4" i="26" l="1"/>
  <c r="U4" i="26"/>
  <c r="M4" i="26"/>
  <c r="H3" i="26"/>
  <c r="AF4" i="26" l="1"/>
  <c r="AI4" i="26" s="1"/>
  <c r="AH4" i="26"/>
  <c r="X4" i="26"/>
  <c r="AA4" i="26" s="1"/>
  <c r="Z4" i="26"/>
  <c r="P4" i="26"/>
  <c r="S4" i="26" s="1"/>
  <c r="R4" i="26"/>
  <c r="AC10" i="26"/>
  <c r="U10" i="26"/>
  <c r="M10" i="26"/>
  <c r="E10" i="26"/>
  <c r="J4" i="26" l="1"/>
  <c r="H4" i="26"/>
  <c r="K4" i="26" s="1"/>
  <c r="K4" i="9"/>
  <c r="B14" i="9"/>
  <c r="B18" i="9"/>
  <c r="L10" i="9" l="1"/>
  <c r="L9" i="9"/>
  <c r="L8" i="9"/>
  <c r="L7" i="9"/>
  <c r="L6" i="9"/>
  <c r="L5" i="9"/>
  <c r="L4" i="9"/>
  <c r="K5" i="9"/>
  <c r="K6" i="9"/>
  <c r="K7" i="9"/>
  <c r="K8" i="9"/>
  <c r="K9" i="9"/>
  <c r="K10" i="9"/>
  <c r="J10" i="9"/>
  <c r="I10" i="9"/>
  <c r="H10" i="9"/>
  <c r="U10" i="9" l="1"/>
  <c r="W10" i="9" l="1"/>
  <c r="S10" i="9"/>
  <c r="Q10" i="9"/>
  <c r="W3" i="9" l="1"/>
  <c r="U3" i="9"/>
  <c r="Q3" i="9"/>
  <c r="S3" i="9"/>
  <c r="X3" i="26" l="1"/>
  <c r="AC3" i="26"/>
  <c r="U3" i="26"/>
  <c r="E3" i="26"/>
  <c r="M3" i="26"/>
  <c r="E4" i="26"/>
  <c r="B10" i="9"/>
  <c r="B1" i="12" l="1"/>
  <c r="AE31" i="2" s="1"/>
  <c r="F66" i="9"/>
  <c r="B66" i="9"/>
  <c r="AF3" i="26" l="1"/>
  <c r="AI3" i="26" s="1"/>
  <c r="AH3" i="26"/>
  <c r="K42" i="9"/>
  <c r="B19" i="9" l="1"/>
  <c r="I4" i="9" l="1"/>
  <c r="J4" i="9" s="1"/>
  <c r="Z3" i="26" l="1"/>
  <c r="AA3" i="26"/>
  <c r="R3" i="26"/>
  <c r="P3" i="26"/>
  <c r="S3" i="26" s="1"/>
  <c r="J3" i="26"/>
  <c r="K3" i="26"/>
  <c r="M14" i="22" l="1"/>
  <c r="L14" i="22"/>
  <c r="E6" i="9" l="1"/>
  <c r="B22" i="9" s="1"/>
  <c r="B23" i="9" l="1"/>
  <c r="B2" i="9"/>
  <c r="AE35" i="2" l="1"/>
  <c r="AE34" i="2"/>
  <c r="AE30" i="2"/>
  <c r="AE36" i="2"/>
  <c r="AE33" i="2"/>
  <c r="AE32" i="2"/>
  <c r="H42" i="9"/>
  <c r="B13" i="15"/>
  <c r="B15" i="9" l="1"/>
  <c r="B11" i="9"/>
  <c r="E42" i="9"/>
  <c r="B41" i="9" l="1"/>
  <c r="B6" i="9"/>
  <c r="E16" i="12" l="1"/>
  <c r="C18" i="14"/>
  <c r="E15" i="12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J9" i="9" l="1"/>
  <c r="B7" i="9"/>
  <c r="U4" i="9" l="1"/>
  <c r="U8" i="9"/>
  <c r="U7" i="9"/>
  <c r="U9" i="9"/>
  <c r="U6" i="9"/>
  <c r="U5" i="9"/>
  <c r="Q4" i="9" l="1"/>
  <c r="S4" i="9"/>
  <c r="W4" i="9"/>
  <c r="Q7" i="9"/>
  <c r="S7" i="9"/>
  <c r="W7" i="9"/>
  <c r="Q5" i="9"/>
  <c r="S5" i="9"/>
  <c r="W5" i="9"/>
  <c r="W9" i="9"/>
  <c r="S9" i="9"/>
  <c r="Q9" i="9"/>
  <c r="W6" i="9"/>
  <c r="S6" i="9"/>
  <c r="Q6" i="9"/>
  <c r="S8" i="9"/>
  <c r="W8" i="9"/>
  <c r="Q8" i="9"/>
</calcChain>
</file>

<file path=xl/sharedStrings.xml><?xml version="1.0" encoding="utf-8"?>
<sst xmlns="http://schemas.openxmlformats.org/spreadsheetml/2006/main" count="1137" uniqueCount="280">
  <si>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</si>
  <si>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</si>
  <si>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</si>
  <si>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</si>
  <si>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</si>
  <si>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</si>
  <si>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</si>
  <si>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</si>
  <si>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</si>
  <si>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</si>
  <si>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</si>
  <si>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</si>
  <si>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</si>
  <si>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</si>
  <si>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</si>
  <si>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</si>
  <si>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</si>
  <si>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</si>
  <si>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</si>
  <si>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</si>
  <si>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</si>
  <si>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</si>
  <si>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</si>
  <si>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</si>
  <si>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</si>
  <si>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</si>
  <si>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</si>
  <si>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</si>
  <si>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</si>
  <si>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</si>
  <si>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</si>
  <si>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</si>
  <si>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</si>
  <si>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</si>
  <si>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</si>
  <si>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</si>
  <si>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</si>
  <si>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</si>
  <si>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</si>
  <si>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</si>
  <si>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</si>
  <si>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</si>
  <si>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</si>
  <si>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</si>
  <si>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</si>
  <si>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</si>
  <si>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</si>
  <si>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</si>
  <si>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</si>
  <si>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</si>
  <si>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</si>
  <si>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</si>
  <si>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</si>
  <si>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</si>
  <si>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</si>
  <si>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</si>
  <si>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</si>
  <si>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</si>
  <si>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</si>
  <si>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</si>
  <si>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</si>
  <si>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</si>
  <si>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</si>
  <si>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</si>
  <si>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</si>
  <si>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</si>
  <si>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</si>
  <si>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</si>
  <si>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</si>
  <si>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</si>
  <si>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</si>
  <si>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</si>
  <si>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</si>
  <si>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</si>
  <si>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</si>
  <si>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</si>
  <si>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</si>
  <si>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</si>
  <si>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</si>
  <si>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</si>
  <si>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</si>
  <si>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</si>
  <si>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</si>
  <si>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</si>
  <si>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</si>
  <si>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</si>
  <si>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</si>
  <si>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</si>
  <si>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</si>
  <si>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</si>
  <si>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</si>
  <si>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</si>
  <si>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</si>
  <si>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</si>
  <si>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</si>
  <si>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</si>
  <si>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</si>
  <si>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</si>
  <si>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</si>
  <si>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</si>
  <si>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</si>
  <si>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</si>
  <si>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</si>
  <si>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</si>
  <si>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</si>
  <si>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</si>
  <si>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</si>
  <si>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</si>
  <si>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</si>
  <si>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</si>
  <si>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</si>
  <si>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</si>
  <si>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</si>
  <si>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</si>
  <si>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</si>
  <si>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</si>
  <si>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</si>
  <si>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</si>
  <si>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</si>
  <si>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</si>
  <si>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</si>
  <si>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</si>
  <si>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</si>
  <si>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</si>
  <si>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</si>
  <si>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</si>
  <si>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</si>
  <si>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</si>
  <si>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</si>
  <si>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</si>
  <si>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</si>
  <si>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</si>
  <si>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</si>
  <si>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</si>
  <si>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</si>
  <si>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</si>
  <si>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</si>
  <si>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</si>
  <si>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</si>
  <si>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</si>
  <si>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</si>
  <si>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</si>
  <si>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</si>
  <si>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</si>
  <si>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</si>
  <si>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</si>
  <si>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</si>
  <si>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</si>
  <si>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</si>
  <si>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</si>
  <si>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</si>
  <si>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</si>
  <si>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</si>
  <si>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</si>
  <si>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</si>
  <si>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</si>
  <si>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</si>
  <si>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</si>
  <si>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</si>
  <si>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</si>
  <si>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</si>
  <si>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</si>
  <si>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</si>
  <si>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</si>
  <si>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</si>
  <si>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</si>
  <si>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</si>
  <si>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</si>
  <si>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</si>
  <si>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</si>
  <si>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</si>
  <si>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</si>
  <si>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</si>
  <si>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</si>
  <si>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</si>
  <si>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</si>
  <si>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</si>
  <si>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</si>
  <si>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</si>
  <si>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</si>
  <si>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</si>
  <si>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</si>
  <si>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</si>
  <si>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</si>
  <si>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</si>
  <si>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</si>
  <si>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</si>
  <si>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</si>
  <si>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</si>
  <si>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</si>
  <si>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</si>
  <si>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</si>
  <si>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</si>
  <si>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</si>
  <si>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</si>
  <si>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</si>
  <si>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</si>
  <si>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</si>
  <si>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</si>
  <si>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</si>
  <si>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</si>
  <si>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</si>
  <si>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</si>
  <si>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</si>
  <si>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</si>
  <si>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</si>
  <si>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</si>
  <si>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</si>
  <si>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</si>
  <si>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</si>
  <si>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</si>
  <si>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</si>
  <si>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</si>
  <si>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</si>
  <si>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</si>
  <si>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</si>
  <si>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</si>
  <si>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</si>
  <si>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</si>
  <si>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</si>
  <si>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</si>
  <si>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</si>
  <si>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</si>
  <si>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</si>
  <si>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</si>
  <si>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</si>
  <si>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</si>
  <si>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</si>
  <si>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</si>
  <si>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</si>
  <si>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</si>
  <si>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</si>
  <si>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</si>
  <si>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</si>
  <si>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</si>
  <si>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</si>
  <si>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</si>
  <si>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</si>
  <si>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</si>
  <si>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</si>
  <si>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</si>
  <si>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</si>
  <si>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</si>
  <si>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</si>
  <si>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</si>
  <si>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</si>
  <si>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</si>
  <si>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</si>
  <si>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</si>
  <si>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</si>
  <si>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</si>
  <si>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Saturn</t>
  </si>
  <si>
    <t>bug</t>
  </si>
  <si>
    <t>Total P0/P1 Bugs: ${bpHelper.getTotalP0P1BugCount()}</t>
  </si>
  <si>
    <t>Reuse</t>
  </si>
  <si>
    <t>&lt;mt:execute script="field-helper-tool.groovy"/&gt;&lt;mt:execute script="blueprint-helper.groovy"/&gt;&lt;mt:execute script="blueprint-titan-dashboard-helper.groovy"/&gt;</t>
  </si>
  <si>
    <t>Titan Component</t>
  </si>
  <si>
    <t>${bpHelper.getTitanComponent(issue)}</t>
  </si>
  <si>
    <t>Doc Gen</t>
  </si>
  <si>
    <t>Glossary</t>
  </si>
  <si>
    <t>Time Elapsed Glossary</t>
  </si>
  <si>
    <t>$[SUBSTITUTE(SUBSTITUTE(AE2, "itan", ""), "aturn", "")]</t>
  </si>
  <si>
    <t>Titan1</t>
  </si>
  <si>
    <t>Titan2</t>
  </si>
  <si>
    <t>Titan3</t>
  </si>
  <si>
    <t>Titan4</t>
  </si>
  <si>
    <t>Titan5</t>
  </si>
  <si>
    <t>Titan6</t>
  </si>
  <si>
    <t>Titan7</t>
  </si>
  <si>
    <t>T1</t>
  </si>
  <si>
    <t>T2</t>
  </si>
  <si>
    <t>T3</t>
  </si>
  <si>
    <t>T4</t>
  </si>
  <si>
    <t>T5</t>
  </si>
  <si>
    <t>T6</t>
  </si>
  <si>
    <t>T7</t>
  </si>
  <si>
    <t>Release, Reuse, Doc Gen</t>
  </si>
  <si>
    <t>Sum of Stories Estimate</t>
  </si>
  <si>
    <t>Sum of Epic Decomposed</t>
  </si>
  <si>
    <t>Chart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</si>
</sst>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0.85507246376811596</c:v>
                </c:pt>
                <c:pt idx="1">
                  <c:v>0.14492753623188404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Reuse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</c:v>
                </c:pt>
                <c:pt idx="1">
                  <c:v>0.19</c:v>
                </c:pt>
                <c:pt idx="2">
                  <c:v>0.31</c:v>
                </c:pt>
                <c:pt idx="3">
                  <c:v>0.6</c:v>
                </c:pt>
                <c:pt idx="4">
                  <c:v>0.71</c:v>
                </c:pt>
                <c:pt idx="5">
                  <c:v>0.98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75</c:v>
                </c:pt>
                <c:pt idx="1">
                  <c:v>63.970588235294116</c:v>
                </c:pt>
                <c:pt idx="2">
                  <c:v>54.044117647058826</c:v>
                </c:pt>
                <c:pt idx="3">
                  <c:v>43.014705882352935</c:v>
                </c:pt>
                <c:pt idx="4">
                  <c:v>31.985294117647062</c:v>
                </c:pt>
                <c:pt idx="5">
                  <c:v>22.058823529411761</c:v>
                </c:pt>
                <c:pt idx="6">
                  <c:v>11.029411764705884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65</c:v>
                </c:pt>
                <c:pt idx="1">
                  <c:v>59</c:v>
                </c:pt>
                <c:pt idx="2">
                  <c:v>57</c:v>
                </c:pt>
                <c:pt idx="3">
                  <c:v>38</c:v>
                </c:pt>
                <c:pt idx="4">
                  <c:v>29</c:v>
                </c:pt>
                <c:pt idx="5">
                  <c:v>2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65</c:v>
                </c:pt>
                <c:pt idx="1">
                  <c:v>73</c:v>
                </c:pt>
                <c:pt idx="2">
                  <c:v>83</c:v>
                </c:pt>
                <c:pt idx="3">
                  <c:v>94</c:v>
                </c:pt>
                <c:pt idx="4">
                  <c:v>101</c:v>
                </c:pt>
                <c:pt idx="5">
                  <c:v>92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65</c:v>
                </c:pt>
                <c:pt idx="1">
                  <c:v>73</c:v>
                </c:pt>
                <c:pt idx="2">
                  <c:v>83</c:v>
                </c:pt>
                <c:pt idx="3">
                  <c:v>94</c:v>
                </c:pt>
                <c:pt idx="4">
                  <c:v>101</c:v>
                </c:pt>
                <c:pt idx="5">
                  <c:v>92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65</c:v>
                </c:pt>
                <c:pt idx="1">
                  <c:v>65</c:v>
                </c:pt>
                <c:pt idx="2">
                  <c:v>70</c:v>
                </c:pt>
                <c:pt idx="3">
                  <c:v>81</c:v>
                </c:pt>
                <c:pt idx="4">
                  <c:v>85</c:v>
                </c:pt>
                <c:pt idx="5">
                  <c:v>90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26</c:v>
                </c:pt>
                <c:pt idx="3">
                  <c:v>56</c:v>
                </c:pt>
                <c:pt idx="4">
                  <c:v>72</c:v>
                </c:pt>
                <c:pt idx="5">
                  <c:v>90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0.85507246376811596</c:v>
                </c:pt>
                <c:pt idx="1">
                  <c:v>0.14492753623188404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Glossary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Glossary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0.1</c:v>
                </c:pt>
                <c:pt idx="1">
                  <c:v>0.11</c:v>
                </c:pt>
                <c:pt idx="2">
                  <c:v>0.35</c:v>
                </c:pt>
                <c:pt idx="3">
                  <c:v>0.43</c:v>
                </c:pt>
                <c:pt idx="4">
                  <c:v>0.77</c:v>
                </c:pt>
                <c:pt idx="5">
                  <c:v>0.85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Glossary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Glossary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175</c:v>
                </c:pt>
                <c:pt idx="1">
                  <c:v>149.26470588235293</c:v>
                </c:pt>
                <c:pt idx="2">
                  <c:v>126.10294117647059</c:v>
                </c:pt>
                <c:pt idx="3">
                  <c:v>100.36764705882352</c:v>
                </c:pt>
                <c:pt idx="4">
                  <c:v>74.632352941176478</c:v>
                </c:pt>
                <c:pt idx="5">
                  <c:v>51.470588235294109</c:v>
                </c:pt>
                <c:pt idx="6">
                  <c:v>25.735294117647065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104</c:v>
                </c:pt>
                <c:pt idx="1">
                  <c:v>169</c:v>
                </c:pt>
                <c:pt idx="2">
                  <c:v>107</c:v>
                </c:pt>
                <c:pt idx="3">
                  <c:v>110</c:v>
                </c:pt>
                <c:pt idx="4">
                  <c:v>39</c:v>
                </c:pt>
                <c:pt idx="5">
                  <c:v>29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Glossary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115</c:v>
                </c:pt>
                <c:pt idx="1">
                  <c:v>190</c:v>
                </c:pt>
                <c:pt idx="2">
                  <c:v>164</c:v>
                </c:pt>
                <c:pt idx="3">
                  <c:v>192</c:v>
                </c:pt>
                <c:pt idx="4">
                  <c:v>173</c:v>
                </c:pt>
                <c:pt idx="5">
                  <c:v>192.5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90</c:v>
                </c:pt>
                <c:pt idx="1">
                  <c:v>110</c:v>
                </c:pt>
                <c:pt idx="2">
                  <c:v>164</c:v>
                </c:pt>
                <c:pt idx="3">
                  <c:v>192</c:v>
                </c:pt>
                <c:pt idx="4">
                  <c:v>173</c:v>
                </c:pt>
                <c:pt idx="5">
                  <c:v>192.5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72</c:v>
                </c:pt>
                <c:pt idx="1">
                  <c:v>100</c:v>
                </c:pt>
                <c:pt idx="2">
                  <c:v>154</c:v>
                </c:pt>
                <c:pt idx="3">
                  <c:v>184</c:v>
                </c:pt>
                <c:pt idx="4">
                  <c:v>173</c:v>
                </c:pt>
                <c:pt idx="5">
                  <c:v>192.5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11</c:v>
                </c:pt>
                <c:pt idx="1">
                  <c:v>21</c:v>
                </c:pt>
                <c:pt idx="2">
                  <c:v>57</c:v>
                </c:pt>
                <c:pt idx="3">
                  <c:v>82</c:v>
                </c:pt>
                <c:pt idx="4">
                  <c:v>134</c:v>
                </c:pt>
                <c:pt idx="5">
                  <c:v>163.5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175</c:v>
                </c:pt>
                <c:pt idx="1">
                  <c:v>175</c:v>
                </c:pt>
                <c:pt idx="2">
                  <c:v>175</c:v>
                </c:pt>
                <c:pt idx="3">
                  <c:v>175</c:v>
                </c:pt>
                <c:pt idx="4">
                  <c:v>175</c:v>
                </c:pt>
                <c:pt idx="5">
                  <c:v>175</c:v>
                </c:pt>
                <c:pt idx="6">
                  <c:v>175</c:v>
                </c:pt>
                <c:pt idx="7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0.85507246376811596</c:v>
                </c:pt>
                <c:pt idx="1">
                  <c:v>0.14492753623188404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Doc Gen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0.22</c:v>
                </c:pt>
                <c:pt idx="2">
                  <c:v>0.9</c:v>
                </c:pt>
                <c:pt idx="3">
                  <c:v>0.98</c:v>
                </c:pt>
                <c:pt idx="4">
                  <c:v>1</c:v>
                </c:pt>
                <c:pt idx="5">
                  <c:v>1</c:v>
                </c:pt>
                <c:pt idx="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55</c:v>
                </c:pt>
                <c:pt idx="1">
                  <c:v>46.911764705882348</c:v>
                </c:pt>
                <c:pt idx="2">
                  <c:v>39.632352941176471</c:v>
                </c:pt>
                <c:pt idx="3">
                  <c:v>31.544117647058822</c:v>
                </c:pt>
                <c:pt idx="4">
                  <c:v>23.455882352941178</c:v>
                </c:pt>
                <c:pt idx="5">
                  <c:v>16.17647058823529</c:v>
                </c:pt>
                <c:pt idx="6">
                  <c:v>8.0882352941176485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51</c:v>
                </c:pt>
                <c:pt idx="1">
                  <c:v>40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</a:t>
            </a:r>
            <a:r>
              <a:rPr lang="en-US" baseline="0"/>
              <a:t> Gen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40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40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51</c:v>
                </c:pt>
                <c:pt idx="1">
                  <c:v>51</c:v>
                </c:pt>
                <c:pt idx="2">
                  <c:v>40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11</c:v>
                </c:pt>
                <c:pt idx="2">
                  <c:v>36</c:v>
                </c:pt>
                <c:pt idx="3">
                  <c:v>40</c:v>
                </c:pt>
                <c:pt idx="4">
                  <c:v>41</c:v>
                </c:pt>
                <c:pt idx="5">
                  <c:v>41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[Titan-Dashboard.xlsx]_ReleaseData!PivotTable6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Doc Gen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135</c:v>
                </c:pt>
                <c:pt idx="1">
                  <c:v>57</c:v>
                </c:pt>
                <c:pt idx="2">
                  <c:v>60</c:v>
                </c:pt>
                <c:pt idx="3">
                  <c:v>35</c:v>
                </c:pt>
                <c:pt idx="4">
                  <c:v>18</c:v>
                </c:pt>
                <c:pt idx="5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192</c:v>
                </c:pt>
                <c:pt idx="1">
                  <c:v>153</c:v>
                </c:pt>
                <c:pt idx="2">
                  <c:v>119</c:v>
                </c:pt>
                <c:pt idx="3">
                  <c:v>61</c:v>
                </c:pt>
                <c:pt idx="4">
                  <c:v>44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0.14705882352941177</c:v>
                </c:pt>
                <c:pt idx="2">
                  <c:v>0.27941176470588236</c:v>
                </c:pt>
                <c:pt idx="3">
                  <c:v>0.4264705882352941</c:v>
                </c:pt>
                <c:pt idx="4">
                  <c:v>0.57352941176470584</c:v>
                </c:pt>
                <c:pt idx="5">
                  <c:v>0.70588235294117652</c:v>
                </c:pt>
                <c:pt idx="6">
                  <c:v>0.8529411764705882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0.03</c:v>
                </c:pt>
                <c:pt idx="1">
                  <c:v>0.11</c:v>
                </c:pt>
                <c:pt idx="2">
                  <c:v>0.31</c:v>
                </c:pt>
                <c:pt idx="3">
                  <c:v>0.4</c:v>
                </c:pt>
                <c:pt idx="4">
                  <c:v>0.64</c:v>
                </c:pt>
                <c:pt idx="5">
                  <c:v>0.74</c:v>
                </c:pt>
                <c:pt idx="6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Titan6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Titan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_BugsData!$B$30:$B$37</c:f>
              <c:strCache>
                <c:ptCount val="7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</c:strCache>
            </c:strRef>
          </c:cat>
          <c:val>
            <c:numRef>
              <c:f>_BugsData!$C$30:$C$37</c:f>
              <c:numCache>
                <c:formatCode>General</c:formatCode>
                <c:ptCount val="7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Reuse</c:v>
                </c:pt>
                <c:pt idx="1">
                  <c:v>Glossary</c:v>
                </c:pt>
                <c:pt idx="2">
                  <c:v>Doc Gen</c:v>
                </c:pt>
                <c:pt idx="3">
                  <c:v>R&amp;D Bucket</c:v>
                </c:pt>
                <c:pt idx="4">
                  <c:v>CI/CD</c:v>
                </c:pt>
                <c:pt idx="5">
                  <c:v>DevOps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</c:v>
                </c:pt>
                <c:pt idx="4">
                  <c:v>200.125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420</c:v>
                </c:pt>
                <c:pt idx="1">
                  <c:v>358.23529411764707</c:v>
                </c:pt>
                <c:pt idx="2">
                  <c:v>302.64705882352939</c:v>
                </c:pt>
                <c:pt idx="3">
                  <c:v>240.88235294117646</c:v>
                </c:pt>
                <c:pt idx="4">
                  <c:v>179.11764705882354</c:v>
                </c:pt>
                <c:pt idx="5">
                  <c:v>123.52941176470587</c:v>
                </c:pt>
                <c:pt idx="6">
                  <c:v>61.764705882352956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304</c:v>
                </c:pt>
                <c:pt idx="1">
                  <c:v>369</c:v>
                </c:pt>
                <c:pt idx="2">
                  <c:v>264</c:v>
                </c:pt>
                <c:pt idx="3">
                  <c:v>277</c:v>
                </c:pt>
                <c:pt idx="4">
                  <c:v>153</c:v>
                </c:pt>
                <c:pt idx="5">
                  <c:v>113</c:v>
                </c:pt>
                <c:pt idx="6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315</c:v>
                </c:pt>
                <c:pt idx="1">
                  <c:v>416.5</c:v>
                </c:pt>
                <c:pt idx="2">
                  <c:v>385</c:v>
                </c:pt>
                <c:pt idx="3">
                  <c:v>463</c:v>
                </c:pt>
                <c:pt idx="4">
                  <c:v>422</c:v>
                </c:pt>
                <c:pt idx="5">
                  <c:v>439.5</c:v>
                </c:pt>
                <c:pt idx="6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290</c:v>
                </c:pt>
                <c:pt idx="1">
                  <c:v>326.5</c:v>
                </c:pt>
                <c:pt idx="2">
                  <c:v>375</c:v>
                </c:pt>
                <c:pt idx="3">
                  <c:v>452</c:v>
                </c:pt>
                <c:pt idx="4">
                  <c:v>411</c:v>
                </c:pt>
                <c:pt idx="5">
                  <c:v>438.5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252</c:v>
                </c:pt>
                <c:pt idx="1">
                  <c:v>286.5</c:v>
                </c:pt>
                <c:pt idx="2">
                  <c:v>332</c:v>
                </c:pt>
                <c:pt idx="3">
                  <c:v>406</c:v>
                </c:pt>
                <c:pt idx="4">
                  <c:v>390</c:v>
                </c:pt>
                <c:pt idx="5">
                  <c:v>424.5</c:v>
                </c:pt>
                <c:pt idx="6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11</c:v>
                </c:pt>
                <c:pt idx="1">
                  <c:v>47.5</c:v>
                </c:pt>
                <c:pt idx="2">
                  <c:v>121</c:v>
                </c:pt>
                <c:pt idx="3">
                  <c:v>186</c:v>
                </c:pt>
                <c:pt idx="4">
                  <c:v>269</c:v>
                </c:pt>
                <c:pt idx="5">
                  <c:v>326.5</c:v>
                </c:pt>
                <c:pt idx="6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  <c:pt idx="7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0.85507246376811596</c:v>
                </c:pt>
                <c:pt idx="1">
                  <c:v>0.14492753623188404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86%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662.348042361111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1">
        <s v="${fieldHelper.getFieldValueByName(issue, &quot;ST:Components&quot;)}"/>
        <m/>
        <s v="Reuse"/>
        <s v="Glossary"/>
        <s v="Doc Gen"/>
        <s v="Diagram Editor" u="1"/>
        <s v="DevOps" u="1"/>
        <s v="Artifact List" u="1"/>
        <s v="Cross Project Move" u="1"/>
        <s v="Drag &amp; Drop" u="1"/>
        <s v="Excel Impor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45">
        <s v="${bpHelper.getLastSprint(issue)}"/>
        <m/>
        <s v="Titan1"/>
        <s v="Titan2"/>
        <s v="Titan3"/>
        <s v="Titan4"/>
        <s v="Titan5"/>
        <s v="Titan6"/>
        <s v="Titan7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Saturn1" u="1"/>
        <s v="Quasar13" u="1"/>
        <s v="Quasar1" u="1"/>
        <s v="Pegasus5" u="1"/>
        <s v="Saturn2" u="1"/>
        <s v="Quasar2" u="1"/>
        <s v="Saturn3" u="1"/>
        <s v="Quasar3" u="1"/>
        <s v="Saturn4" u="1"/>
        <s v="Quasar12" u="1"/>
        <s v="Quasar4" u="1"/>
        <s v="Saturn5" u="1"/>
        <s v="Pegasus4" u="1"/>
        <s v="Quasar5" u="1"/>
        <s v="Saturn6" u="1"/>
        <s v="Quasar6" u="1"/>
        <s v="Saturn7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49">
        <s v="$[SUBSTITUTE(SUBSTITUTE(AE2, &quot;itan&quot;, &quot;&quot;), &quot;aturn&quot;, &quot;&quot;)]"/>
        <m/>
        <s v="T1"/>
        <s v="T2"/>
        <s v="T3"/>
        <s v="T4"/>
        <s v="T5"/>
        <s v="T6"/>
        <s v="T7"/>
        <s v="S2" u="1"/>
        <s v="Q10" u="1"/>
        <s v="Q11" u="1"/>
        <s v="S4" u="1"/>
        <s v="R1" u="1"/>
        <s v="Q12" u="1"/>
        <s v="S6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S1" u="1"/>
        <s v="S3" u="1"/>
        <s v="S5" u="1"/>
        <s v="R2" u="1"/>
        <s v="$[SUBSTITUTE(SUBSTITUTE(AE2, &quot;aturn&quot;, &quot;&quot;), &quot;ocket&quot;, &quot;&quot;)]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7">
        <s v="${issue.fixVersions.name}"/>
        <m/>
        <s v="Titan"/>
        <s v="Saturn"/>
        <s v="Rocket" u="1"/>
        <s v="Quasar" u="1"/>
        <s v="Pegasus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Titan Component" numFmtId="0">
      <sharedItems containsBlank="1" count="9">
        <s v="${bpHelper.getTitanComponent(issue)}"/>
        <m/>
        <s v="Doc Gen"/>
        <s v="Reuse"/>
        <s v="Glossary"/>
        <s v="DevOps"/>
        <s v="R&amp;D Bucket"/>
        <s v="Other"/>
        <s v="CI/CD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QA" u="1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9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10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9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9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9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7"/>
    </i>
    <i>
      <x v="9"/>
    </i>
    <i>
      <x v="10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6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9"/>
        <item m="1" x="10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6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0">
        <item h="1" m="1" x="47"/>
        <item h="1" m="1" x="39"/>
        <item h="1" m="1" x="38"/>
        <item h="1" m="1" x="20"/>
        <item h="1" m="1" x="41"/>
        <item h="1" m="1" x="24"/>
        <item h="1" m="1" x="42"/>
        <item h="1" m="1" x="26"/>
        <item h="1" m="1" x="44"/>
        <item h="1" m="1" x="28"/>
        <item h="1" m="1" x="46"/>
        <item h="1" x="1"/>
        <item h="1" m="1" x="10"/>
        <item h="1" m="1" x="11"/>
        <item h="1" m="1" x="14"/>
        <item h="1" m="1" x="16"/>
        <item h="1" m="1" x="18"/>
        <item h="1" m="1" x="30"/>
        <item h="1" m="1" x="23"/>
        <item h="1" m="1" x="22"/>
        <item h="1" m="1" x="25"/>
        <item h="1" m="1" x="43"/>
        <item h="1" m="1" x="27"/>
        <item h="1" m="1" x="45"/>
        <item h="1" m="1" x="29"/>
        <item h="1" m="1" x="48"/>
        <item h="1" m="1" x="13"/>
        <item h="1" m="1" x="34"/>
        <item h="1" m="1" x="17"/>
        <item h="1" m="1" x="37"/>
        <item h="1" m="1" x="19"/>
        <item h="1" m="1" x="40"/>
        <item h="1" m="1" x="21"/>
        <item h="1" m="1" x="31"/>
        <item h="1" m="1" x="9"/>
        <item h="1" m="1" x="32"/>
        <item h="1" m="1" x="12"/>
        <item h="1" m="1" x="33"/>
        <item h="1" m="1" x="15"/>
        <item h="1" m="1" x="36"/>
        <item h="1" m="1" x="35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46">
        <item x="0"/>
        <item m="1" x="16"/>
        <item m="1" x="9"/>
        <item m="1" x="41"/>
        <item m="1" x="33"/>
        <item m="1" x="24"/>
        <item m="1" x="17"/>
        <item m="1" x="11"/>
        <item m="1" x="42"/>
        <item m="1" x="23"/>
        <item m="1" x="44"/>
        <item m="1" x="39"/>
        <item m="1" x="30"/>
        <item m="1" x="22"/>
        <item m="1" x="14"/>
        <item m="1" x="26"/>
        <item m="1" x="28"/>
        <item m="1" x="31"/>
        <item m="1" x="34"/>
        <item m="1" x="36"/>
        <item m="1" x="38"/>
        <item m="1" x="40"/>
        <item m="1" x="43"/>
        <item x="1"/>
        <item m="1" x="10"/>
        <item m="1" x="12"/>
        <item m="1" x="13"/>
        <item m="1" x="15"/>
        <item m="1" x="18"/>
        <item m="1" x="19"/>
        <item m="1" x="20"/>
        <item m="1" x="21"/>
        <item m="1" x="25"/>
        <item m="1" x="27"/>
        <item m="1" x="29"/>
        <item m="1" x="32"/>
        <item m="1" x="35"/>
        <item m="1" x="37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43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7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50">
        <item h="1" m="1" x="47"/>
        <item h="1" m="1" x="38"/>
        <item h="1" m="1" x="20"/>
        <item h="1" m="1" x="41"/>
        <item h="1" m="1" x="24"/>
        <item h="1" m="1" x="42"/>
        <item h="1" m="1" x="26"/>
        <item h="1" m="1" x="44"/>
        <item h="1" m="1" x="28"/>
        <item h="1" m="1" x="46"/>
        <item h="1" x="1"/>
        <item h="1" m="1" x="10"/>
        <item h="1" m="1" x="11"/>
        <item h="1" m="1" x="14"/>
        <item h="1" m="1" x="16"/>
        <item h="1" m="1" x="18"/>
        <item h="1" m="1" x="39"/>
        <item h="1" m="1" x="30"/>
        <item h="1" m="1" x="23"/>
        <item h="1" m="1" x="22"/>
        <item h="1" m="1" x="25"/>
        <item h="1" m="1" x="43"/>
        <item h="1" m="1" x="27"/>
        <item h="1" m="1" x="45"/>
        <item h="1" m="1" x="29"/>
        <item h="1" m="1" x="48"/>
        <item h="1" m="1" x="13"/>
        <item h="1" m="1" x="34"/>
        <item h="1" m="1" x="17"/>
        <item h="1" m="1" x="37"/>
        <item h="1" m="1" x="19"/>
        <item h="1" m="1" x="40"/>
        <item h="1" m="1" x="21"/>
        <item h="1" m="1" x="31"/>
        <item h="1" m="1" x="9"/>
        <item h="1" m="1" x="32"/>
        <item h="1" m="1" x="12"/>
        <item h="1" m="1" x="33"/>
        <item h="1" m="1" x="15"/>
        <item h="1" m="1" x="36"/>
        <item h="1" m="1" x="35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pageFields count="4">
    <pageField fld="32" item="6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9"/>
        <item m="1" x="10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6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axis="axisRow" showAll="0">
      <items count="10">
        <item x="0"/>
        <item x="3"/>
        <item x="4"/>
        <item x="2"/>
        <item x="6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6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9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9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6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9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9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10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9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6" hier="-1"/>
    <pageField fld="1" hier="-1"/>
    <pageField fld="10" item="9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9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7"/>
        <item m="1" x="5"/>
        <item x="1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6" hier="-1"/>
    <pageField fld="1" hier="-1"/>
    <pageField fld="10" item="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9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2">
        <item x="0"/>
        <item x="1"/>
        <item m="1" x="7"/>
        <item m="1" x="5"/>
        <item m="1" x="8"/>
        <item m="1" x="10"/>
        <item m="1" x="6"/>
        <item x="2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8">
        <item x="0"/>
        <item m="1" x="6"/>
        <item m="1" x="5"/>
        <item x="1"/>
        <item m="1" x="4"/>
        <item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7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6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52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177</v>
      </c>
    </row>
    <row r="4" spans="1:2" x14ac:dyDescent="0.45">
      <c r="A4" s="16" t="s">
        <v>248</v>
      </c>
      <c r="B4" t="s">
        <v>218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175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248</v>
      </c>
      <c r="C3" t="s">
        <v>218</v>
      </c>
    </row>
    <row r="5" spans="2:13" x14ac:dyDescent="0.45">
      <c r="B5" s="16" t="s">
        <v>140</v>
      </c>
      <c r="C5" t="s">
        <v>144</v>
      </c>
      <c r="K5" s="39" t="s">
        <v>189</v>
      </c>
    </row>
    <row r="6" spans="2:13" x14ac:dyDescent="0.45">
      <c r="B6" s="17" t="s">
        <v>269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45">
      <c r="B7" s="17" t="s">
        <v>270</v>
      </c>
      <c r="C7" s="20">
        <v>60</v>
      </c>
      <c r="K7" t="s">
        <v>269</v>
      </c>
      <c r="L7">
        <v>46.25</v>
      </c>
    </row>
    <row r="8" spans="2:13" x14ac:dyDescent="0.45">
      <c r="B8" s="17" t="s">
        <v>271</v>
      </c>
      <c r="C8" s="20">
        <v>30</v>
      </c>
      <c r="K8" t="s">
        <v>270</v>
      </c>
      <c r="L8">
        <v>80.75</v>
      </c>
    </row>
    <row r="9" spans="2:13" x14ac:dyDescent="0.45">
      <c r="B9" s="17" t="s">
        <v>272</v>
      </c>
      <c r="C9" s="20">
        <v>60</v>
      </c>
      <c r="K9" t="s">
        <v>271</v>
      </c>
      <c r="L9">
        <v>69</v>
      </c>
    </row>
    <row r="10" spans="2:13" x14ac:dyDescent="0.45">
      <c r="B10" s="17" t="s">
        <v>273</v>
      </c>
      <c r="C10" s="20">
        <v>60</v>
      </c>
      <c r="K10" t="s">
        <v>272</v>
      </c>
      <c r="L10">
        <v>91</v>
      </c>
    </row>
    <row r="11" spans="2:13" x14ac:dyDescent="0.45">
      <c r="B11" s="17" t="s">
        <v>274</v>
      </c>
      <c r="C11" s="20">
        <v>60</v>
      </c>
      <c r="K11" t="s">
        <v>273</v>
      </c>
      <c r="L11">
        <v>69</v>
      </c>
    </row>
    <row r="12" spans="2:13" x14ac:dyDescent="0.45">
      <c r="B12" s="17" t="s">
        <v>50</v>
      </c>
      <c r="C12" s="20">
        <v>370</v>
      </c>
      <c r="K12" t="s">
        <v>274</v>
      </c>
    </row>
    <row r="13" spans="2:13" x14ac:dyDescent="0.45">
      <c r="K13" t="s">
        <v>275</v>
      </c>
      <c r="M13" s="20"/>
    </row>
    <row r="14" spans="2:13" x14ac:dyDescent="0.45">
      <c r="K14" t="s">
        <v>187</v>
      </c>
      <c r="L14">
        <f>SUBTOTAL(109,Table1[R&amp;D])</f>
        <v>356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Titan6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267</v>
      </c>
    </row>
    <row r="3" spans="1:5" x14ac:dyDescent="0.45">
      <c r="D3" s="16" t="s">
        <v>248</v>
      </c>
      <c r="E3" t="s">
        <v>218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175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184</v>
      </c>
      <c r="E12" s="20">
        <v>10</v>
      </c>
    </row>
    <row r="13" spans="1:5" x14ac:dyDescent="0.45">
      <c r="D13" s="17" t="s">
        <v>50</v>
      </c>
      <c r="E13" s="20">
        <v>16</v>
      </c>
    </row>
    <row r="15" spans="1:5" x14ac:dyDescent="0.45">
      <c r="D15" t="s">
        <v>50</v>
      </c>
      <c r="E15">
        <f>GETPIVOTDATA("Story Points", $D$5)</f>
        <v>16</v>
      </c>
    </row>
    <row r="16" spans="1:5" x14ac:dyDescent="0.45">
      <c r="D16" t="s">
        <v>279</v>
      </c>
      <c r="E16" t="str">
        <f>"Sprint " &amp; SUBSTITUTE($B$1,"Quasar", "") &amp; " Progress"</f>
        <v>Sprint Titan6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7"/>
  <sheetViews>
    <sheetView workbookViewId="0"/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154</v>
      </c>
    </row>
    <row r="2" spans="1:7" x14ac:dyDescent="0.45">
      <c r="A2" t="s">
        <v>161</v>
      </c>
      <c r="G2" t="s">
        <v>253</v>
      </c>
    </row>
    <row r="3" spans="1:7" x14ac:dyDescent="0.45">
      <c r="G3" t="s">
        <v>250</v>
      </c>
    </row>
    <row r="4" spans="1:7" x14ac:dyDescent="0.45">
      <c r="B4" s="16" t="s">
        <v>135</v>
      </c>
      <c r="C4" t="s">
        <v>52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177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160</v>
      </c>
    </row>
    <row r="10" spans="1:7" x14ac:dyDescent="0.45">
      <c r="B10" s="17" t="s">
        <v>155</v>
      </c>
      <c r="C10" s="20">
        <v>1</v>
      </c>
    </row>
    <row r="11" spans="1:7" x14ac:dyDescent="0.45">
      <c r="B11" s="17" t="s">
        <v>156</v>
      </c>
      <c r="C11" s="20">
        <v>1</v>
      </c>
    </row>
    <row r="12" spans="1:7" x14ac:dyDescent="0.45">
      <c r="B12" s="17" t="s">
        <v>157</v>
      </c>
      <c r="C12" s="20">
        <v>1</v>
      </c>
    </row>
    <row r="13" spans="1:7" x14ac:dyDescent="0.45">
      <c r="B13" s="17" t="s">
        <v>158</v>
      </c>
      <c r="C13" s="20">
        <v>1</v>
      </c>
    </row>
    <row r="14" spans="1:7" x14ac:dyDescent="0.45">
      <c r="B14" s="17" t="s">
        <v>159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52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177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160</v>
      </c>
    </row>
    <row r="30" spans="2:3" x14ac:dyDescent="0.45">
      <c r="B30" s="17" t="s">
        <v>269</v>
      </c>
      <c r="C30" s="20">
        <v>1</v>
      </c>
    </row>
    <row r="31" spans="2:3" x14ac:dyDescent="0.45">
      <c r="B31" s="17" t="s">
        <v>270</v>
      </c>
      <c r="C31" s="20"/>
    </row>
    <row r="32" spans="2:3" x14ac:dyDescent="0.45">
      <c r="B32" s="17" t="s">
        <v>271</v>
      </c>
      <c r="C32" s="20"/>
    </row>
    <row r="33" spans="2:3" x14ac:dyDescent="0.45">
      <c r="B33" s="17" t="s">
        <v>272</v>
      </c>
      <c r="C33" s="20">
        <v>1</v>
      </c>
    </row>
    <row r="34" spans="2:3" x14ac:dyDescent="0.45">
      <c r="B34" s="17" t="s">
        <v>273</v>
      </c>
      <c r="C34" s="20"/>
    </row>
    <row r="35" spans="2:3" x14ac:dyDescent="0.45">
      <c r="B35" s="17" t="s">
        <v>274</v>
      </c>
      <c r="C35" s="20"/>
    </row>
    <row r="36" spans="2:3" x14ac:dyDescent="0.45">
      <c r="B36" s="17" t="s">
        <v>275</v>
      </c>
      <c r="C36" s="20"/>
    </row>
    <row r="37" spans="2:3" x14ac:dyDescent="0.45">
      <c r="B37" s="17" t="s">
        <v>50</v>
      </c>
      <c r="C37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256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239</v>
      </c>
      <c r="AT1" s="1" t="s">
        <v>248</v>
      </c>
      <c r="AU1" s="1" t="s">
        <v>217</v>
      </c>
      <c r="AV1" s="3" t="s">
        <v>255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261</v>
      </c>
      <c r="AG2" s="15" t="s">
        <v>136</v>
      </c>
      <c r="AH2" s="10" t="s">
        <v>46</v>
      </c>
      <c r="AI2" s="10" t="s">
        <v>146</v>
      </c>
      <c r="AJ2" s="10" t="s">
        <v>257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240</v>
      </c>
      <c r="AT2" s="15" t="s">
        <v>249</v>
      </c>
      <c r="AU2" s="15" t="s">
        <v>220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262</v>
      </c>
      <c r="AG4" s="5" t="s">
        <v>52</v>
      </c>
      <c r="AI4" s="5" t="s">
        <v>147</v>
      </c>
      <c r="AJ4" s="10" t="s">
        <v>258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x14ac:dyDescent="0.45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263</v>
      </c>
      <c r="AI5" s="5" t="s">
        <v>175</v>
      </c>
      <c r="AJ5" s="10" t="s">
        <v>254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264</v>
      </c>
      <c r="AI6" s="5" t="s">
        <v>148</v>
      </c>
      <c r="AJ6" s="5" t="s">
        <v>259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45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265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x14ac:dyDescent="0.45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266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267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45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268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45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263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264</v>
      </c>
      <c r="AF12" s="5" t="s">
        <v>269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45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265</v>
      </c>
      <c r="AF13" s="5" t="s">
        <v>270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45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266</v>
      </c>
      <c r="AF14" s="5" t="s">
        <v>271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6.25" x14ac:dyDescent="0.45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267</v>
      </c>
      <c r="AF15" s="5" t="s">
        <v>272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262</v>
      </c>
      <c r="AF16" s="5" t="s">
        <v>273</v>
      </c>
      <c r="AS16" s="5" t="s">
        <v>241</v>
      </c>
      <c r="AT16" s="5" t="s">
        <v>218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268</v>
      </c>
      <c r="AF17" s="5" t="s">
        <v>274</v>
      </c>
      <c r="AS17" s="5" t="s">
        <v>242</v>
      </c>
      <c r="AT17" s="5" t="s">
        <v>218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264</v>
      </c>
      <c r="AF18" s="5" t="s">
        <v>269</v>
      </c>
      <c r="AS18" s="5" t="s">
        <v>243</v>
      </c>
      <c r="AT18" s="5" t="s">
        <v>218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265</v>
      </c>
      <c r="AF19" s="5" t="s">
        <v>270</v>
      </c>
      <c r="AS19" s="5" t="s">
        <v>244</v>
      </c>
      <c r="AT19" s="5" t="s">
        <v>218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266</v>
      </c>
      <c r="AF20" s="5" t="s">
        <v>271</v>
      </c>
      <c r="AS20" s="5" t="s">
        <v>245</v>
      </c>
      <c r="AT20" s="5" t="s">
        <v>218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267</v>
      </c>
      <c r="AF21" s="5" t="s">
        <v>272</v>
      </c>
      <c r="AS21" s="5" t="s">
        <v>246</v>
      </c>
      <c r="AT21" s="5" t="s">
        <v>218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262</v>
      </c>
      <c r="AF22" s="5" t="s">
        <v>273</v>
      </c>
      <c r="AS22" s="5" t="s">
        <v>247</v>
      </c>
      <c r="AT22" s="5" t="s">
        <v>218</v>
      </c>
    </row>
    <row r="23" spans="1:46" ht="26.25" x14ac:dyDescent="0.45">
      <c r="A23" s="5" t="s">
        <v>51</v>
      </c>
      <c r="E23" s="19" t="s">
        <v>105</v>
      </c>
      <c r="AE23" s="5" t="s">
        <v>263</v>
      </c>
      <c r="AF23" s="5" t="s">
        <v>274</v>
      </c>
      <c r="AT23" s="5" t="s">
        <v>218</v>
      </c>
    </row>
    <row r="24" spans="1:46" x14ac:dyDescent="0.45">
      <c r="A24" s="5" t="s">
        <v>51</v>
      </c>
      <c r="E24" s="19" t="s">
        <v>106</v>
      </c>
      <c r="AE24" s="5" t="s">
        <v>268</v>
      </c>
      <c r="AF24" s="5" t="s">
        <v>269</v>
      </c>
      <c r="AT24" s="5" t="s">
        <v>218</v>
      </c>
    </row>
    <row r="25" spans="1:46" x14ac:dyDescent="0.45">
      <c r="A25" s="5" t="s">
        <v>51</v>
      </c>
      <c r="E25" s="19" t="s">
        <v>107</v>
      </c>
      <c r="AE25" s="5" t="s">
        <v>265</v>
      </c>
      <c r="AF25" s="5" t="s">
        <v>269</v>
      </c>
      <c r="AT25" s="5" t="s">
        <v>218</v>
      </c>
    </row>
    <row r="26" spans="1:46" x14ac:dyDescent="0.45">
      <c r="A26" s="5" t="s">
        <v>51</v>
      </c>
      <c r="E26" s="19" t="s">
        <v>108</v>
      </c>
      <c r="AT26" s="5" t="s">
        <v>218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6.25" x14ac:dyDescent="0.45">
      <c r="A28" s="5" t="s">
        <v>51</v>
      </c>
      <c r="E28" s="19" t="s">
        <v>110</v>
      </c>
      <c r="AG28" s="5" t="s">
        <v>251</v>
      </c>
      <c r="AT28" s="5" t="s">
        <v>218</v>
      </c>
    </row>
    <row r="29" spans="1:46" x14ac:dyDescent="0.45">
      <c r="A29" s="5" t="s">
        <v>51</v>
      </c>
      <c r="E29" s="19" t="s">
        <v>67</v>
      </c>
      <c r="AT29" s="5" t="s">
        <v>218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Titan6</v>
      </c>
      <c r="AI30" s="5" t="s">
        <v>147</v>
      </c>
      <c r="AT30" s="5" t="s">
        <v>218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Titan6</v>
      </c>
      <c r="AI31" s="5" t="s">
        <v>175</v>
      </c>
      <c r="AT31" s="5" t="s">
        <v>218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Titan6</v>
      </c>
      <c r="AI32" s="5" t="s">
        <v>148</v>
      </c>
      <c r="AT32" s="5" t="s">
        <v>218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Titan6</v>
      </c>
      <c r="AI33" s="5" t="s">
        <v>149</v>
      </c>
      <c r="AT33" s="5" t="s">
        <v>218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Titan6</v>
      </c>
      <c r="AI34" s="5" t="s">
        <v>151</v>
      </c>
      <c r="AT34" s="5" t="s">
        <v>218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Titan6</v>
      </c>
      <c r="AI35" s="5" t="s">
        <v>150</v>
      </c>
      <c r="AT35" s="5" t="s">
        <v>218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Titan6</v>
      </c>
      <c r="AI36" s="5" t="s">
        <v>152</v>
      </c>
      <c r="AT36" s="5" t="s">
        <v>218</v>
      </c>
    </row>
    <row r="37" spans="1:46" x14ac:dyDescent="0.45">
      <c r="A37" s="5" t="s">
        <v>51</v>
      </c>
      <c r="E37" s="19" t="s">
        <v>75</v>
      </c>
      <c r="AE37" s="5" t="s">
        <v>262</v>
      </c>
      <c r="AT37" s="5" t="s">
        <v>218</v>
      </c>
    </row>
    <row r="38" spans="1:46" x14ac:dyDescent="0.45">
      <c r="A38" s="5" t="s">
        <v>51</v>
      </c>
      <c r="E38" s="19" t="s">
        <v>76</v>
      </c>
      <c r="AT38" s="5" t="s">
        <v>218</v>
      </c>
    </row>
    <row r="39" spans="1:46" x14ac:dyDescent="0.45">
      <c r="A39" s="5" t="s">
        <v>51</v>
      </c>
      <c r="E39" s="19" t="s">
        <v>77</v>
      </c>
      <c r="AT39" s="5" t="s">
        <v>218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269</v>
      </c>
      <c r="AG40" s="5" t="s">
        <v>52</v>
      </c>
      <c r="AH40" s="5" t="s">
        <v>155</v>
      </c>
      <c r="AL40" s="4" t="s">
        <v>223</v>
      </c>
      <c r="AT40" s="5" t="s">
        <v>218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270</v>
      </c>
      <c r="AG41" s="5" t="s">
        <v>52</v>
      </c>
      <c r="AH41" s="5" t="s">
        <v>156</v>
      </c>
      <c r="AL41" s="4" t="s">
        <v>223</v>
      </c>
      <c r="AT41" s="5" t="s">
        <v>218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271</v>
      </c>
      <c r="AG42" s="5" t="s">
        <v>52</v>
      </c>
      <c r="AH42" s="5" t="s">
        <v>157</v>
      </c>
      <c r="AL42" s="4" t="s">
        <v>223</v>
      </c>
      <c r="AT42" s="5" t="s">
        <v>218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272</v>
      </c>
      <c r="AG43" s="5" t="s">
        <v>52</v>
      </c>
      <c r="AH43" s="5" t="s">
        <v>158</v>
      </c>
      <c r="AL43" s="4" t="s">
        <v>223</v>
      </c>
      <c r="AT43" s="5" t="s">
        <v>218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273</v>
      </c>
      <c r="AG44" s="5" t="s">
        <v>52</v>
      </c>
      <c r="AH44" s="5" t="s">
        <v>159</v>
      </c>
      <c r="AL44" s="4" t="s">
        <v>223</v>
      </c>
      <c r="AT44" s="5" t="s">
        <v>218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274</v>
      </c>
      <c r="AG45" s="5" t="s">
        <v>52</v>
      </c>
      <c r="AH45" s="5" t="s">
        <v>158</v>
      </c>
      <c r="AL45" s="4" t="s">
        <v>223</v>
      </c>
      <c r="AT45" s="5" t="s">
        <v>218</v>
      </c>
    </row>
    <row r="46" spans="1:46" ht="26.25" x14ac:dyDescent="0.45">
      <c r="A46" s="5" t="s">
        <v>51</v>
      </c>
      <c r="B46" s="3" t="s">
        <v>252</v>
      </c>
      <c r="E46" s="19" t="s">
        <v>84</v>
      </c>
      <c r="AF46" s="5" t="s">
        <v>275</v>
      </c>
      <c r="AG46" s="5" t="s">
        <v>52</v>
      </c>
      <c r="AT46" s="5" t="s">
        <v>218</v>
      </c>
    </row>
    <row r="47" spans="1:46" x14ac:dyDescent="0.45">
      <c r="A47" s="5" t="s">
        <v>51</v>
      </c>
      <c r="E47" s="19" t="s">
        <v>85</v>
      </c>
      <c r="AT47" s="5" t="s">
        <v>218</v>
      </c>
    </row>
    <row r="48" spans="1:46" x14ac:dyDescent="0.45">
      <c r="A48" s="3" t="s">
        <v>51</v>
      </c>
      <c r="AT48" s="5" t="s">
        <v>218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269</v>
      </c>
      <c r="AG49" s="5" t="s">
        <v>52</v>
      </c>
      <c r="AH49" s="5" t="s">
        <v>155</v>
      </c>
      <c r="AL49" s="4" t="s">
        <v>223</v>
      </c>
      <c r="AT49" s="5" t="s">
        <v>218</v>
      </c>
    </row>
    <row r="50" spans="1:46" x14ac:dyDescent="0.45">
      <c r="A50" s="5" t="s">
        <v>51</v>
      </c>
      <c r="B50" s="5" t="s">
        <v>62</v>
      </c>
      <c r="K50" s="5" t="s">
        <v>254</v>
      </c>
      <c r="P50" s="5">
        <v>200</v>
      </c>
      <c r="Q50" s="5">
        <v>150</v>
      </c>
      <c r="W50" s="5">
        <v>180</v>
      </c>
      <c r="AG50" s="5" t="s">
        <v>52</v>
      </c>
      <c r="AJ50" s="5" t="s">
        <v>58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45">
      <c r="A51" s="3" t="s">
        <v>51</v>
      </c>
      <c r="B51" s="3" t="s">
        <v>62</v>
      </c>
      <c r="K51" s="5" t="s">
        <v>259</v>
      </c>
      <c r="P51" s="5">
        <v>200</v>
      </c>
      <c r="Q51" s="5">
        <v>150</v>
      </c>
      <c r="W51" s="5">
        <v>180</v>
      </c>
      <c r="AG51" s="5" t="s">
        <v>52</v>
      </c>
      <c r="AJ51" s="5" t="s">
        <v>254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258</v>
      </c>
      <c r="N52" s="5">
        <v>10</v>
      </c>
      <c r="P52" s="5">
        <v>200</v>
      </c>
      <c r="Q52" s="5">
        <v>150</v>
      </c>
      <c r="W52" s="5">
        <v>180</v>
      </c>
      <c r="AG52" s="5" t="s">
        <v>52</v>
      </c>
      <c r="AI52" s="5" t="s">
        <v>147</v>
      </c>
      <c r="AJ52" s="10" t="s">
        <v>258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258</v>
      </c>
      <c r="N53" s="5">
        <v>10</v>
      </c>
      <c r="P53" s="5">
        <v>200</v>
      </c>
      <c r="Q53" s="5">
        <v>150</v>
      </c>
      <c r="AG53" s="5" t="s">
        <v>52</v>
      </c>
      <c r="AI53" s="5" t="s">
        <v>175</v>
      </c>
      <c r="AL53" s="4" t="s">
        <v>223</v>
      </c>
      <c r="AT53" s="5" t="s">
        <v>218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258</v>
      </c>
      <c r="N54" s="5">
        <v>10</v>
      </c>
      <c r="P54" s="5">
        <v>200</v>
      </c>
      <c r="Q54" s="5">
        <v>150</v>
      </c>
      <c r="AG54" s="5" t="s">
        <v>52</v>
      </c>
      <c r="AI54" s="5" t="s">
        <v>148</v>
      </c>
      <c r="AL54" s="4" t="s">
        <v>223</v>
      </c>
      <c r="AT54" s="5" t="s">
        <v>218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52</v>
      </c>
      <c r="AI55" s="5" t="s">
        <v>149</v>
      </c>
      <c r="AL55" s="4" t="s">
        <v>223</v>
      </c>
      <c r="AT55" s="5" t="s">
        <v>218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52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52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52</v>
      </c>
      <c r="AI58" s="5" t="s">
        <v>175</v>
      </c>
      <c r="AL58" s="4" t="s">
        <v>223</v>
      </c>
      <c r="AT58" s="5" t="s">
        <v>218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52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52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52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52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52</v>
      </c>
      <c r="AI63" s="5" t="s">
        <v>175</v>
      </c>
      <c r="AL63" s="4" t="s">
        <v>223</v>
      </c>
      <c r="AT63" s="5" t="s">
        <v>218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52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52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52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52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52</v>
      </c>
      <c r="AI68" s="5" t="s">
        <v>175</v>
      </c>
      <c r="AL68" s="4" t="s">
        <v>223</v>
      </c>
      <c r="AT68" s="5" t="s">
        <v>218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52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52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52</v>
      </c>
      <c r="AI71" s="5" t="s">
        <v>151</v>
      </c>
      <c r="AL71" s="4" t="s">
        <v>223</v>
      </c>
      <c r="AT71" s="5" t="s">
        <v>218</v>
      </c>
    </row>
    <row r="72" spans="1:46" x14ac:dyDescent="0.45">
      <c r="A72" s="5" t="s">
        <v>51</v>
      </c>
      <c r="AT72" s="5" t="s">
        <v>218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52</v>
      </c>
      <c r="AJ73" s="10" t="s">
        <v>258</v>
      </c>
      <c r="AT73" s="5" t="s">
        <v>218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52</v>
      </c>
      <c r="AJ74" s="10" t="s">
        <v>254</v>
      </c>
      <c r="AT74" s="5" t="s">
        <v>218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52</v>
      </c>
      <c r="AJ75" s="10" t="s">
        <v>185</v>
      </c>
      <c r="AT75" s="5" t="s">
        <v>218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52</v>
      </c>
      <c r="AJ76" s="10" t="s">
        <v>186</v>
      </c>
      <c r="AT76" s="5" t="s">
        <v>218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52</v>
      </c>
      <c r="AJ77" s="5" t="s">
        <v>259</v>
      </c>
      <c r="AL77" s="4"/>
      <c r="AT77" s="5" t="s">
        <v>218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269</v>
      </c>
      <c r="AG78" s="5" t="s">
        <v>52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270</v>
      </c>
      <c r="AG79" s="5" t="s">
        <v>52</v>
      </c>
      <c r="AJ79" s="5" t="s">
        <v>238</v>
      </c>
      <c r="AL79" s="4" t="s">
        <v>55</v>
      </c>
      <c r="AT79" s="5" t="s">
        <v>218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271</v>
      </c>
      <c r="AG80" s="5" t="s">
        <v>52</v>
      </c>
      <c r="AJ80" s="5" t="s">
        <v>254</v>
      </c>
      <c r="AL80" s="4" t="s">
        <v>56</v>
      </c>
      <c r="AT80" s="5" t="s">
        <v>218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272</v>
      </c>
      <c r="AL81" s="4" t="s">
        <v>52</v>
      </c>
      <c r="AT81" s="5" t="s">
        <v>218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273</v>
      </c>
      <c r="AL82" s="4" t="s">
        <v>223</v>
      </c>
      <c r="AT82" s="5" t="s">
        <v>218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274</v>
      </c>
      <c r="AL83" s="4" t="s">
        <v>53</v>
      </c>
      <c r="AT83" s="5" t="s">
        <v>218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269</v>
      </c>
      <c r="AL84" s="4" t="s">
        <v>55</v>
      </c>
      <c r="AT84" s="5" t="s">
        <v>218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270</v>
      </c>
      <c r="AL85" s="4" t="s">
        <v>56</v>
      </c>
      <c r="AT85" s="5" t="s">
        <v>218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271</v>
      </c>
      <c r="AL86" s="4" t="s">
        <v>52</v>
      </c>
      <c r="AT86" s="5" t="s">
        <v>218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272</v>
      </c>
      <c r="AL87" s="4" t="s">
        <v>223</v>
      </c>
      <c r="AT87" s="5" t="s">
        <v>218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273</v>
      </c>
      <c r="AL88" s="4" t="s">
        <v>53</v>
      </c>
      <c r="AT88" s="5" t="s">
        <v>218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274</v>
      </c>
      <c r="AL89" s="4" t="s">
        <v>55</v>
      </c>
      <c r="AT89" s="5" t="s">
        <v>218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269</v>
      </c>
      <c r="AL90" s="4" t="s">
        <v>56</v>
      </c>
      <c r="AT90" s="5" t="s">
        <v>218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270</v>
      </c>
      <c r="AL91" s="4" t="s">
        <v>52</v>
      </c>
      <c r="AT91" s="5" t="s">
        <v>218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269</v>
      </c>
      <c r="AT92" s="5" t="s">
        <v>218</v>
      </c>
    </row>
    <row r="93" spans="1:46" x14ac:dyDescent="0.45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45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45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6.25" x14ac:dyDescent="0.45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45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6.25" x14ac:dyDescent="0.45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45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39.4" x14ac:dyDescent="0.45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26.25" x14ac:dyDescent="0.45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6.25" x14ac:dyDescent="0.45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6.25" x14ac:dyDescent="0.45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6.25" x14ac:dyDescent="0.45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x14ac:dyDescent="0.45">
      <c r="A105" s="5" t="s">
        <v>51</v>
      </c>
      <c r="B105" s="5" t="s">
        <v>58</v>
      </c>
      <c r="E105" s="19" t="s">
        <v>236</v>
      </c>
      <c r="AT105" s="5" t="s">
        <v>218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199</v>
      </c>
    </row>
    <row r="3" spans="1:2" x14ac:dyDescent="0.45">
      <c r="A3" t="s">
        <v>196</v>
      </c>
    </row>
    <row r="4" spans="1:2" x14ac:dyDescent="0.45">
      <c r="B4" t="s">
        <v>195</v>
      </c>
    </row>
    <row r="5" spans="1:2" x14ac:dyDescent="0.45">
      <c r="A5" t="s">
        <v>210</v>
      </c>
    </row>
    <row r="6" spans="1:2" x14ac:dyDescent="0.45">
      <c r="B6" t="s">
        <v>211</v>
      </c>
    </row>
    <row r="7" spans="1:2" x14ac:dyDescent="0.45">
      <c r="A7" t="s">
        <v>212</v>
      </c>
    </row>
    <row r="8" spans="1:2" x14ac:dyDescent="0.45">
      <c r="B8" t="s">
        <v>197</v>
      </c>
    </row>
    <row r="9" spans="1:2" x14ac:dyDescent="0.45">
      <c r="A9" t="s">
        <v>213</v>
      </c>
    </row>
    <row r="10" spans="1:2" x14ac:dyDescent="0.45">
      <c r="B10" t="s">
        <v>198</v>
      </c>
    </row>
    <row r="11" spans="1:2" x14ac:dyDescent="0.45">
      <c r="A11" t="s">
        <v>214</v>
      </c>
    </row>
    <row r="12" spans="1:2" x14ac:dyDescent="0.45">
      <c r="B12" t="s">
        <v>200</v>
      </c>
    </row>
    <row r="13" spans="1:2" x14ac:dyDescent="0.45">
      <c r="B13" t="s">
        <v>201</v>
      </c>
    </row>
    <row r="14" spans="1:2" x14ac:dyDescent="0.45">
      <c r="A14" t="s">
        <v>215</v>
      </c>
    </row>
    <row r="15" spans="1:2" x14ac:dyDescent="0.45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22.46484375" bestFit="1" customWidth="1"/>
    <col min="2" max="2" width="7.73046875" bestFit="1" customWidth="1"/>
    <col min="3" max="3" width="10.19921875" bestFit="1" customWidth="1"/>
    <col min="4" max="4" width="22.46484375" bestFit="1" customWidth="1"/>
    <col min="5" max="5" width="28.6640625" bestFit="1" customWidth="1"/>
    <col min="6" max="6" width="16.86328125" bestFit="1" customWidth="1"/>
    <col min="7" max="7" width="22.46484375" bestFit="1" customWidth="1"/>
    <col min="8" max="8" width="9.86328125" bestFit="1" customWidth="1"/>
    <col min="9" max="9" width="12" customWidth="1"/>
    <col min="10" max="10" width="14.6640625" bestFit="1" customWidth="1"/>
    <col min="11" max="11" width="9.929687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1992187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180</v>
      </c>
      <c r="B1" t="s">
        <v>154</v>
      </c>
      <c r="K1" t="s">
        <v>276</v>
      </c>
      <c r="L1" t="s">
        <v>259</v>
      </c>
      <c r="M1" t="s">
        <v>135</v>
      </c>
      <c r="N1" t="s">
        <v>254</v>
      </c>
      <c r="O1" t="s">
        <v>259</v>
      </c>
      <c r="P1" t="s">
        <v>258</v>
      </c>
      <c r="Q1" s="79" t="s">
        <v>135</v>
      </c>
      <c r="R1" s="79"/>
      <c r="S1" s="79" t="s">
        <v>254</v>
      </c>
      <c r="T1" s="79"/>
      <c r="U1" s="79" t="s">
        <v>259</v>
      </c>
      <c r="V1" s="79"/>
      <c r="W1" s="79" t="s">
        <v>258</v>
      </c>
      <c r="X1" s="79"/>
      <c r="AB1" s="16" t="s">
        <v>135</v>
      </c>
      <c r="AC1" t="s">
        <v>52</v>
      </c>
    </row>
    <row r="2" spans="1:30" x14ac:dyDescent="0.45">
      <c r="A2" t="s">
        <v>137</v>
      </c>
      <c r="B2" s="44">
        <f ca="1">MAX(NETWORKDAYS($D$3,$E$6,$Z$4:$Z$9)/NETWORKDAYS($D$3,$E$3,$Z$4:$Z$9),0%)</f>
        <v>0.85507246376811596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64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0.14492753623188404</v>
      </c>
      <c r="D3" s="26">
        <v>43579</v>
      </c>
      <c r="E3" s="27">
        <v>43676</v>
      </c>
      <c r="J3" s="34"/>
      <c r="K3" s="33">
        <v>0</v>
      </c>
      <c r="L3" s="33">
        <v>0</v>
      </c>
      <c r="M3" s="78">
        <v>0.03</v>
      </c>
      <c r="N3" s="76">
        <v>0</v>
      </c>
      <c r="O3" s="76">
        <v>0.1</v>
      </c>
      <c r="P3" s="76">
        <v>0</v>
      </c>
      <c r="Q3" s="40">
        <f>$Q$25*(100%-K3)</f>
        <v>420</v>
      </c>
      <c r="R3" s="42">
        <v>304</v>
      </c>
      <c r="S3" s="40">
        <f>$Q$26*(100%-K3)</f>
        <v>75</v>
      </c>
      <c r="T3" s="42">
        <v>65</v>
      </c>
      <c r="U3" s="40">
        <f>$Q$27*(100%-L3)</f>
        <v>175</v>
      </c>
      <c r="V3" s="42">
        <v>104</v>
      </c>
      <c r="W3" s="40">
        <f>$Q$28*(100%-K3)</f>
        <v>55</v>
      </c>
      <c r="X3" s="42">
        <v>51</v>
      </c>
      <c r="Z3" s="32">
        <v>43605</v>
      </c>
      <c r="AB3" s="16" t="s">
        <v>248</v>
      </c>
      <c r="AC3" t="s">
        <v>218</v>
      </c>
    </row>
    <row r="4" spans="1:30" x14ac:dyDescent="0.45">
      <c r="D4" s="45"/>
      <c r="E4" s="46">
        <v>43676</v>
      </c>
      <c r="G4" s="23" t="s">
        <v>269</v>
      </c>
      <c r="H4" s="24">
        <v>43579</v>
      </c>
      <c r="I4" s="24">
        <f>H4+13</f>
        <v>43592</v>
      </c>
      <c r="J4" s="35">
        <f t="shared" ref="J4:J9" si="0">NETWORKDAYS(H4,I4,$Z$3:$Z$9)</f>
        <v>10</v>
      </c>
      <c r="K4" s="36">
        <f>SUM($J$4:J4)/SUM($J$4:$J$10)</f>
        <v>0.14705882352941177</v>
      </c>
      <c r="L4" s="36">
        <f>SUM($J$4:J4)/SUM($J$4:$J$10)</f>
        <v>0.14705882352941177</v>
      </c>
      <c r="M4" s="70">
        <v>0.11</v>
      </c>
      <c r="N4" s="76">
        <v>0.19</v>
      </c>
      <c r="O4" s="76">
        <v>0.11</v>
      </c>
      <c r="P4" s="76">
        <v>0.22</v>
      </c>
      <c r="Q4" s="40">
        <f>$Q$25*(100%-K4)</f>
        <v>358.23529411764707</v>
      </c>
      <c r="R4" s="42">
        <v>369</v>
      </c>
      <c r="S4" s="42">
        <f>$Q$26*(100%-K4)</f>
        <v>63.970588235294116</v>
      </c>
      <c r="T4" s="42">
        <v>59</v>
      </c>
      <c r="U4" s="40">
        <f>$Q$27*(100%-L4)</f>
        <v>149.26470588235293</v>
      </c>
      <c r="V4" s="42">
        <v>169</v>
      </c>
      <c r="W4" s="40">
        <f>$Q$28*(100%-K4)</f>
        <v>46.911764705882348</v>
      </c>
      <c r="X4" s="42">
        <v>40</v>
      </c>
      <c r="Z4" s="32">
        <v>43647</v>
      </c>
    </row>
    <row r="5" spans="1:30" x14ac:dyDescent="0.45">
      <c r="A5" s="39" t="s">
        <v>135</v>
      </c>
      <c r="D5" t="s">
        <v>183</v>
      </c>
      <c r="E5" s="25" t="s">
        <v>181</v>
      </c>
      <c r="G5" s="23" t="s">
        <v>270</v>
      </c>
      <c r="H5" s="24">
        <f>I4+1</f>
        <v>43593</v>
      </c>
      <c r="I5" s="24">
        <f>I4+14</f>
        <v>43606</v>
      </c>
      <c r="J5" s="35">
        <f t="shared" si="0"/>
        <v>9</v>
      </c>
      <c r="K5" s="36">
        <f>SUM($J$4:J5)/SUM($J$4:$J$10)</f>
        <v>0.27941176470588236</v>
      </c>
      <c r="L5" s="36">
        <f>SUM($J$4:J5)/SUM($J$4:$J$10)</f>
        <v>0.27941176470588236</v>
      </c>
      <c r="M5" s="70">
        <v>0.31</v>
      </c>
      <c r="N5" s="76">
        <v>0.31</v>
      </c>
      <c r="O5" s="76">
        <v>0.35</v>
      </c>
      <c r="P5" s="76">
        <v>0.9</v>
      </c>
      <c r="Q5" s="40">
        <f t="shared" ref="Q5:Q9" si="1">$Q$25*(100%-K5)</f>
        <v>302.64705882352939</v>
      </c>
      <c r="R5" s="42">
        <v>264</v>
      </c>
      <c r="S5" s="42">
        <f t="shared" ref="S5:S9" si="2">$Q$26*(100%-K5)</f>
        <v>54.044117647058826</v>
      </c>
      <c r="T5" s="42">
        <v>57</v>
      </c>
      <c r="U5" s="40">
        <f t="shared" ref="U5:U9" si="3">$Q$27*(100%-L5)</f>
        <v>126.10294117647059</v>
      </c>
      <c r="V5" s="42">
        <v>107</v>
      </c>
      <c r="W5" s="40">
        <f t="shared" ref="W5:W9" si="4">$Q$28*(100%-K5)</f>
        <v>39.632352941176471</v>
      </c>
      <c r="X5" s="42">
        <v>4</v>
      </c>
      <c r="Z5" s="32"/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182</v>
      </c>
      <c r="E6" s="25">
        <f ca="1">TODAY()</f>
        <v>43662</v>
      </c>
      <c r="G6" s="23" t="s">
        <v>271</v>
      </c>
      <c r="H6" s="24">
        <f>I5+1</f>
        <v>43607</v>
      </c>
      <c r="I6" s="24">
        <f>I5+14</f>
        <v>43620</v>
      </c>
      <c r="J6" s="35">
        <f t="shared" si="0"/>
        <v>10</v>
      </c>
      <c r="K6" s="36">
        <f>SUM($J$4:J6)/SUM($J$4:$J$10)</f>
        <v>0.4264705882352941</v>
      </c>
      <c r="L6" s="36">
        <f>SUM($J$4:J6)/SUM($J$4:$J$10)</f>
        <v>0.4264705882352941</v>
      </c>
      <c r="M6" s="70">
        <v>0.4</v>
      </c>
      <c r="N6" s="76">
        <v>0.6</v>
      </c>
      <c r="O6" s="76">
        <v>0.43</v>
      </c>
      <c r="P6" s="76">
        <v>0.98</v>
      </c>
      <c r="Q6" s="40">
        <f t="shared" ref="Q6" si="5">$Q$25*(100%-K6)</f>
        <v>240.88235294117646</v>
      </c>
      <c r="R6" s="42">
        <v>277</v>
      </c>
      <c r="S6" s="42">
        <f t="shared" ref="S6" si="6">$Q$26*(100%-K6)</f>
        <v>43.014705882352935</v>
      </c>
      <c r="T6" s="42">
        <v>38</v>
      </c>
      <c r="U6" s="40">
        <f t="shared" ref="U6" si="7">$Q$27*(100%-L6)</f>
        <v>100.36764705882352</v>
      </c>
      <c r="V6" s="42">
        <v>110</v>
      </c>
      <c r="W6" s="40">
        <f t="shared" ref="W6" si="8">$Q$28*(100%-K6)</f>
        <v>31.544117647058822</v>
      </c>
      <c r="X6" s="42">
        <v>1</v>
      </c>
      <c r="Z6" s="32"/>
      <c r="AB6" s="17" t="s">
        <v>184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272</v>
      </c>
      <c r="H7" s="24">
        <f t="shared" ref="H7:H9" si="9">I6+1</f>
        <v>43621</v>
      </c>
      <c r="I7" s="24">
        <f t="shared" ref="I7:I10" si="10">I6+14</f>
        <v>43634</v>
      </c>
      <c r="J7" s="35">
        <f t="shared" si="0"/>
        <v>10</v>
      </c>
      <c r="K7" s="36">
        <f>SUM($J$4:J7)/SUM($J$4:$J$10)</f>
        <v>0.57352941176470584</v>
      </c>
      <c r="L7" s="36">
        <f>SUM($J$4:J7)/SUM($J$4:$J$10)</f>
        <v>0.57352941176470584</v>
      </c>
      <c r="M7" s="70">
        <v>0.64</v>
      </c>
      <c r="N7" s="76">
        <v>0.71</v>
      </c>
      <c r="O7" s="76">
        <v>0.77</v>
      </c>
      <c r="P7" s="76">
        <v>1</v>
      </c>
      <c r="Q7" s="40">
        <f t="shared" si="1"/>
        <v>179.11764705882354</v>
      </c>
      <c r="R7" s="42">
        <v>153</v>
      </c>
      <c r="S7" s="42">
        <f t="shared" si="2"/>
        <v>31.985294117647062</v>
      </c>
      <c r="T7" s="42">
        <v>29</v>
      </c>
      <c r="U7" s="40">
        <f t="shared" si="3"/>
        <v>74.632352941176478</v>
      </c>
      <c r="V7" s="42">
        <v>39</v>
      </c>
      <c r="W7" s="40">
        <f t="shared" si="4"/>
        <v>23.455882352941178</v>
      </c>
      <c r="X7" s="42">
        <v>0</v>
      </c>
      <c r="Z7" s="32"/>
      <c r="AB7" s="17" t="s">
        <v>254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273</v>
      </c>
      <c r="H8" s="24">
        <f t="shared" si="9"/>
        <v>43635</v>
      </c>
      <c r="I8" s="24">
        <f t="shared" si="10"/>
        <v>43648</v>
      </c>
      <c r="J8" s="35">
        <f t="shared" si="0"/>
        <v>9</v>
      </c>
      <c r="K8" s="36">
        <f>SUM($J$4:J8)/SUM($J$4:$J$10)</f>
        <v>0.70588235294117652</v>
      </c>
      <c r="L8" s="36">
        <f>SUM($J$4:J8)/SUM($J$4:$J$10)</f>
        <v>0.70588235294117652</v>
      </c>
      <c r="M8" s="70">
        <v>0.74</v>
      </c>
      <c r="N8" s="76">
        <v>0.98</v>
      </c>
      <c r="O8" s="76">
        <v>0.85</v>
      </c>
      <c r="P8" s="76">
        <v>1</v>
      </c>
      <c r="Q8" s="40">
        <f t="shared" si="1"/>
        <v>123.52941176470587</v>
      </c>
      <c r="R8" s="42">
        <v>113</v>
      </c>
      <c r="S8" s="42">
        <f t="shared" si="2"/>
        <v>22.058823529411761</v>
      </c>
      <c r="T8" s="42">
        <v>2</v>
      </c>
      <c r="U8" s="40">
        <f t="shared" si="3"/>
        <v>51.470588235294109</v>
      </c>
      <c r="V8" s="42">
        <v>29</v>
      </c>
      <c r="W8" s="40">
        <f t="shared" si="4"/>
        <v>16.17647058823529</v>
      </c>
      <c r="X8" s="42">
        <v>0</v>
      </c>
      <c r="Z8" s="32"/>
      <c r="AB8" s="17" t="s">
        <v>259</v>
      </c>
      <c r="AC8" s="20">
        <v>200</v>
      </c>
      <c r="AD8" s="20">
        <v>150</v>
      </c>
    </row>
    <row r="9" spans="1:30" x14ac:dyDescent="0.45">
      <c r="A9" s="39" t="s">
        <v>254</v>
      </c>
      <c r="B9" s="21"/>
      <c r="C9" s="21"/>
      <c r="D9" s="21"/>
      <c r="G9" s="67" t="s">
        <v>274</v>
      </c>
      <c r="H9" s="68">
        <f t="shared" si="9"/>
        <v>43649</v>
      </c>
      <c r="I9" s="68">
        <f t="shared" si="10"/>
        <v>43662</v>
      </c>
      <c r="J9" s="69">
        <f t="shared" si="0"/>
        <v>10</v>
      </c>
      <c r="K9" s="70">
        <f>SUM($J$4:J9)/SUM($J$4:$J$10)</f>
        <v>0.8529411764705882</v>
      </c>
      <c r="L9" s="70">
        <f>SUM($J$4:J9)/SUM($J$4:$J$10)</f>
        <v>0.8529411764705882</v>
      </c>
      <c r="M9" s="70">
        <f>100%-GETPIVOTDATA("Epic Remaining Estimate",$AB$4)/GETPIVOTDATA("Epic Total Estimate",$AB$4)</f>
        <v>0.77501406162114872</v>
      </c>
      <c r="N9" s="76">
        <f>100%-GETPIVOTDATA("Epic Remaining Estimate",$AB$4,"ST:Components","Reuse")/GETPIVOTDATA("Epic Total Estimate",$AB$4,"ST:Components","Reuse")</f>
        <v>0.25</v>
      </c>
      <c r="O9" s="76">
        <f>100%-GETPIVOTDATA("Epic Remaining Estimate",$AB$4,"ST:Components","Glossary")/GETPIVOTDATA("Epic Total Estimate",$AB$4,"ST:Components","Glossary")</f>
        <v>0.25</v>
      </c>
      <c r="P9" s="76">
        <f>100%-GETPIVOTDATA("Epic Remaining Estimate",$AB$4,"ST:Components","Doc Gen")/GETPIVOTDATA("Epic Total Estimate",$AB$4,"ST:Components","Doc Gen")</f>
        <v>0.25</v>
      </c>
      <c r="Q9" s="42">
        <f t="shared" si="1"/>
        <v>61.764705882352956</v>
      </c>
      <c r="R9" s="42">
        <f>GETPIVOTDATA("Epic Remaining Estimate",$AB$4)</f>
        <v>450</v>
      </c>
      <c r="S9" s="42">
        <f t="shared" si="2"/>
        <v>11.029411764705884</v>
      </c>
      <c r="T9" s="42">
        <f>GETPIVOTDATA("Epic Remaining Estimate",$AB$4,"ST:Components","Reuse")</f>
        <v>150</v>
      </c>
      <c r="U9" s="42">
        <f t="shared" si="3"/>
        <v>25.735294117647065</v>
      </c>
      <c r="V9" s="42">
        <f>GETPIVOTDATA("Epic Remaining Estimate",$AB$4,"ST:Components","Glossary")</f>
        <v>150</v>
      </c>
      <c r="W9" s="42">
        <f t="shared" si="4"/>
        <v>8.0882352941176485</v>
      </c>
      <c r="X9" s="42">
        <f>GETPIVOTDATA("Epic Remaining Estimate",$AB$4,"ST:Components","Doc Gen")</f>
        <v>150</v>
      </c>
      <c r="Z9" s="32"/>
      <c r="AB9" s="17" t="s">
        <v>258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Estimate",$AB$4,"ST:Components","Reuse")/GETPIVOTDATA("Epic Total Estimate",$AB$4,"ST:Components","Reuse")</f>
        <v>0.25</v>
      </c>
      <c r="G10" s="72" t="s">
        <v>275</v>
      </c>
      <c r="H10" s="73">
        <f t="shared" ref="H10" si="11">I9+1</f>
        <v>43663</v>
      </c>
      <c r="I10" s="73">
        <f t="shared" si="10"/>
        <v>43676</v>
      </c>
      <c r="J10" s="74">
        <f t="shared" ref="J10" si="12">NETWORKDAYS(H10,I10,$Z$3:$Z$9)</f>
        <v>10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259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Estimate",$AB$4,"ST:Components","Glossary")/GETPIVOTDATA("Epic Total Estimate",$AB$4,"ST:Components","Glossary")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258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Estimate",$AB$4,"ST:Components","Doc Gen")/GETPIVOTDATA("Epic Total Estimate",$AB$4,"ST:Components","Doc Gen")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260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0.85507246376811596</v>
      </c>
    </row>
    <row r="23" spans="1:24" x14ac:dyDescent="0.45">
      <c r="A23" t="s">
        <v>138</v>
      </c>
      <c r="B23" s="30">
        <f ca="1">MAX(100%,B22)-B22</f>
        <v>0.14492753623188404</v>
      </c>
    </row>
    <row r="24" spans="1:24" x14ac:dyDescent="0.45">
      <c r="D24" s="16" t="s">
        <v>135</v>
      </c>
      <c r="E24" t="s">
        <v>52</v>
      </c>
      <c r="G24" s="16" t="s">
        <v>135</v>
      </c>
      <c r="H24" t="s">
        <v>52</v>
      </c>
      <c r="J24" s="16" t="s">
        <v>135</v>
      </c>
      <c r="K24" t="s">
        <v>52</v>
      </c>
      <c r="P24" t="s">
        <v>221</v>
      </c>
      <c r="Q24" t="s">
        <v>222</v>
      </c>
    </row>
    <row r="25" spans="1:24" x14ac:dyDescent="0.45">
      <c r="A25" s="16" t="s">
        <v>135</v>
      </c>
      <c r="B25" t="s">
        <v>52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420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254</v>
      </c>
      <c r="G26" s="16" t="s">
        <v>20</v>
      </c>
      <c r="H26" t="s">
        <v>259</v>
      </c>
      <c r="J26" s="16" t="s">
        <v>20</v>
      </c>
      <c r="K26" t="s">
        <v>258</v>
      </c>
      <c r="P26" t="s">
        <v>254</v>
      </c>
      <c r="Q26">
        <v>75</v>
      </c>
    </row>
    <row r="27" spans="1:24" x14ac:dyDescent="0.45">
      <c r="A27" s="16" t="s">
        <v>248</v>
      </c>
      <c r="B27" t="s">
        <v>218</v>
      </c>
      <c r="D27" s="16" t="s">
        <v>248</v>
      </c>
      <c r="E27" t="s">
        <v>218</v>
      </c>
      <c r="G27" s="16" t="s">
        <v>248</v>
      </c>
      <c r="H27" t="s">
        <v>218</v>
      </c>
      <c r="J27" s="16" t="s">
        <v>248</v>
      </c>
      <c r="K27" t="s">
        <v>218</v>
      </c>
      <c r="P27" t="s">
        <v>259</v>
      </c>
      <c r="Q27">
        <v>175</v>
      </c>
    </row>
    <row r="28" spans="1:24" x14ac:dyDescent="0.45">
      <c r="L28" s="16"/>
      <c r="M28" s="16"/>
      <c r="N28" s="16"/>
      <c r="O28" s="16"/>
      <c r="P28" s="16" t="s">
        <v>258</v>
      </c>
      <c r="Q28" s="16">
        <v>55</v>
      </c>
    </row>
    <row r="29" spans="1:24" x14ac:dyDescent="0.45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45">
      <c r="A30" s="17" t="s">
        <v>173</v>
      </c>
      <c r="B30" s="20">
        <v>1550.125</v>
      </c>
      <c r="D30" s="17" t="s">
        <v>173</v>
      </c>
      <c r="E30" s="20">
        <v>50</v>
      </c>
      <c r="G30" s="17" t="s">
        <v>173</v>
      </c>
      <c r="H30" s="20">
        <v>50</v>
      </c>
      <c r="J30" s="17" t="s">
        <v>173</v>
      </c>
      <c r="K30" s="20">
        <v>50</v>
      </c>
    </row>
    <row r="31" spans="1:24" x14ac:dyDescent="0.45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45">
      <c r="A34" s="17" t="s">
        <v>176</v>
      </c>
      <c r="B34" s="20">
        <v>1460.125</v>
      </c>
      <c r="D34" s="17" t="s">
        <v>176</v>
      </c>
      <c r="E34" s="20">
        <v>20</v>
      </c>
      <c r="G34" s="17" t="s">
        <v>176</v>
      </c>
      <c r="H34" s="20">
        <v>20</v>
      </c>
      <c r="J34" s="17" t="s">
        <v>176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52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52</v>
      </c>
      <c r="G37" s="16" t="s">
        <v>135</v>
      </c>
      <c r="H37" t="s">
        <v>52</v>
      </c>
      <c r="J37" s="16" t="s">
        <v>135</v>
      </c>
      <c r="K37" t="s">
        <v>52</v>
      </c>
    </row>
    <row r="38" spans="1:11" x14ac:dyDescent="0.45">
      <c r="A38" s="16" t="s">
        <v>248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254</v>
      </c>
      <c r="G39" s="16" t="s">
        <v>20</v>
      </c>
      <c r="H39" t="s">
        <v>259</v>
      </c>
      <c r="J39" s="16" t="s">
        <v>20</v>
      </c>
      <c r="K39" t="s">
        <v>258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52</v>
      </c>
      <c r="E51" s="16" t="s">
        <v>140</v>
      </c>
      <c r="F51" t="s">
        <v>144</v>
      </c>
    </row>
    <row r="52" spans="1:7" x14ac:dyDescent="0.45">
      <c r="A52" s="16" t="s">
        <v>248</v>
      </c>
      <c r="B52" t="s">
        <v>218</v>
      </c>
      <c r="E52" s="17" t="s">
        <v>241</v>
      </c>
      <c r="F52" s="20">
        <v>10</v>
      </c>
    </row>
    <row r="53" spans="1:7" x14ac:dyDescent="0.45">
      <c r="E53" s="17" t="s">
        <v>243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244</v>
      </c>
      <c r="F54" s="20">
        <v>10</v>
      </c>
    </row>
    <row r="55" spans="1:7" x14ac:dyDescent="0.45">
      <c r="A55" s="17" t="s">
        <v>254</v>
      </c>
      <c r="B55" s="20">
        <v>600</v>
      </c>
      <c r="E55" s="17" t="s">
        <v>245</v>
      </c>
      <c r="F55" s="20">
        <v>10</v>
      </c>
    </row>
    <row r="56" spans="1:7" x14ac:dyDescent="0.45">
      <c r="A56" s="17" t="s">
        <v>259</v>
      </c>
      <c r="B56" s="20">
        <v>200</v>
      </c>
      <c r="E56" s="17" t="s">
        <v>246</v>
      </c>
      <c r="F56" s="20">
        <v>10</v>
      </c>
    </row>
    <row r="57" spans="1:7" x14ac:dyDescent="0.45">
      <c r="A57" s="17" t="s">
        <v>258</v>
      </c>
      <c r="B57" s="20">
        <v>400</v>
      </c>
      <c r="E57" s="17" t="s">
        <v>242</v>
      </c>
      <c r="F57" s="20">
        <v>10</v>
      </c>
    </row>
    <row r="58" spans="1:7" x14ac:dyDescent="0.45">
      <c r="A58" s="17" t="s">
        <v>185</v>
      </c>
      <c r="B58" s="20">
        <v>200</v>
      </c>
      <c r="E58" s="17" t="s">
        <v>247</v>
      </c>
      <c r="F58" s="20">
        <v>10</v>
      </c>
    </row>
    <row r="59" spans="1:7" x14ac:dyDescent="0.45">
      <c r="A59" s="17" t="s">
        <v>238</v>
      </c>
      <c r="B59" s="20">
        <v>200.125</v>
      </c>
      <c r="E59" s="17" t="s">
        <v>184</v>
      </c>
      <c r="F59" s="20"/>
    </row>
    <row r="60" spans="1:7" x14ac:dyDescent="0.45">
      <c r="A60" s="17" t="s">
        <v>58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186</v>
      </c>
      <c r="B61" s="20">
        <v>200</v>
      </c>
    </row>
    <row r="62" spans="1:7" x14ac:dyDescent="0.45">
      <c r="A62" s="17" t="s">
        <v>50</v>
      </c>
      <c r="B62" s="20">
        <v>2000.125</v>
      </c>
    </row>
    <row r="66" spans="2:6" x14ac:dyDescent="0.45">
      <c r="B66">
        <f>GETPIVOTDATA("Epic Total Estimate",$A$54)</f>
        <v>2000.125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06640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254</v>
      </c>
      <c r="M1" s="81"/>
      <c r="N1" s="81"/>
      <c r="O1" s="81"/>
      <c r="P1" s="81"/>
      <c r="Q1" s="81"/>
      <c r="R1" s="81"/>
      <c r="S1" s="81"/>
      <c r="T1" s="81" t="s">
        <v>259</v>
      </c>
      <c r="U1" s="81"/>
      <c r="V1" s="81"/>
      <c r="W1" s="81"/>
      <c r="X1" s="81"/>
      <c r="Y1" s="81"/>
      <c r="Z1" s="81"/>
      <c r="AA1" s="81"/>
      <c r="AB1" s="81" t="s">
        <v>258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45">
      <c r="B3" s="56"/>
      <c r="C3" s="56"/>
      <c r="D3" s="57">
        <v>315</v>
      </c>
      <c r="E3" s="58">
        <f>_ReleaseData!$Q$25</f>
        <v>420</v>
      </c>
      <c r="F3" s="40">
        <v>290</v>
      </c>
      <c r="G3" s="40">
        <v>252</v>
      </c>
      <c r="H3" s="40">
        <f t="shared" ref="H3:H4" si="0">D3-I3</f>
        <v>11</v>
      </c>
      <c r="I3" s="40">
        <v>304</v>
      </c>
      <c r="J3" s="33">
        <f t="shared" ref="J3" si="1" xml:space="preserve"> G3/D3</f>
        <v>0.8</v>
      </c>
      <c r="K3" s="33">
        <f t="shared" ref="K3" si="2" xml:space="preserve"> H3/D3</f>
        <v>3.4920634920634921E-2</v>
      </c>
      <c r="L3" s="59">
        <v>65</v>
      </c>
      <c r="M3" s="58">
        <f>_ReleaseData!$Q$26</f>
        <v>75</v>
      </c>
      <c r="N3" s="40">
        <v>65</v>
      </c>
      <c r="O3" s="40">
        <v>65</v>
      </c>
      <c r="P3" s="40">
        <f t="shared" ref="P3" si="3">L3-Q3</f>
        <v>0</v>
      </c>
      <c r="Q3" s="40">
        <v>65</v>
      </c>
      <c r="R3" s="33">
        <f t="shared" ref="R3" si="4" xml:space="preserve"> O3/L3</f>
        <v>1</v>
      </c>
      <c r="S3" s="33">
        <f t="shared" ref="S3" si="5" xml:space="preserve"> P3/L3</f>
        <v>0</v>
      </c>
      <c r="T3" s="57">
        <v>115</v>
      </c>
      <c r="U3" s="58">
        <f>_ReleaseData!$Q$27</f>
        <v>175</v>
      </c>
      <c r="V3" s="40">
        <v>90</v>
      </c>
      <c r="W3" s="40">
        <v>72</v>
      </c>
      <c r="X3" s="40">
        <f t="shared" ref="X3" si="6">T3-Y3</f>
        <v>11</v>
      </c>
      <c r="Y3" s="40">
        <v>104</v>
      </c>
      <c r="Z3" s="33">
        <f t="shared" ref="Z3" si="7" xml:space="preserve"> W3/T3</f>
        <v>0.62608695652173918</v>
      </c>
      <c r="AA3" s="33">
        <f t="shared" ref="AA3" si="8">X3/T3</f>
        <v>9.5652173913043481E-2</v>
      </c>
      <c r="AB3" s="57">
        <v>51</v>
      </c>
      <c r="AC3" s="58">
        <f>_ReleaseData!$Q$28</f>
        <v>55</v>
      </c>
      <c r="AD3" s="40">
        <v>51</v>
      </c>
      <c r="AE3" s="40">
        <v>51</v>
      </c>
      <c r="AF3" s="40">
        <f t="shared" ref="AF3" si="9">AB3-AG3</f>
        <v>0</v>
      </c>
      <c r="AG3" s="40">
        <v>51</v>
      </c>
      <c r="AH3" s="33">
        <f t="shared" ref="AH3" si="10" xml:space="preserve"> AE3/AB3</f>
        <v>1</v>
      </c>
      <c r="AI3" s="33">
        <f t="shared" ref="AI3" si="11">AF3/AB3</f>
        <v>0</v>
      </c>
    </row>
    <row r="4" spans="1:42" x14ac:dyDescent="0.45">
      <c r="A4" t="s">
        <v>269</v>
      </c>
      <c r="B4" s="60">
        <v>43579</v>
      </c>
      <c r="C4" s="60">
        <v>43592</v>
      </c>
      <c r="D4" s="57">
        <v>416.5</v>
      </c>
      <c r="E4" s="58">
        <f>_ReleaseData!$Q$25</f>
        <v>420</v>
      </c>
      <c r="F4" s="40">
        <v>326.5</v>
      </c>
      <c r="G4" s="40">
        <v>286.5</v>
      </c>
      <c r="H4" s="40">
        <f t="shared" si="0"/>
        <v>47.5</v>
      </c>
      <c r="I4" s="40">
        <v>369</v>
      </c>
      <c r="J4" s="33">
        <f t="shared" ref="J4" si="12" xml:space="preserve"> G4/D4</f>
        <v>0.68787515006002398</v>
      </c>
      <c r="K4" s="33">
        <f t="shared" ref="K4" si="13" xml:space="preserve"> H4/D4</f>
        <v>0.11404561824729892</v>
      </c>
      <c r="L4" s="59">
        <v>73</v>
      </c>
      <c r="M4" s="58">
        <f>_ReleaseData!$Q$26</f>
        <v>75</v>
      </c>
      <c r="N4" s="40">
        <v>73</v>
      </c>
      <c r="O4" s="40">
        <v>65</v>
      </c>
      <c r="P4" s="40">
        <f t="shared" ref="P4" si="14">L4-Q4</f>
        <v>14</v>
      </c>
      <c r="Q4" s="40">
        <v>59</v>
      </c>
      <c r="R4" s="33">
        <f t="shared" ref="R4" si="15" xml:space="preserve"> O4/L4</f>
        <v>0.8904109589041096</v>
      </c>
      <c r="S4" s="33">
        <f t="shared" ref="S4" si="16" xml:space="preserve"> P4/L4</f>
        <v>0.19178082191780821</v>
      </c>
      <c r="T4" s="57">
        <v>190</v>
      </c>
      <c r="U4" s="58">
        <f>_ReleaseData!$Q$27</f>
        <v>175</v>
      </c>
      <c r="V4" s="40">
        <v>110</v>
      </c>
      <c r="W4" s="40">
        <v>100</v>
      </c>
      <c r="X4" s="40">
        <f t="shared" ref="X4" si="17">T4-Y4</f>
        <v>21</v>
      </c>
      <c r="Y4" s="40">
        <v>169</v>
      </c>
      <c r="Z4" s="33">
        <f t="shared" ref="Z4" si="18" xml:space="preserve"> W4/T4</f>
        <v>0.52631578947368418</v>
      </c>
      <c r="AA4" s="33">
        <f t="shared" ref="AA4" si="19">X4/T4</f>
        <v>0.11052631578947368</v>
      </c>
      <c r="AB4" s="57">
        <v>51</v>
      </c>
      <c r="AC4" s="58">
        <f>_ReleaseData!$Q$28</f>
        <v>55</v>
      </c>
      <c r="AD4" s="40">
        <v>51</v>
      </c>
      <c r="AE4" s="40">
        <v>51</v>
      </c>
      <c r="AF4" s="40">
        <f t="shared" ref="AF4" si="20">AB4-AG4</f>
        <v>11</v>
      </c>
      <c r="AG4" s="40">
        <v>40</v>
      </c>
      <c r="AH4" s="33">
        <f t="shared" ref="AH4" si="21" xml:space="preserve"> AE4/AB4</f>
        <v>1</v>
      </c>
      <c r="AI4" s="33">
        <f t="shared" ref="AI4" si="22">AF4/AB4</f>
        <v>0.21568627450980393</v>
      </c>
    </row>
    <row r="5" spans="1:42" x14ac:dyDescent="0.45">
      <c r="A5" t="s">
        <v>270</v>
      </c>
      <c r="B5" s="60">
        <v>43593</v>
      </c>
      <c r="C5" s="60">
        <v>43606</v>
      </c>
      <c r="D5" s="57">
        <v>385</v>
      </c>
      <c r="E5" s="58">
        <f>_ReleaseData!$Q$25</f>
        <v>420</v>
      </c>
      <c r="F5" s="40">
        <v>375</v>
      </c>
      <c r="G5" s="40">
        <v>332</v>
      </c>
      <c r="H5" s="40">
        <f t="shared" ref="H5:H6" si="23">D5-I5</f>
        <v>121</v>
      </c>
      <c r="I5" s="40">
        <v>264</v>
      </c>
      <c r="J5" s="33">
        <f t="shared" ref="J5:J6" si="24" xml:space="preserve"> G5/D5</f>
        <v>0.86233766233766229</v>
      </c>
      <c r="K5" s="33">
        <f t="shared" ref="K5:K6" si="25" xml:space="preserve"> H5/D5</f>
        <v>0.31428571428571428</v>
      </c>
      <c r="L5" s="59">
        <v>83</v>
      </c>
      <c r="M5" s="58">
        <f>_ReleaseData!$Q$26</f>
        <v>75</v>
      </c>
      <c r="N5" s="40">
        <v>83</v>
      </c>
      <c r="O5" s="40">
        <v>70</v>
      </c>
      <c r="P5" s="40">
        <f t="shared" ref="P5:P6" si="26">L5-Q5</f>
        <v>26</v>
      </c>
      <c r="Q5" s="40">
        <v>57</v>
      </c>
      <c r="R5" s="33">
        <f t="shared" ref="R5:R6" si="27" xml:space="preserve"> O5/L5</f>
        <v>0.84337349397590367</v>
      </c>
      <c r="S5" s="33">
        <f t="shared" ref="S5:S6" si="28" xml:space="preserve"> P5/L5</f>
        <v>0.31325301204819278</v>
      </c>
      <c r="T5" s="57">
        <v>164</v>
      </c>
      <c r="U5" s="58">
        <f>_ReleaseData!$Q$27</f>
        <v>175</v>
      </c>
      <c r="V5" s="40">
        <v>164</v>
      </c>
      <c r="W5" s="40">
        <v>154</v>
      </c>
      <c r="X5" s="40">
        <f t="shared" ref="X5:X6" si="29">T5-Y5</f>
        <v>57</v>
      </c>
      <c r="Y5" s="40">
        <v>107</v>
      </c>
      <c r="Z5" s="33">
        <f t="shared" ref="Z5:Z6" si="30" xml:space="preserve"> W5/T5</f>
        <v>0.93902439024390238</v>
      </c>
      <c r="AA5" s="33">
        <f t="shared" ref="AA5:AA6" si="31">X5/T5</f>
        <v>0.34756097560975607</v>
      </c>
      <c r="AB5" s="57">
        <v>40</v>
      </c>
      <c r="AC5" s="58">
        <f>_ReleaseData!$Q$28</f>
        <v>55</v>
      </c>
      <c r="AD5" s="40">
        <v>40</v>
      </c>
      <c r="AE5" s="40">
        <v>40</v>
      </c>
      <c r="AF5" s="40">
        <f t="shared" ref="AF5:AF6" si="32">AB5-AG5</f>
        <v>36</v>
      </c>
      <c r="AG5" s="40">
        <v>4</v>
      </c>
      <c r="AH5" s="33">
        <f t="shared" ref="AH5:AH6" si="33" xml:space="preserve"> AE5/AB5</f>
        <v>1</v>
      </c>
      <c r="AI5" s="33">
        <f t="shared" ref="AI5:AI6" si="34">AF5/AB5</f>
        <v>0.9</v>
      </c>
    </row>
    <row r="6" spans="1:42" x14ac:dyDescent="0.45">
      <c r="A6" t="s">
        <v>271</v>
      </c>
      <c r="B6" s="60">
        <v>43607</v>
      </c>
      <c r="C6" s="60">
        <v>43620</v>
      </c>
      <c r="D6" s="57">
        <v>463</v>
      </c>
      <c r="E6" s="58">
        <f>_ReleaseData!$Q$25</f>
        <v>420</v>
      </c>
      <c r="F6" s="40">
        <v>452</v>
      </c>
      <c r="G6" s="40">
        <v>406</v>
      </c>
      <c r="H6" s="40">
        <f t="shared" si="23"/>
        <v>186</v>
      </c>
      <c r="I6" s="40">
        <v>277</v>
      </c>
      <c r="J6" s="33">
        <f t="shared" si="24"/>
        <v>0.87688984881209509</v>
      </c>
      <c r="K6" s="33">
        <f t="shared" si="25"/>
        <v>0.40172786177105829</v>
      </c>
      <c r="L6" s="59">
        <v>94</v>
      </c>
      <c r="M6" s="58">
        <f>_ReleaseData!$Q$26</f>
        <v>75</v>
      </c>
      <c r="N6" s="40">
        <v>94</v>
      </c>
      <c r="O6" s="40">
        <v>81</v>
      </c>
      <c r="P6" s="40">
        <f t="shared" si="26"/>
        <v>56</v>
      </c>
      <c r="Q6" s="40">
        <v>38</v>
      </c>
      <c r="R6" s="33">
        <f t="shared" si="27"/>
        <v>0.86170212765957444</v>
      </c>
      <c r="S6" s="33">
        <f t="shared" si="28"/>
        <v>0.5957446808510638</v>
      </c>
      <c r="T6" s="57">
        <v>192</v>
      </c>
      <c r="U6" s="58">
        <f>_ReleaseData!$Q$27</f>
        <v>175</v>
      </c>
      <c r="V6" s="40">
        <v>192</v>
      </c>
      <c r="W6" s="40">
        <v>184</v>
      </c>
      <c r="X6" s="40">
        <f t="shared" si="29"/>
        <v>82</v>
      </c>
      <c r="Y6" s="40">
        <v>110</v>
      </c>
      <c r="Z6" s="33">
        <f t="shared" si="30"/>
        <v>0.95833333333333337</v>
      </c>
      <c r="AA6" s="33">
        <f t="shared" si="31"/>
        <v>0.42708333333333331</v>
      </c>
      <c r="AB6" s="57">
        <v>41</v>
      </c>
      <c r="AC6" s="58">
        <f>_ReleaseData!$Q$28</f>
        <v>55</v>
      </c>
      <c r="AD6" s="40">
        <v>41</v>
      </c>
      <c r="AE6" s="40">
        <v>41</v>
      </c>
      <c r="AF6" s="40">
        <f t="shared" si="32"/>
        <v>40</v>
      </c>
      <c r="AG6" s="40">
        <v>1</v>
      </c>
      <c r="AH6" s="33">
        <f t="shared" si="33"/>
        <v>1</v>
      </c>
      <c r="AI6" s="33">
        <f t="shared" si="34"/>
        <v>0.97560975609756095</v>
      </c>
    </row>
    <row r="7" spans="1:42" x14ac:dyDescent="0.45">
      <c r="A7" t="s">
        <v>272</v>
      </c>
      <c r="B7" s="60">
        <v>43621</v>
      </c>
      <c r="C7" s="60">
        <v>43634</v>
      </c>
      <c r="D7" s="57">
        <v>422</v>
      </c>
      <c r="E7" s="58">
        <f>_ReleaseData!$Q$25</f>
        <v>420</v>
      </c>
      <c r="F7" s="40">
        <v>411</v>
      </c>
      <c r="G7" s="40">
        <v>390</v>
      </c>
      <c r="H7" s="40">
        <f t="shared" ref="H7" si="35">D7-I7</f>
        <v>269</v>
      </c>
      <c r="I7" s="40">
        <v>153</v>
      </c>
      <c r="J7" s="33">
        <f t="shared" ref="J7" si="36" xml:space="preserve"> G7/D7</f>
        <v>0.92417061611374407</v>
      </c>
      <c r="K7" s="33">
        <f t="shared" ref="K7" si="37" xml:space="preserve"> H7/D7</f>
        <v>0.63744075829383884</v>
      </c>
      <c r="L7" s="59">
        <v>101</v>
      </c>
      <c r="M7" s="58">
        <f>_ReleaseData!$Q$26</f>
        <v>75</v>
      </c>
      <c r="N7" s="40">
        <v>101</v>
      </c>
      <c r="O7" s="40">
        <v>85</v>
      </c>
      <c r="P7" s="40">
        <f t="shared" ref="P7" si="38">L7-Q7</f>
        <v>72</v>
      </c>
      <c r="Q7" s="40">
        <v>29</v>
      </c>
      <c r="R7" s="33">
        <f t="shared" ref="R7" si="39" xml:space="preserve"> O7/L7</f>
        <v>0.84158415841584155</v>
      </c>
      <c r="S7" s="33">
        <f t="shared" ref="S7" si="40" xml:space="preserve"> P7/L7</f>
        <v>0.71287128712871284</v>
      </c>
      <c r="T7" s="57">
        <v>173</v>
      </c>
      <c r="U7" s="58">
        <f>_ReleaseData!$Q$27</f>
        <v>175</v>
      </c>
      <c r="V7" s="40">
        <v>173</v>
      </c>
      <c r="W7" s="40">
        <v>173</v>
      </c>
      <c r="X7" s="40">
        <f t="shared" ref="X7" si="41">T7-Y7</f>
        <v>134</v>
      </c>
      <c r="Y7" s="40">
        <v>39</v>
      </c>
      <c r="Z7" s="33">
        <f t="shared" ref="Z7" si="42" xml:space="preserve"> W7/T7</f>
        <v>1</v>
      </c>
      <c r="AA7" s="33">
        <f t="shared" ref="AA7" si="43">X7/T7</f>
        <v>0.77456647398843925</v>
      </c>
      <c r="AB7" s="57">
        <v>41</v>
      </c>
      <c r="AC7" s="58">
        <f>_ReleaseData!$Q$28</f>
        <v>55</v>
      </c>
      <c r="AD7" s="40">
        <v>41</v>
      </c>
      <c r="AE7" s="40">
        <v>41</v>
      </c>
      <c r="AF7" s="40">
        <f t="shared" ref="AF7:AF8" si="44">AB7-AG7</f>
        <v>41</v>
      </c>
      <c r="AG7" s="40">
        <v>0</v>
      </c>
      <c r="AH7" s="33">
        <f t="shared" ref="AH7" si="45" xml:space="preserve"> AE7/AB7</f>
        <v>1</v>
      </c>
      <c r="AI7" s="33">
        <f t="shared" ref="AI7" si="46">AF7/AB7</f>
        <v>1</v>
      </c>
      <c r="AL7" s="16" t="s">
        <v>135</v>
      </c>
      <c r="AM7" t="s">
        <v>52</v>
      </c>
    </row>
    <row r="8" spans="1:42" x14ac:dyDescent="0.45">
      <c r="A8" t="s">
        <v>273</v>
      </c>
      <c r="B8" s="60">
        <v>43635</v>
      </c>
      <c r="C8" s="60">
        <v>43648</v>
      </c>
      <c r="D8" s="57">
        <v>439.5</v>
      </c>
      <c r="E8" s="58">
        <f>_ReleaseData!$Q$25</f>
        <v>420</v>
      </c>
      <c r="F8" s="40">
        <v>438.5</v>
      </c>
      <c r="G8" s="40">
        <v>424.5</v>
      </c>
      <c r="H8" s="40">
        <f t="shared" ref="H8" si="47">D8-I8</f>
        <v>326.5</v>
      </c>
      <c r="I8" s="40">
        <v>113</v>
      </c>
      <c r="J8" s="33">
        <f t="shared" ref="J8" si="48" xml:space="preserve"> G8/D8</f>
        <v>0.96587030716723554</v>
      </c>
      <c r="K8" s="33">
        <f t="shared" ref="K8" si="49" xml:space="preserve"> H8/D8</f>
        <v>0.74288964732650742</v>
      </c>
      <c r="L8" s="59">
        <v>92</v>
      </c>
      <c r="M8" s="58">
        <f>_ReleaseData!$Q$26</f>
        <v>75</v>
      </c>
      <c r="N8" s="40">
        <v>92</v>
      </c>
      <c r="O8" s="40">
        <v>90</v>
      </c>
      <c r="P8" s="40">
        <f t="shared" ref="P8" si="50">L8-Q8</f>
        <v>90</v>
      </c>
      <c r="Q8" s="40">
        <v>2</v>
      </c>
      <c r="R8" s="33">
        <f t="shared" ref="R8" si="51" xml:space="preserve"> O8/L8</f>
        <v>0.97826086956521741</v>
      </c>
      <c r="S8" s="33">
        <f t="shared" ref="S8" si="52" xml:space="preserve"> P8/L8</f>
        <v>0.97826086956521741</v>
      </c>
      <c r="T8" s="57">
        <v>192.5</v>
      </c>
      <c r="U8" s="58">
        <f>_ReleaseData!$Q$27</f>
        <v>175</v>
      </c>
      <c r="V8" s="40">
        <v>192.5</v>
      </c>
      <c r="W8" s="40">
        <v>192.5</v>
      </c>
      <c r="X8" s="40">
        <f t="shared" ref="X8" si="53">T8-Y8</f>
        <v>163.5</v>
      </c>
      <c r="Y8" s="40">
        <v>29</v>
      </c>
      <c r="Z8" s="33">
        <f t="shared" ref="Z8" si="54" xml:space="preserve"> W8/T8</f>
        <v>1</v>
      </c>
      <c r="AA8" s="33">
        <f t="shared" ref="AA8" si="55">X8/T8</f>
        <v>0.8493506493506493</v>
      </c>
      <c r="AB8" s="57">
        <v>41</v>
      </c>
      <c r="AC8" s="58">
        <f>_ReleaseData!$Q$28</f>
        <v>55</v>
      </c>
      <c r="AD8" s="40">
        <v>41</v>
      </c>
      <c r="AE8" s="40">
        <v>41</v>
      </c>
      <c r="AF8" s="40">
        <f t="shared" si="44"/>
        <v>41</v>
      </c>
      <c r="AG8" s="40">
        <v>0</v>
      </c>
      <c r="AH8" s="33">
        <f t="shared" ref="AH8" si="56" xml:space="preserve"> AE8/AB8</f>
        <v>1</v>
      </c>
      <c r="AI8" s="33">
        <f t="shared" ref="AI8" si="57">AF8/AB8</f>
        <v>1</v>
      </c>
      <c r="AL8" s="16" t="s">
        <v>248</v>
      </c>
      <c r="AM8" t="s">
        <v>218</v>
      </c>
    </row>
    <row r="9" spans="1:42" x14ac:dyDescent="0.45">
      <c r="A9" t="s">
        <v>274</v>
      </c>
      <c r="B9" s="60">
        <v>43649</v>
      </c>
      <c r="C9" s="60">
        <v>43662</v>
      </c>
      <c r="D9" s="57">
        <f>GETPIVOTDATA("Epic Total Estimate", $AL$8, "Type", "Epic")</f>
        <v>2000.125</v>
      </c>
      <c r="E9" s="58">
        <f>_ReleaseData!$Q$25</f>
        <v>420</v>
      </c>
      <c r="F9" s="40">
        <f>GETPIVOTDATA("Stories Estimate", $AL$8, "Type", "Epic")</f>
        <v>0</v>
      </c>
      <c r="G9" s="40">
        <f>GETPIVOTDATA("Epic Decomposed", $AL$8, "Type", "Epic")</f>
        <v>540</v>
      </c>
      <c r="H9" s="40">
        <f t="shared" ref="H9" si="58">D9-I9</f>
        <v>1550.125</v>
      </c>
      <c r="I9" s="40">
        <f>GETPIVOTDATA("Epic Remaining Estimate", $AL$8, "Type", "Epic")</f>
        <v>450</v>
      </c>
      <c r="J9" s="33">
        <f t="shared" ref="J9" si="59" xml:space="preserve"> G9/D9</f>
        <v>0.2699831260546216</v>
      </c>
      <c r="K9" s="33">
        <f t="shared" ref="K9" si="60" xml:space="preserve"> H9/D9</f>
        <v>0.77501406162114872</v>
      </c>
      <c r="L9" s="59">
        <f>GETPIVOTDATA("Epic Total Estimate", $AL$8, "Type", "Epic", "ST:Components", "Reuse")</f>
        <v>200</v>
      </c>
      <c r="M9" s="58">
        <f>_ReleaseData!$Q$26</f>
        <v>75</v>
      </c>
      <c r="N9" s="40">
        <f>GETPIVOTDATA("Stories Estimate", $AL$8, "Type", "Epic", "ST:Components", "Reuse")</f>
        <v>0</v>
      </c>
      <c r="O9" s="40">
        <f>GETPIVOTDATA("Epic Decomposed", $AL$8, "Type", "Epic", "ST:Components", "Reuse")</f>
        <v>180</v>
      </c>
      <c r="P9" s="40">
        <f t="shared" ref="P9" si="61">L9-Q9</f>
        <v>50</v>
      </c>
      <c r="Q9" s="40">
        <f>GETPIVOTDATA("Epic Remaining Estimate", $AL$8, "Type", "Epic", "ST:Components", "Reuse")</f>
        <v>150</v>
      </c>
      <c r="R9" s="33">
        <f t="shared" ref="R9" si="62" xml:space="preserve"> O9/L9</f>
        <v>0.9</v>
      </c>
      <c r="S9" s="33">
        <f t="shared" ref="S9" si="63" xml:space="preserve"> P9/L9</f>
        <v>0.25</v>
      </c>
      <c r="T9" s="57">
        <f>GETPIVOTDATA("Epic Total Estimate", $AL$8, "Type", "Epic", "ST:Components", "Glossary")</f>
        <v>200</v>
      </c>
      <c r="U9" s="58">
        <f>_ReleaseData!$Q$27</f>
        <v>175</v>
      </c>
      <c r="V9" s="40">
        <f>GETPIVOTDATA("Stories Estimate", $AL$8, "Type", "Epic", "ST:Components", "Glossary")</f>
        <v>0</v>
      </c>
      <c r="W9" s="40">
        <f>GETPIVOTDATA("Epic Decomposed", $AL$8, "Type", "Epic", "ST:Components", "Glossary")</f>
        <v>180</v>
      </c>
      <c r="X9" s="40">
        <f t="shared" ref="X9" si="64">T9-Y9</f>
        <v>50</v>
      </c>
      <c r="Y9" s="40">
        <f>GETPIVOTDATA("Epic Remaining Estimate", $AL$8, "Type", "Epic", "ST:Components", "Glossary")</f>
        <v>150</v>
      </c>
      <c r="Z9" s="33">
        <f t="shared" ref="Z9" si="65" xml:space="preserve"> W9/T9</f>
        <v>0.9</v>
      </c>
      <c r="AA9" s="33">
        <f t="shared" ref="AA9" si="66">X9/T9</f>
        <v>0.25</v>
      </c>
      <c r="AB9" s="57">
        <f>GETPIVOTDATA("Epic Total Estimate", $AL$8, "Type", "Epic", "ST:Components", "Doc Gen")</f>
        <v>200</v>
      </c>
      <c r="AC9" s="58">
        <f>_ReleaseData!$Q$28</f>
        <v>55</v>
      </c>
      <c r="AD9" s="40">
        <f>GETPIVOTDATA("Stories Estimate", $AL$8, "Type", "Epic", "ST:Components", "Doc Gen")</f>
        <v>0</v>
      </c>
      <c r="AE9" s="40">
        <f>GETPIVOTDATA("Epic Decomposed", $AL$8, "Type", "Epic", "ST:Components", "Doc Gen")</f>
        <v>180</v>
      </c>
      <c r="AF9" s="40">
        <f t="shared" ref="AF9" si="67">AB9-AG9</f>
        <v>50</v>
      </c>
      <c r="AG9" s="40">
        <f>GETPIVOTDATA("Epic Remaining Estimate", $AL$8, "Type", "Epic", "ST:Components", "Doc Gen")</f>
        <v>150</v>
      </c>
      <c r="AH9" s="33">
        <f t="shared" ref="AH9" si="68" xml:space="preserve"> AE9/AB9</f>
        <v>0.9</v>
      </c>
      <c r="AI9" s="33">
        <f t="shared" ref="AI9" si="69">AF9/AB9</f>
        <v>0.25</v>
      </c>
    </row>
    <row r="10" spans="1:42" ht="13.9" customHeight="1" x14ac:dyDescent="0.45">
      <c r="A10" t="s">
        <v>275</v>
      </c>
      <c r="B10" s="60">
        <v>43663</v>
      </c>
      <c r="C10" s="60">
        <v>43676</v>
      </c>
      <c r="D10" s="57"/>
      <c r="E10" s="58">
        <f>_ReleaseData!$Q$25</f>
        <v>420</v>
      </c>
      <c r="F10" s="40"/>
      <c r="G10" s="40"/>
      <c r="H10" s="40"/>
      <c r="I10" s="40"/>
      <c r="J10" s="33"/>
      <c r="K10" s="33"/>
      <c r="L10" s="59"/>
      <c r="M10" s="58">
        <f>_ReleaseData!$Q$26</f>
        <v>75</v>
      </c>
      <c r="N10" s="40"/>
      <c r="O10" s="40"/>
      <c r="P10" s="40"/>
      <c r="Q10" s="40"/>
      <c r="R10" s="33"/>
      <c r="S10" s="33"/>
      <c r="T10" s="57"/>
      <c r="U10" s="58">
        <f>_ReleaseData!$Q$27</f>
        <v>175</v>
      </c>
      <c r="V10" s="40"/>
      <c r="W10" s="40"/>
      <c r="X10" s="40"/>
      <c r="Y10" s="40"/>
      <c r="Z10" s="33"/>
      <c r="AA10" s="33"/>
      <c r="AB10" s="57"/>
      <c r="AC10" s="58">
        <f>_ReleaseData!$Q$28</f>
        <v>55</v>
      </c>
      <c r="AD10" s="40"/>
      <c r="AE10" s="40"/>
      <c r="AF10" s="40"/>
      <c r="AG10" s="40"/>
      <c r="AH10" s="33"/>
      <c r="AI10" s="33"/>
      <c r="AM10" s="16" t="s">
        <v>162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277</v>
      </c>
      <c r="AO12" t="s">
        <v>278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1400.125</v>
      </c>
      <c r="AN13" s="20"/>
      <c r="AO13" s="20"/>
      <c r="AP13" s="20"/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200</v>
      </c>
      <c r="AN14" s="20"/>
      <c r="AO14" s="20">
        <v>180</v>
      </c>
      <c r="AP14" s="20">
        <v>150</v>
      </c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259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258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248</v>
      </c>
      <c r="C1" t="s">
        <v>218</v>
      </c>
    </row>
    <row r="2" spans="2:8" x14ac:dyDescent="0.45">
      <c r="G2" s="16" t="s">
        <v>217</v>
      </c>
      <c r="H2" t="s">
        <v>218</v>
      </c>
    </row>
    <row r="3" spans="2:8" x14ac:dyDescent="0.45">
      <c r="B3" s="16" t="s">
        <v>140</v>
      </c>
      <c r="C3" t="s">
        <v>190</v>
      </c>
      <c r="G3" s="16" t="s">
        <v>248</v>
      </c>
      <c r="H3" t="s">
        <v>218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184</v>
      </c>
      <c r="H6" s="20">
        <v>20</v>
      </c>
    </row>
    <row r="7" spans="2:8" x14ac:dyDescent="0.45">
      <c r="G7" s="17" t="s">
        <v>223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188</v>
      </c>
      <c r="C15" t="s">
        <v>191</v>
      </c>
      <c r="D15" t="s">
        <v>192</v>
      </c>
    </row>
    <row r="16" spans="2:8" x14ac:dyDescent="0.45">
      <c r="B16" t="s">
        <v>269</v>
      </c>
      <c r="C16" s="20">
        <v>135</v>
      </c>
      <c r="D16" s="20">
        <v>192</v>
      </c>
    </row>
    <row r="17" spans="2:4" x14ac:dyDescent="0.45">
      <c r="B17" t="s">
        <v>270</v>
      </c>
      <c r="C17" s="20">
        <v>57</v>
      </c>
      <c r="D17" s="20">
        <v>153</v>
      </c>
    </row>
    <row r="18" spans="2:4" x14ac:dyDescent="0.45">
      <c r="B18" t="s">
        <v>271</v>
      </c>
      <c r="C18" s="20">
        <v>60</v>
      </c>
      <c r="D18" s="20">
        <v>119</v>
      </c>
    </row>
    <row r="19" spans="2:4" x14ac:dyDescent="0.45">
      <c r="B19" t="s">
        <v>272</v>
      </c>
      <c r="C19" s="20">
        <v>35</v>
      </c>
      <c r="D19" s="20">
        <v>61</v>
      </c>
    </row>
    <row r="20" spans="2:4" x14ac:dyDescent="0.45">
      <c r="B20" t="s">
        <v>273</v>
      </c>
      <c r="C20" s="20">
        <v>18</v>
      </c>
      <c r="D20" s="20">
        <v>44</v>
      </c>
    </row>
    <row r="21" spans="2:4" x14ac:dyDescent="0.45">
      <c r="B21" t="s">
        <v>274</v>
      </c>
      <c r="C21" s="20">
        <f>GETPIVOTDATA("Epic Not Decomposed Estimate",$B$3)</f>
        <v>1460.125</v>
      </c>
      <c r="D21" s="20">
        <f>GETPIVOTDATA("Story Points",$G$5)</f>
        <v>35</v>
      </c>
    </row>
    <row r="22" spans="2:4" x14ac:dyDescent="0.45">
      <c r="B22" t="s">
        <v>275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Reuse</vt:lpstr>
      <vt:lpstr>Glossary</vt:lpstr>
      <vt:lpstr>Doc Gen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'Doc Gen'!Table10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2019-07-16T12:21:34Z</dcterms:modified>
</cp:coreProperties>
</file>