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5588F96-2470-490B-87B6-C92A046B6243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10" i="26" l="1"/>
  <c r="U10" i="26"/>
  <c r="M10" i="26"/>
  <c r="E10" i="26"/>
  <c r="Q10" i="26"/>
  <c r="AD10" i="26"/>
  <c r="V10" i="26"/>
  <c r="N10" i="26"/>
  <c r="I10" i="26"/>
  <c r="W10" i="26"/>
  <c r="F10" i="26"/>
  <c r="AB10" i="26"/>
  <c r="O10" i="26"/>
  <c r="T10" i="26"/>
  <c r="D22" i="24"/>
  <c r="AE10" i="26"/>
  <c r="D10" i="26"/>
  <c r="C22" i="24"/>
  <c r="AG10" i="26"/>
  <c r="G10" i="26"/>
  <c r="Y10" i="26"/>
  <c r="L10" i="26"/>
  <c r="H10" i="26" l="1"/>
  <c r="K10" i="26" s="1"/>
  <c r="AF10" i="26"/>
  <c r="AI10" i="26" s="1"/>
  <c r="P10" i="26"/>
  <c r="S10" i="26" s="1"/>
  <c r="J10" i="26"/>
  <c r="AH10" i="26"/>
  <c r="X10" i="26"/>
  <c r="AA10" i="26" s="1"/>
  <c r="R10" i="26"/>
  <c r="Z10" i="26"/>
  <c r="AF8" i="26"/>
  <c r="AC9" i="26"/>
  <c r="U9" i="26"/>
  <c r="M9" i="26"/>
  <c r="E9" i="26"/>
  <c r="N10" i="9"/>
  <c r="P10" i="9"/>
  <c r="R10" i="9"/>
  <c r="M10" i="9"/>
  <c r="O10" i="9"/>
  <c r="X10" i="9"/>
  <c r="V10" i="9"/>
  <c r="P9" i="26" l="1"/>
  <c r="S9" i="26" s="1"/>
  <c r="AF9" i="26"/>
  <c r="AI9" i="26" s="1"/>
  <c r="AH9" i="26"/>
  <c r="J9" i="26"/>
  <c r="R9" i="26"/>
  <c r="Z9" i="26"/>
  <c r="H9" i="26"/>
  <c r="K9" i="26" s="1"/>
  <c r="X9" i="26"/>
  <c r="AA9" i="26" s="1"/>
  <c r="AC8" i="26"/>
  <c r="U8" i="26"/>
  <c r="M8" i="26"/>
  <c r="E8" i="26"/>
  <c r="T9" i="9"/>
  <c r="AI8" i="26" l="1"/>
  <c r="P8" i="26"/>
  <c r="S8" i="26" s="1"/>
  <c r="Z8" i="26"/>
  <c r="R8" i="26"/>
  <c r="AH8" i="26"/>
  <c r="H8" i="26"/>
  <c r="K8" i="26" s="1"/>
  <c r="X8" i="26"/>
  <c r="AA8" i="26" s="1"/>
  <c r="J8" i="26"/>
  <c r="AC7" i="26" l="1"/>
  <c r="U7" i="26"/>
  <c r="M7" i="26"/>
  <c r="E7" i="26"/>
  <c r="J7" i="26" l="1"/>
  <c r="AH7" i="26"/>
  <c r="R7" i="26"/>
  <c r="Z7" i="26"/>
  <c r="H7" i="26"/>
  <c r="K7" i="26" s="1"/>
  <c r="P7" i="26"/>
  <c r="S7" i="26" s="1"/>
  <c r="X7" i="26"/>
  <c r="AA7" i="26" s="1"/>
  <c r="AF7" i="26"/>
  <c r="AI7" i="26" s="1"/>
  <c r="AC6" i="26" l="1"/>
  <c r="U6" i="26"/>
  <c r="M6" i="26"/>
  <c r="E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W10" i="9" l="1"/>
  <c r="S10" i="9"/>
  <c r="Q10" i="9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B66" i="9"/>
  <c r="F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<sst xmlns="http://schemas.openxmlformats.org/spreadsheetml/2006/main" count="1138" uniqueCount="280">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</sst>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0.86956521739130432</c:v>
                </c:pt>
                <c:pt idx="1">
                  <c:v>0.13043478260869568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0.6</c:v>
                </c:pt>
                <c:pt idx="4">
                  <c:v>0.71</c:v>
                </c:pt>
                <c:pt idx="5">
                  <c:v>0.98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38</c:v>
                </c:pt>
                <c:pt idx="4">
                  <c:v>29</c:v>
                </c:pt>
                <c:pt idx="5">
                  <c:v>2</c:v>
                </c:pt>
                <c:pt idx="6">
                  <c:v>150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92</c:v>
                </c:pt>
                <c:pt idx="6">
                  <c:v>91.5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92</c:v>
                </c:pt>
                <c:pt idx="6">
                  <c:v>91.5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81</c:v>
                </c:pt>
                <c:pt idx="4">
                  <c:v>85</c:v>
                </c:pt>
                <c:pt idx="5">
                  <c:v>90</c:v>
                </c:pt>
                <c:pt idx="6">
                  <c:v>91.5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56</c:v>
                </c:pt>
                <c:pt idx="4">
                  <c:v>72</c:v>
                </c:pt>
                <c:pt idx="5">
                  <c:v>90</c:v>
                </c:pt>
                <c:pt idx="6">
                  <c:v>91.5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0.86956521739130432</c:v>
                </c:pt>
                <c:pt idx="1">
                  <c:v>0.13043478260869568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0.43</c:v>
                </c:pt>
                <c:pt idx="4">
                  <c:v>0.77</c:v>
                </c:pt>
                <c:pt idx="5">
                  <c:v>0.85</c:v>
                </c:pt>
                <c:pt idx="6">
                  <c:v>0.94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110</c:v>
                </c:pt>
                <c:pt idx="4">
                  <c:v>39</c:v>
                </c:pt>
                <c:pt idx="5">
                  <c:v>29</c:v>
                </c:pt>
                <c:pt idx="6">
                  <c:v>11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192.5</c:v>
                </c:pt>
                <c:pt idx="6">
                  <c:v>190.5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192.5</c:v>
                </c:pt>
                <c:pt idx="6">
                  <c:v>190.5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184</c:v>
                </c:pt>
                <c:pt idx="4">
                  <c:v>173</c:v>
                </c:pt>
                <c:pt idx="5">
                  <c:v>192.5</c:v>
                </c:pt>
                <c:pt idx="6">
                  <c:v>190.5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82</c:v>
                </c:pt>
                <c:pt idx="4">
                  <c:v>134</c:v>
                </c:pt>
                <c:pt idx="5">
                  <c:v>163.5</c:v>
                </c:pt>
                <c:pt idx="6">
                  <c:v>179.5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0.86956521739130432</c:v>
                </c:pt>
                <c:pt idx="1">
                  <c:v>0.13043478260869568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60</c:v>
                </c:pt>
                <c:pt idx="3">
                  <c:v>35</c:v>
                </c:pt>
                <c:pt idx="4">
                  <c:v>18</c:v>
                </c:pt>
                <c:pt idx="5">
                  <c:v>199</c:v>
                </c:pt>
                <c:pt idx="6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119</c:v>
                </c:pt>
                <c:pt idx="3">
                  <c:v>61</c:v>
                </c:pt>
                <c:pt idx="4">
                  <c:v>44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0.4</c:v>
                </c:pt>
                <c:pt idx="4">
                  <c:v>0.64</c:v>
                </c:pt>
                <c:pt idx="5">
                  <c:v>0.74</c:v>
                </c:pt>
                <c:pt idx="6">
                  <c:v>0.84</c:v>
                </c:pt>
                <c:pt idx="7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Titan7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277</c:v>
                </c:pt>
                <c:pt idx="4">
                  <c:v>153</c:v>
                </c:pt>
                <c:pt idx="5">
                  <c:v>113</c:v>
                </c:pt>
                <c:pt idx="6">
                  <c:v>72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463</c:v>
                </c:pt>
                <c:pt idx="4">
                  <c:v>422</c:v>
                </c:pt>
                <c:pt idx="5">
                  <c:v>439.5</c:v>
                </c:pt>
                <c:pt idx="6">
                  <c:v>446.5</c:v>
                </c:pt>
                <c:pt idx="7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452</c:v>
                </c:pt>
                <c:pt idx="4">
                  <c:v>411</c:v>
                </c:pt>
                <c:pt idx="5">
                  <c:v>438.5</c:v>
                </c:pt>
                <c:pt idx="6">
                  <c:v>446.5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406</c:v>
                </c:pt>
                <c:pt idx="4">
                  <c:v>390</c:v>
                </c:pt>
                <c:pt idx="5">
                  <c:v>424.5</c:v>
                </c:pt>
                <c:pt idx="6">
                  <c:v>439.5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186</c:v>
                </c:pt>
                <c:pt idx="4">
                  <c:v>269</c:v>
                </c:pt>
                <c:pt idx="5">
                  <c:v>326.5</c:v>
                </c:pt>
                <c:pt idx="6">
                  <c:v>374.5</c:v>
                </c:pt>
                <c:pt idx="7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0.86956521739130432</c:v>
                </c:pt>
                <c:pt idx="1">
                  <c:v>0.13043478260869568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63.311183796293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Cross Project Move" u="1"/>
        <s v="Artifact List" u="1"/>
        <s v="Excel Import" u="1"/>
        <s v="DevOps" u="1"/>
        <s v="Drag &amp; Drop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44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6"/>
        <item m="1" x="8"/>
        <item m="1" x="9"/>
        <item x="2"/>
        <item m="1" x="10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5"/>
        <item m="1" x="6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  <c r="L9">
        <v>69</v>
      </c>
    </row>
    <row r="10" spans="2:13" x14ac:dyDescent="0.45">
      <c r="B10" s="17" t="s">
        <v>273</v>
      </c>
      <c r="C10" s="20">
        <v>60</v>
      </c>
      <c r="K10" t="s">
        <v>272</v>
      </c>
      <c r="L10">
        <v>91</v>
      </c>
    </row>
    <row r="11" spans="2:13" x14ac:dyDescent="0.45">
      <c r="B11" s="17" t="s">
        <v>274</v>
      </c>
      <c r="C11" s="20">
        <v>60</v>
      </c>
      <c r="K11" t="s">
        <v>273</v>
      </c>
      <c r="L11">
        <v>69</v>
      </c>
    </row>
    <row r="12" spans="2:13" x14ac:dyDescent="0.45">
      <c r="B12" s="17" t="s">
        <v>50</v>
      </c>
      <c r="C12" s="20">
        <v>370</v>
      </c>
      <c r="K12" t="s">
        <v>274</v>
      </c>
      <c r="L12">
        <v>54.5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410.5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Titan7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268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184</v>
      </c>
      <c r="E13" s="20">
        <v>10</v>
      </c>
    </row>
    <row r="14" spans="1:5" x14ac:dyDescent="0.45">
      <c r="D14" s="17" t="s">
        <v>50</v>
      </c>
      <c r="E14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279</v>
      </c>
      <c r="E16" t="str">
        <f>"Sprint " &amp; SUBSTITUTE($B$1,"Quasar", "") &amp; " Progress"</f>
        <v>Sprint Titan7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Titan7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Titan7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Titan7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Titan7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Titan7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Titan7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Titan7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22.46484375" bestFit="1" customWidth="1"/>
    <col min="5" max="5" width="8" bestFit="1" customWidth="1"/>
    <col min="6" max="6" width="16.86328125" bestFit="1" customWidth="1"/>
    <col min="7" max="7" width="14.664062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0.86956521739130432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0.13043478260869568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43663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v>0.4</v>
      </c>
      <c r="N6" s="76">
        <v>0.6</v>
      </c>
      <c r="O6" s="76">
        <v>0.43</v>
      </c>
      <c r="P6" s="76">
        <v>0.98</v>
      </c>
      <c r="Q6" s="40">
        <f t="shared" ref="Q6" si="5">$Q$25*(100%-K6)</f>
        <v>240.88235294117646</v>
      </c>
      <c r="R6" s="42">
        <v>277</v>
      </c>
      <c r="S6" s="42">
        <f t="shared" ref="S6" si="6">$Q$26*(100%-K6)</f>
        <v>43.014705882352935</v>
      </c>
      <c r="T6" s="42">
        <v>38</v>
      </c>
      <c r="U6" s="40">
        <f t="shared" ref="U6" si="7">$Q$27*(100%-L6)</f>
        <v>100.36764705882352</v>
      </c>
      <c r="V6" s="42">
        <v>110</v>
      </c>
      <c r="W6" s="40">
        <f t="shared" ref="W6" si="8">$Q$28*(100%-K6)</f>
        <v>31.544117647058822</v>
      </c>
      <c r="X6" s="42">
        <v>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>
        <v>0.64</v>
      </c>
      <c r="N7" s="76">
        <v>0.71</v>
      </c>
      <c r="O7" s="76">
        <v>0.77</v>
      </c>
      <c r="P7" s="76">
        <v>1</v>
      </c>
      <c r="Q7" s="40">
        <f t="shared" si="1"/>
        <v>179.11764705882354</v>
      </c>
      <c r="R7" s="42">
        <v>153</v>
      </c>
      <c r="S7" s="42">
        <f t="shared" si="2"/>
        <v>31.985294117647062</v>
      </c>
      <c r="T7" s="42">
        <v>29</v>
      </c>
      <c r="U7" s="40">
        <f t="shared" si="3"/>
        <v>74.632352941176478</v>
      </c>
      <c r="V7" s="42">
        <v>39</v>
      </c>
      <c r="W7" s="40">
        <f t="shared" si="4"/>
        <v>23.455882352941178</v>
      </c>
      <c r="X7" s="42">
        <v>0</v>
      </c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>
        <v>0.74</v>
      </c>
      <c r="N8" s="76">
        <v>0.98</v>
      </c>
      <c r="O8" s="76">
        <v>0.85</v>
      </c>
      <c r="P8" s="76">
        <v>1</v>
      </c>
      <c r="Q8" s="40">
        <f t="shared" si="1"/>
        <v>123.52941176470587</v>
      </c>
      <c r="R8" s="42">
        <v>113</v>
      </c>
      <c r="S8" s="42">
        <f t="shared" si="2"/>
        <v>22.058823529411761</v>
      </c>
      <c r="T8" s="42">
        <v>2</v>
      </c>
      <c r="U8" s="40">
        <f t="shared" si="3"/>
        <v>51.470588235294109</v>
      </c>
      <c r="V8" s="42">
        <v>29</v>
      </c>
      <c r="W8" s="40">
        <f t="shared" si="4"/>
        <v>16.17647058823529</v>
      </c>
      <c r="X8" s="42">
        <v>0</v>
      </c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>
        <v>0.84</v>
      </c>
      <c r="N9" s="76">
        <v>1</v>
      </c>
      <c r="O9" s="76">
        <v>0.94</v>
      </c>
      <c r="P9" s="76">
        <v>1</v>
      </c>
      <c r="Q9" s="42">
        <f t="shared" si="1"/>
        <v>61.764705882352956</v>
      </c>
      <c r="R9" s="42">
        <v>72</v>
      </c>
      <c r="S9" s="42">
        <f t="shared" si="2"/>
        <v>11.029411764705884</v>
      </c>
      <c r="T9" s="42">
        <f>GETPIVOTDATA("Epic Remaining Estimate",$AB$4,"ST:Components","Reuse")</f>
        <v>150</v>
      </c>
      <c r="U9" s="42">
        <f t="shared" si="3"/>
        <v>25.735294117647065</v>
      </c>
      <c r="V9" s="42">
        <v>11</v>
      </c>
      <c r="W9" s="42">
        <f t="shared" si="4"/>
        <v>8.0882352941176485</v>
      </c>
      <c r="X9" s="42">
        <v>0</v>
      </c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>
        <f>100%-GETPIVOTDATA("Epic Remaining Estimate",$AB$4)/GETPIVOTDATA("Epic Total Estimate",$AB$4)</f>
        <v>0.77501406162114872</v>
      </c>
      <c r="N10" s="77">
        <f>100%-GETPIVOTDATA("Epic Remaining Estimate",$AB$4,"ST:Components","Reuse")/GETPIVOTDATA("Epic Total Estimate",$AB$4,"ST:Components","Reuse")</f>
        <v>0.25</v>
      </c>
      <c r="O10" s="77">
        <f>100%-GETPIVOTDATA("Epic Remaining Estimate",$AB$4,"ST:Components","Glossary")/GETPIVOTDATA("Epic Total Estimate",$AB$4,"ST:Components","Glossary")</f>
        <v>0.25</v>
      </c>
      <c r="P10" s="77">
        <f>100%-GETPIVOTDATA("Epic Remaining Estimate",$AB$4,"ST:Components","Doc Gen")/GETPIVOTDATA("Epic Total Estimate",$AB$4,"ST:Components","Doc Gen")</f>
        <v>0.25</v>
      </c>
      <c r="Q10" s="71">
        <f t="shared" ref="Q10" si="13">$Q$25*(100%-K10)</f>
        <v>0</v>
      </c>
      <c r="R10" s="71">
        <f>GETPIVOTDATA("Epic Remaining Estimate",$AB$4)</f>
        <v>450</v>
      </c>
      <c r="S10" s="71">
        <f t="shared" ref="S10" si="14">$Q$26*(100%-K10)</f>
        <v>0</v>
      </c>
      <c r="T10" s="71">
        <v>0</v>
      </c>
      <c r="U10" s="71">
        <f t="shared" ref="U10" si="15">$Q$27*(100%-L10)</f>
        <v>0</v>
      </c>
      <c r="V10" s="71">
        <f>GETPIVOTDATA("Epic Remaining Estimate",$AB$4,"ST:Components","Glossary")</f>
        <v>150</v>
      </c>
      <c r="W10" s="71">
        <f t="shared" ref="W10" si="16">$Q$28*(100%-K10)</f>
        <v>0</v>
      </c>
      <c r="X10" s="71">
        <f>GETPIVOTDATA("Epic Remaining Estimate",$AB$4,"ST:Components","Doc Gen")</f>
        <v>150</v>
      </c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0.86956521739130432</v>
      </c>
    </row>
    <row r="23" spans="1:24" x14ac:dyDescent="0.45">
      <c r="A23" t="s">
        <v>138</v>
      </c>
      <c r="B23" s="30">
        <f ca="1">MAX(100%,B22)-B22</f>
        <v>0.13043478260869568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v>463</v>
      </c>
      <c r="E6" s="58">
        <f>_ReleaseData!$Q$25</f>
        <v>420</v>
      </c>
      <c r="F6" s="40">
        <v>452</v>
      </c>
      <c r="G6" s="40">
        <v>406</v>
      </c>
      <c r="H6" s="40">
        <f t="shared" si="23"/>
        <v>186</v>
      </c>
      <c r="I6" s="40">
        <v>277</v>
      </c>
      <c r="J6" s="33">
        <f t="shared" si="24"/>
        <v>0.87688984881209509</v>
      </c>
      <c r="K6" s="33">
        <f t="shared" si="25"/>
        <v>0.40172786177105829</v>
      </c>
      <c r="L6" s="59">
        <v>94</v>
      </c>
      <c r="M6" s="58">
        <f>_ReleaseData!$Q$26</f>
        <v>75</v>
      </c>
      <c r="N6" s="40">
        <v>94</v>
      </c>
      <c r="O6" s="40">
        <v>81</v>
      </c>
      <c r="P6" s="40">
        <f t="shared" si="26"/>
        <v>56</v>
      </c>
      <c r="Q6" s="40">
        <v>38</v>
      </c>
      <c r="R6" s="33">
        <f t="shared" si="27"/>
        <v>0.86170212765957444</v>
      </c>
      <c r="S6" s="33">
        <f t="shared" si="28"/>
        <v>0.5957446808510638</v>
      </c>
      <c r="T6" s="57">
        <v>192</v>
      </c>
      <c r="U6" s="58">
        <f>_ReleaseData!$Q$27</f>
        <v>175</v>
      </c>
      <c r="V6" s="40">
        <v>192</v>
      </c>
      <c r="W6" s="40">
        <v>184</v>
      </c>
      <c r="X6" s="40">
        <f t="shared" si="29"/>
        <v>82</v>
      </c>
      <c r="Y6" s="40">
        <v>110</v>
      </c>
      <c r="Z6" s="33">
        <f t="shared" si="30"/>
        <v>0.95833333333333337</v>
      </c>
      <c r="AA6" s="33">
        <f t="shared" si="31"/>
        <v>0.42708333333333331</v>
      </c>
      <c r="AB6" s="57">
        <v>41</v>
      </c>
      <c r="AC6" s="58">
        <f>_ReleaseData!$Q$28</f>
        <v>55</v>
      </c>
      <c r="AD6" s="40">
        <v>41</v>
      </c>
      <c r="AE6" s="40">
        <v>41</v>
      </c>
      <c r="AF6" s="40">
        <f t="shared" si="32"/>
        <v>40</v>
      </c>
      <c r="AG6" s="40">
        <v>1</v>
      </c>
      <c r="AH6" s="33">
        <f t="shared" si="33"/>
        <v>1</v>
      </c>
      <c r="AI6" s="33">
        <f t="shared" si="34"/>
        <v>0.97560975609756095</v>
      </c>
    </row>
    <row r="7" spans="1:42" x14ac:dyDescent="0.45">
      <c r="A7" t="s">
        <v>272</v>
      </c>
      <c r="B7" s="60">
        <v>43621</v>
      </c>
      <c r="C7" s="60">
        <v>43634</v>
      </c>
      <c r="D7" s="57">
        <v>422</v>
      </c>
      <c r="E7" s="58">
        <f>_ReleaseData!$Q$25</f>
        <v>420</v>
      </c>
      <c r="F7" s="40">
        <v>411</v>
      </c>
      <c r="G7" s="40">
        <v>390</v>
      </c>
      <c r="H7" s="40">
        <f t="shared" ref="H7" si="35">D7-I7</f>
        <v>269</v>
      </c>
      <c r="I7" s="40">
        <v>153</v>
      </c>
      <c r="J7" s="33">
        <f t="shared" ref="J7" si="36" xml:space="preserve"> G7/D7</f>
        <v>0.92417061611374407</v>
      </c>
      <c r="K7" s="33">
        <f t="shared" ref="K7" si="37" xml:space="preserve"> H7/D7</f>
        <v>0.63744075829383884</v>
      </c>
      <c r="L7" s="59">
        <v>101</v>
      </c>
      <c r="M7" s="58">
        <f>_ReleaseData!$Q$26</f>
        <v>75</v>
      </c>
      <c r="N7" s="40">
        <v>101</v>
      </c>
      <c r="O7" s="40">
        <v>85</v>
      </c>
      <c r="P7" s="40">
        <f t="shared" ref="P7" si="38">L7-Q7</f>
        <v>72</v>
      </c>
      <c r="Q7" s="40">
        <v>29</v>
      </c>
      <c r="R7" s="33">
        <f t="shared" ref="R7" si="39" xml:space="preserve"> O7/L7</f>
        <v>0.84158415841584155</v>
      </c>
      <c r="S7" s="33">
        <f t="shared" ref="S7" si="40" xml:space="preserve"> P7/L7</f>
        <v>0.71287128712871284</v>
      </c>
      <c r="T7" s="57">
        <v>173</v>
      </c>
      <c r="U7" s="58">
        <f>_ReleaseData!$Q$27</f>
        <v>175</v>
      </c>
      <c r="V7" s="40">
        <v>173</v>
      </c>
      <c r="W7" s="40">
        <v>173</v>
      </c>
      <c r="X7" s="40">
        <f t="shared" ref="X7" si="41">T7-Y7</f>
        <v>134</v>
      </c>
      <c r="Y7" s="40">
        <v>39</v>
      </c>
      <c r="Z7" s="33">
        <f t="shared" ref="Z7" si="42" xml:space="preserve"> W7/T7</f>
        <v>1</v>
      </c>
      <c r="AA7" s="33">
        <f t="shared" ref="AA7" si="43">X7/T7</f>
        <v>0.77456647398843925</v>
      </c>
      <c r="AB7" s="57">
        <v>41</v>
      </c>
      <c r="AC7" s="58">
        <f>_ReleaseData!$Q$28</f>
        <v>55</v>
      </c>
      <c r="AD7" s="40">
        <v>41</v>
      </c>
      <c r="AE7" s="40">
        <v>41</v>
      </c>
      <c r="AF7" s="40">
        <f t="shared" ref="AF7:AF8" si="44">AB7-AG7</f>
        <v>41</v>
      </c>
      <c r="AG7" s="40">
        <v>0</v>
      </c>
      <c r="AH7" s="33">
        <f t="shared" ref="AH7" si="45" xml:space="preserve"> AE7/AB7</f>
        <v>1</v>
      </c>
      <c r="AI7" s="33">
        <f t="shared" ref="AI7" si="46">AF7/AB7</f>
        <v>1</v>
      </c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>
        <v>439.5</v>
      </c>
      <c r="E8" s="58">
        <f>_ReleaseData!$Q$25</f>
        <v>420</v>
      </c>
      <c r="F8" s="40">
        <v>438.5</v>
      </c>
      <c r="G8" s="40">
        <v>424.5</v>
      </c>
      <c r="H8" s="40">
        <f t="shared" ref="H8" si="47">D8-I8</f>
        <v>326.5</v>
      </c>
      <c r="I8" s="40">
        <v>113</v>
      </c>
      <c r="J8" s="33">
        <f t="shared" ref="J8" si="48" xml:space="preserve"> G8/D8</f>
        <v>0.96587030716723554</v>
      </c>
      <c r="K8" s="33">
        <f t="shared" ref="K8" si="49" xml:space="preserve"> H8/D8</f>
        <v>0.74288964732650742</v>
      </c>
      <c r="L8" s="59">
        <v>92</v>
      </c>
      <c r="M8" s="58">
        <f>_ReleaseData!$Q$26</f>
        <v>75</v>
      </c>
      <c r="N8" s="40">
        <v>92</v>
      </c>
      <c r="O8" s="40">
        <v>90</v>
      </c>
      <c r="P8" s="40">
        <f t="shared" ref="P8" si="50">L8-Q8</f>
        <v>90</v>
      </c>
      <c r="Q8" s="40">
        <v>2</v>
      </c>
      <c r="R8" s="33">
        <f t="shared" ref="R8" si="51" xml:space="preserve"> O8/L8</f>
        <v>0.97826086956521741</v>
      </c>
      <c r="S8" s="33">
        <f t="shared" ref="S8" si="52" xml:space="preserve"> P8/L8</f>
        <v>0.97826086956521741</v>
      </c>
      <c r="T8" s="57">
        <v>192.5</v>
      </c>
      <c r="U8" s="58">
        <f>_ReleaseData!$Q$27</f>
        <v>175</v>
      </c>
      <c r="V8" s="40">
        <v>192.5</v>
      </c>
      <c r="W8" s="40">
        <v>192.5</v>
      </c>
      <c r="X8" s="40">
        <f t="shared" ref="X8" si="53">T8-Y8</f>
        <v>163.5</v>
      </c>
      <c r="Y8" s="40">
        <v>29</v>
      </c>
      <c r="Z8" s="33">
        <f t="shared" ref="Z8" si="54" xml:space="preserve"> W8/T8</f>
        <v>1</v>
      </c>
      <c r="AA8" s="33">
        <f t="shared" ref="AA8" si="55">X8/T8</f>
        <v>0.8493506493506493</v>
      </c>
      <c r="AB8" s="57">
        <v>41</v>
      </c>
      <c r="AC8" s="58">
        <f>_ReleaseData!$Q$28</f>
        <v>55</v>
      </c>
      <c r="AD8" s="40">
        <v>41</v>
      </c>
      <c r="AE8" s="40">
        <v>41</v>
      </c>
      <c r="AF8" s="40">
        <f t="shared" si="44"/>
        <v>41</v>
      </c>
      <c r="AG8" s="40">
        <v>0</v>
      </c>
      <c r="AH8" s="33">
        <f t="shared" ref="AH8" si="56" xml:space="preserve"> AE8/AB8</f>
        <v>1</v>
      </c>
      <c r="AI8" s="33">
        <f t="shared" ref="AI8" si="57">AF8/AB8</f>
        <v>1</v>
      </c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>
        <v>446.5</v>
      </c>
      <c r="E9" s="58">
        <f>_ReleaseData!$Q$25</f>
        <v>420</v>
      </c>
      <c r="F9" s="40">
        <v>446.5</v>
      </c>
      <c r="G9" s="40">
        <v>439.5</v>
      </c>
      <c r="H9" s="40">
        <f t="shared" ref="H9" si="58">D9-I9</f>
        <v>374.5</v>
      </c>
      <c r="I9" s="40">
        <v>72</v>
      </c>
      <c r="J9" s="33">
        <f t="shared" ref="J9" si="59" xml:space="preserve"> G9/D9</f>
        <v>0.9843225083986562</v>
      </c>
      <c r="K9" s="33">
        <f t="shared" ref="K9" si="60" xml:space="preserve"> H9/D9</f>
        <v>0.83874580067189253</v>
      </c>
      <c r="L9" s="59">
        <v>91.5</v>
      </c>
      <c r="M9" s="58">
        <f>_ReleaseData!$Q$26</f>
        <v>75</v>
      </c>
      <c r="N9" s="40">
        <v>91.5</v>
      </c>
      <c r="O9" s="40">
        <v>91.5</v>
      </c>
      <c r="P9" s="40">
        <f t="shared" ref="P9" si="61">L9-Q9</f>
        <v>91.5</v>
      </c>
      <c r="Q9" s="40">
        <v>0</v>
      </c>
      <c r="R9" s="33">
        <f t="shared" ref="R9" si="62" xml:space="preserve"> O9/L9</f>
        <v>1</v>
      </c>
      <c r="S9" s="33">
        <f t="shared" ref="S9" si="63" xml:space="preserve"> P9/L9</f>
        <v>1</v>
      </c>
      <c r="T9" s="57">
        <v>190.5</v>
      </c>
      <c r="U9" s="58">
        <f>_ReleaseData!$Q$27</f>
        <v>175</v>
      </c>
      <c r="V9" s="40">
        <v>190.5</v>
      </c>
      <c r="W9" s="40">
        <v>190.5</v>
      </c>
      <c r="X9" s="40">
        <f t="shared" ref="X9" si="64">T9-Y9</f>
        <v>179.5</v>
      </c>
      <c r="Y9" s="40">
        <v>11</v>
      </c>
      <c r="Z9" s="33">
        <f t="shared" ref="Z9" si="65" xml:space="preserve"> W9/T9</f>
        <v>1</v>
      </c>
      <c r="AA9" s="33">
        <f t="shared" ref="AA9" si="66">X9/T9</f>
        <v>0.94225721784776906</v>
      </c>
      <c r="AB9" s="57">
        <v>41</v>
      </c>
      <c r="AC9" s="58">
        <f>_ReleaseData!$Q$28</f>
        <v>55</v>
      </c>
      <c r="AD9" s="40">
        <v>41</v>
      </c>
      <c r="AE9" s="40">
        <v>41</v>
      </c>
      <c r="AF9" s="40">
        <f t="shared" ref="AF9" si="67">AB9-AG9</f>
        <v>41</v>
      </c>
      <c r="AG9" s="40">
        <v>0</v>
      </c>
      <c r="AH9" s="33">
        <f t="shared" ref="AH9" si="68" xml:space="preserve"> AE9/AB9</f>
        <v>1</v>
      </c>
      <c r="AI9" s="33">
        <f t="shared" ref="AI9" si="69">AF9/AB9</f>
        <v>1</v>
      </c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>
        <f>GETPIVOTDATA("Epic Total Estimate", $AL$8, "Type", "Epic")</f>
        <v>2000.125</v>
      </c>
      <c r="E10" s="58">
        <f>_ReleaseData!$Q$25</f>
        <v>420</v>
      </c>
      <c r="F10" s="40">
        <f>GETPIVOTDATA("Stories Estimate", $AL$8, "Type", "Epic")</f>
        <v>0</v>
      </c>
      <c r="G10" s="40">
        <f>GETPIVOTDATA("Epic Decomposed", $AL$8, "Type", "Epic")</f>
        <v>540</v>
      </c>
      <c r="H10" s="40">
        <f t="shared" ref="H10" si="70">D10-I10</f>
        <v>1550.125</v>
      </c>
      <c r="I10" s="40">
        <f>GETPIVOTDATA("Epic Remaining Estimate", $AL$8, "Type", "Epic")</f>
        <v>450</v>
      </c>
      <c r="J10" s="33">
        <f t="shared" ref="J10" si="71" xml:space="preserve"> G10/D10</f>
        <v>0.2699831260546216</v>
      </c>
      <c r="K10" s="33">
        <f t="shared" ref="K10" si="72" xml:space="preserve"> H10/D10</f>
        <v>0.77501406162114872</v>
      </c>
      <c r="L10" s="59">
        <f>GETPIVOTDATA("Epic Total Estimate", $AL$8, "Type", "Epic", "ST:Components", "Reuse")</f>
        <v>200</v>
      </c>
      <c r="M10" s="58">
        <f>_ReleaseData!$Q$26</f>
        <v>75</v>
      </c>
      <c r="N10" s="40">
        <f>GETPIVOTDATA("Stories Estimate", $AL$8, "Type", "Epic", "ST:Components", "Reuse")</f>
        <v>0</v>
      </c>
      <c r="O10" s="40">
        <f>GETPIVOTDATA("Epic Decomposed", $AL$8, "Type", "Epic", "ST:Components", "Reuse")</f>
        <v>180</v>
      </c>
      <c r="P10" s="40">
        <f t="shared" ref="P10" si="73">L10-Q10</f>
        <v>50</v>
      </c>
      <c r="Q10" s="40">
        <f>GETPIVOTDATA("Epic Remaining Estimate", $AL$8, "Type", "Epic", "ST:Components", "Reuse")</f>
        <v>150</v>
      </c>
      <c r="R10" s="33">
        <f t="shared" ref="R10" si="74" xml:space="preserve"> O10/L10</f>
        <v>0.9</v>
      </c>
      <c r="S10" s="33">
        <f t="shared" ref="S10" si="75" xml:space="preserve"> P10/L10</f>
        <v>0.25</v>
      </c>
      <c r="T10" s="57">
        <f>GETPIVOTDATA("Epic Total Estimate", $AL$8, "Type", "Epic", "ST:Components", "Glossary")</f>
        <v>200</v>
      </c>
      <c r="U10" s="58">
        <f>_ReleaseData!$Q$27</f>
        <v>175</v>
      </c>
      <c r="V10" s="40">
        <f>GETPIVOTDATA("Stories Estimate", $AL$8, "Type", "Epic", "ST:Components", "Glossary")</f>
        <v>0</v>
      </c>
      <c r="W10" s="40">
        <f>GETPIVOTDATA("Epic Decomposed", $AL$8, "Type", "Epic", "ST:Components", "Glossary")</f>
        <v>180</v>
      </c>
      <c r="X10" s="40">
        <f t="shared" ref="X10" si="76">T10-Y10</f>
        <v>50</v>
      </c>
      <c r="Y10" s="40">
        <f>GETPIVOTDATA("Epic Remaining Estimate", $AL$8, "Type", "Epic", "ST:Components", "Glossary")</f>
        <v>150</v>
      </c>
      <c r="Z10" s="33">
        <f t="shared" ref="Z10" si="77" xml:space="preserve"> W10/T10</f>
        <v>0.9</v>
      </c>
      <c r="AA10" s="33">
        <f t="shared" ref="AA10" si="78">X10/T10</f>
        <v>0.25</v>
      </c>
      <c r="AB10" s="57">
        <f>GETPIVOTDATA("Epic Total Estimate", $AL$8, "Type", "Epic", "ST:Components", "Doc Gen")</f>
        <v>200</v>
      </c>
      <c r="AC10" s="58">
        <f>_ReleaseData!$Q$28</f>
        <v>55</v>
      </c>
      <c r="AD10" s="40">
        <f>GETPIVOTDATA("Stories Estimate", $AL$8, "Type", "Epic", "ST:Components", "Doc Gen")</f>
        <v>0</v>
      </c>
      <c r="AE10" s="40">
        <f>GETPIVOTDATA("Epic Decomposed", $AL$8, "Type", "Epic", "ST:Components", "Doc Gen")</f>
        <v>180</v>
      </c>
      <c r="AF10" s="40">
        <f t="shared" ref="AF10" si="79">AB10-AG10</f>
        <v>50</v>
      </c>
      <c r="AG10" s="40">
        <f>GETPIVOTDATA("Epic Remaining Estimate", $AL$8, "Type", "Epic", "ST:Components", "Doc Gen")</f>
        <v>150</v>
      </c>
      <c r="AH10" s="33">
        <f t="shared" ref="AH10" si="80" xml:space="preserve"> AE10/AB10</f>
        <v>0.9</v>
      </c>
      <c r="AI10" s="33">
        <f t="shared" ref="AI10" si="81">AF10/AB10</f>
        <v>0.25</v>
      </c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v>60</v>
      </c>
      <c r="D18" s="20">
        <v>119</v>
      </c>
    </row>
    <row r="19" spans="2:4" x14ac:dyDescent="0.45">
      <c r="B19" t="s">
        <v>272</v>
      </c>
      <c r="C19" s="20">
        <v>35</v>
      </c>
      <c r="D19" s="20">
        <v>61</v>
      </c>
    </row>
    <row r="20" spans="2:4" x14ac:dyDescent="0.45">
      <c r="B20" t="s">
        <v>273</v>
      </c>
      <c r="C20" s="20">
        <v>18</v>
      </c>
      <c r="D20" s="20">
        <v>44</v>
      </c>
    </row>
    <row r="21" spans="2:4" x14ac:dyDescent="0.45">
      <c r="B21" t="s">
        <v>274</v>
      </c>
      <c r="C21" s="20">
        <v>199</v>
      </c>
      <c r="D21" s="20">
        <v>25</v>
      </c>
    </row>
    <row r="22" spans="2:4" x14ac:dyDescent="0.45">
      <c r="B22" t="s">
        <v>275</v>
      </c>
      <c r="C22" s="20">
        <f>GETPIVOTDATA("Epic Not Decomposed Estimate",$B$3)</f>
        <v>1460.125</v>
      </c>
      <c r="D22" s="20">
        <f>GETPIVOTDATA("Story Points",$G$5)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2019-07-17T11:28:15Z</dcterms:modified>
</cp:coreProperties>
</file>