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23.xml" ContentType="application/vnd.openxmlformats-officedocument.spreadsheetml.pivotTable+xml"/>
  <Override PartName="/xl/drawings/drawing2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73BA4DBA-3202-4A07-8237-0BCFD2122A50}" xr6:coauthVersionLast="45" xr6:coauthVersionMax="45" xr10:uidLastSave="{00000000-0000-0000-0000-000000000000}"/>
  <bookViews>
    <workbookView xWindow="-108" yWindow="-108" windowWidth="23256" windowHeight="12576" tabRatio="741" firstSheet="7" activeTab="19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r:id="rId15"/>
    <sheet name="Bugs" sheetId="13" r:id="rId16"/>
    <sheet name="_BugsData" sheetId="14" r:id="rId17"/>
    <sheet name="Issues" sheetId="2" r:id="rId18"/>
    <sheet name="Sheet (Epic)" sheetId="29" r:id="rId19"/>
    <sheet name="Sheet (Story)" sheetId="30" r:id="rId20"/>
    <sheet name="Notes" sheetId="25" state="hidden" r:id="rId21"/>
  </sheets>
  <definedNames>
    <definedName name="_xlnm._FilterDatabase" localSheetId="17" hidden="1">Issues!$AF$40:$AH$46</definedName>
    <definedName name="issues">OFFSET(Issues!$A$1,0,0,COUNTA(Issues!$A$1:$A$10008),COUNTA(Issues!$A$1:$AAX$1) - 1)</definedName>
    <definedName name="Table10" localSheetId="3">Table15[Stabilization and Holidays]</definedName>
    <definedName name="Table10" localSheetId="4">Table15[Stabilization and Holidays]</definedName>
    <definedName name="Table10" localSheetId="19">Table15[Stabilization and Holidays]</definedName>
    <definedName name="Table10">Table15[Stabilization and Holidays]</definedName>
  </definedNames>
  <calcPr calcId="191029"/>
  <pivotCaches>
    <pivotCache cacheId="16" r:id="rId22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0" l="1"/>
  <c r="D4" i="30" s="1"/>
  <c r="F6" i="30"/>
  <c r="G6" i="30"/>
  <c r="E6" i="30"/>
  <c r="I6" i="30"/>
  <c r="H6" i="30" l="1"/>
  <c r="H5" i="30"/>
  <c r="D5" i="30"/>
  <c r="C5" i="30"/>
  <c r="C4" i="30"/>
  <c r="I4" i="29"/>
  <c r="C6" i="30" l="1"/>
  <c r="D6" i="30"/>
  <c r="A115" i="2"/>
  <c r="A114" i="2"/>
  <c r="A113" i="2"/>
  <c r="A112" i="2"/>
  <c r="A111" i="2"/>
  <c r="G5" i="29"/>
  <c r="J5" i="29"/>
  <c r="E5" i="29"/>
  <c r="F5" i="29"/>
  <c r="H5" i="29"/>
  <c r="D7" i="30" l="1"/>
  <c r="C7" i="30"/>
  <c r="I5" i="29"/>
  <c r="D8" i="30" l="1"/>
  <c r="C8" i="30"/>
  <c r="D3" i="29"/>
  <c r="C4" i="29" s="1"/>
  <c r="D4" i="29" l="1"/>
  <c r="AS9" i="26"/>
  <c r="E8" i="26"/>
  <c r="AC9" i="26"/>
  <c r="U9" i="26"/>
  <c r="M9" i="26"/>
  <c r="E9" i="26"/>
  <c r="Y9" i="26"/>
  <c r="AE9" i="26"/>
  <c r="W9" i="26"/>
  <c r="Q9" i="26"/>
  <c r="AD9" i="26"/>
  <c r="V9" i="26"/>
  <c r="O9" i="26"/>
  <c r="C21" i="24"/>
  <c r="D9" i="26"/>
  <c r="L9" i="26"/>
  <c r="D21" i="24"/>
  <c r="AG9" i="26"/>
  <c r="T9" i="26"/>
  <c r="AT9" i="26"/>
  <c r="N9" i="26"/>
  <c r="AB9" i="26"/>
  <c r="AU9" i="26"/>
  <c r="AR9" i="26"/>
  <c r="G9" i="26"/>
  <c r="I9" i="26"/>
  <c r="AW9" i="26"/>
  <c r="F9" i="26"/>
  <c r="C5" i="29" l="1"/>
  <c r="D5" i="29"/>
  <c r="AV9" i="26"/>
  <c r="AY9" i="26" s="1"/>
  <c r="AX9" i="26"/>
  <c r="Z9" i="26"/>
  <c r="R9" i="26"/>
  <c r="H9" i="26"/>
  <c r="K9" i="26" s="1"/>
  <c r="AF9" i="26"/>
  <c r="AI9" i="26" s="1"/>
  <c r="J9" i="26"/>
  <c r="AH9" i="26"/>
  <c r="X9" i="26"/>
  <c r="AA9" i="26" s="1"/>
  <c r="P9" i="26"/>
  <c r="S9" i="26" s="1"/>
  <c r="AS8" i="26"/>
  <c r="AC8" i="26"/>
  <c r="U8" i="26"/>
  <c r="M8" i="26"/>
  <c r="M7" i="26"/>
  <c r="Q7" i="9"/>
  <c r="X9" i="9"/>
  <c r="V9" i="9"/>
  <c r="AI9" i="9"/>
  <c r="T9" i="9"/>
  <c r="O9" i="9"/>
  <c r="AG9" i="9"/>
  <c r="N9" i="9"/>
  <c r="P9" i="9"/>
  <c r="M9" i="9"/>
  <c r="R9" i="9"/>
  <c r="C6" i="29" l="1"/>
  <c r="D6" i="29"/>
  <c r="AX8" i="26"/>
  <c r="AV8" i="26"/>
  <c r="AY8" i="26" s="1"/>
  <c r="J8" i="26"/>
  <c r="AH8" i="26"/>
  <c r="P8" i="26"/>
  <c r="S8" i="26" s="1"/>
  <c r="H8" i="26"/>
  <c r="K8" i="26" s="1"/>
  <c r="AF8" i="26"/>
  <c r="AI8" i="26" s="1"/>
  <c r="X8" i="26"/>
  <c r="AA8" i="26" s="1"/>
  <c r="Z8" i="26"/>
  <c r="R8" i="26"/>
  <c r="AS6" i="26"/>
  <c r="AS7" i="26"/>
  <c r="AC7" i="26"/>
  <c r="U7" i="26"/>
  <c r="E7" i="26"/>
  <c r="C7" i="29" l="1"/>
  <c r="D7" i="29"/>
  <c r="AX7" i="26"/>
  <c r="AV7" i="26"/>
  <c r="AY7" i="26" s="1"/>
  <c r="J7" i="26"/>
  <c r="X7" i="26"/>
  <c r="AA7" i="26" s="1"/>
  <c r="AH7" i="26"/>
  <c r="P7" i="26"/>
  <c r="S7" i="26" s="1"/>
  <c r="Z7" i="26"/>
  <c r="R7" i="26"/>
  <c r="H7" i="26"/>
  <c r="K7" i="26" s="1"/>
  <c r="AF7" i="26"/>
  <c r="AI7" i="26" s="1"/>
  <c r="D8" i="29" l="1"/>
  <c r="C8" i="29"/>
  <c r="AH9" i="9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C6" i="26" l="1"/>
  <c r="U6" i="26"/>
  <c r="M6" i="26"/>
  <c r="E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AS5" i="26" l="1"/>
  <c r="AC5" i="26"/>
  <c r="U5" i="26"/>
  <c r="M5" i="26"/>
  <c r="E5" i="26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AX4" i="26" l="1"/>
  <c r="AV4" i="26"/>
  <c r="AY4" i="26" s="1"/>
  <c r="AH7" i="9"/>
  <c r="AH6" i="9"/>
  <c r="AH5" i="9"/>
  <c r="AH4" i="9"/>
  <c r="AH3" i="9"/>
  <c r="AG21" i="9"/>
  <c r="B18" i="9"/>
  <c r="B14" i="9"/>
  <c r="H49" i="14" l="1"/>
  <c r="G49" i="14"/>
  <c r="F49" i="14"/>
  <c r="E49" i="14"/>
  <c r="D49" i="14"/>
  <c r="C49" i="14"/>
  <c r="B6" i="9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H48" i="14" l="1"/>
  <c r="G48" i="14"/>
  <c r="F48" i="14"/>
  <c r="E48" i="14"/>
  <c r="D48" i="14"/>
  <c r="C48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E15" i="12"/>
  <c r="C18" i="14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<sst xmlns="http://schemas.openxmlformats.org/spreadsheetml/2006/main" count="1224" uniqueCount="321">
  <si>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</si>
  <si>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</si>
  <si>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</si>
  <si>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</si>
  <si>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</si>
  <si>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</si>
  <si>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</si>
  <si>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</si>
  <si>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</si>
  <si>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</si>
  <si>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</si>
  <si>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</si>
  <si>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</si>
  <si>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</si>
  <si>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</si>
  <si>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</si>
  <si>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</si>
  <si>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</si>
  <si>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</si>
  <si>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</si>
  <si>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</si>
  <si>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</si>
  <si>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</si>
  <si>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</si>
  <si>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</si>
  <si>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</si>
  <si>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</si>
  <si>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</si>
  <si>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</si>
  <si>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</si>
  <si>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</si>
  <si>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</si>
  <si>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</si>
  <si>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</si>
  <si>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</si>
  <si>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</si>
  <si>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</si>
  <si>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</si>
  <si>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</si>
  <si>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</si>
  <si>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</si>
  <si>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</si>
  <si>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</si>
  <si>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</si>
  <si>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</si>
  <si>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</si>
  <si>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</si>
  <si>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</si>
  <si>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</si>
  <si>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</si>
  <si>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</si>
  <si>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</si>
  <si>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</si>
  <si>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</si>
  <si>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</si>
  <si>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</si>
  <si>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</si>
  <si>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</si>
  <si>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</si>
  <si>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</si>
  <si>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</si>
  <si>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</si>
  <si>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</si>
  <si>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</si>
  <si>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</si>
  <si>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</si>
  <si>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</si>
  <si>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</si>
  <si>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</si>
  <si>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</si>
  <si>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</si>
  <si>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</si>
  <si>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</si>
  <si>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</si>
  <si>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</si>
  <si>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</si>
  <si>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</si>
  <si>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</si>
  <si>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</si>
  <si>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</si>
  <si>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</si>
  <si>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</si>
  <si>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</si>
  <si>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</si>
  <si>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</si>
  <si>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</si>
  <si>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</si>
  <si>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</si>
  <si>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</si>
  <si>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</si>
  <si>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</si>
  <si>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</si>
  <si>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</si>
  <si>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</si>
  <si>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</si>
  <si>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</si>
  <si>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</si>
  <si>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</si>
  <si>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</si>
  <si>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</si>
  <si>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</si>
  <si>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</si>
  <si>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</si>
  <si>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</si>
  <si>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</si>
  <si>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</si>
  <si>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</si>
  <si>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</si>
  <si>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</si>
  <si>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</si>
  <si>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</si>
  <si>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</si>
  <si>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</si>
  <si>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</si>
  <si>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</si>
  <si>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</si>
  <si>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</si>
  <si>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</si>
  <si>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</si>
  <si>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</si>
  <si>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</si>
  <si>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</si>
  <si>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</si>
  <si>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</si>
  <si>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</si>
  <si>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</si>
  <si>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</si>
  <si>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</si>
  <si>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</si>
  <si>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</si>
  <si>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</si>
  <si>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</si>
  <si>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</si>
  <si>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</si>
  <si>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</si>
  <si>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</si>
  <si>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</si>
  <si>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</si>
  <si>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</si>
  <si>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</si>
  <si>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</si>
  <si>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</si>
  <si>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</si>
  <si>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</si>
  <si>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</si>
  <si>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</si>
  <si>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</si>
  <si>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</si>
  <si>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</si>
  <si>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</si>
  <si>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</si>
  <si>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</si>
  <si>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</si>
  <si>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</si>
  <si>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</si>
  <si>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</si>
  <si>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</si>
  <si>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</si>
  <si>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</si>
  <si>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</si>
  <si>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</si>
  <si>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</si>
  <si>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</si>
  <si>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</si>
  <si>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</si>
  <si>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</si>
  <si>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</si>
  <si>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</si>
  <si>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</si>
  <si>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</si>
  <si>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</si>
  <si>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</si>
  <si>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</si>
  <si>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</si>
  <si>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</si>
  <si>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</si>
  <si>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</si>
  <si>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</si>
  <si>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</si>
  <si>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</si>
  <si>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</si>
  <si>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</si>
  <si>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</si>
  <si>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</si>
  <si>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</si>
  <si>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</si>
  <si>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</si>
  <si>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</si>
  <si>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</si>
  <si>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</si>
  <si>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</si>
  <si>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</si>
  <si>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</si>
  <si>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</si>
  <si>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</si>
  <si>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</si>
  <si>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</si>
  <si>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</si>
  <si>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</si>
  <si>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</si>
  <si>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</si>
  <si>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</si>
  <si>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</si>
  <si>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</si>
  <si>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</si>
  <si>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</si>
  <si>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</si>
  <si>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</si>
  <si>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</si>
  <si>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</si>
  <si>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</si>
  <si>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</si>
  <si>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</si>
  <si>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</si>
  <si>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</si>
  <si>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</si>
  <si>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</si>
  <si>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</si>
  <si>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</si>
  <si>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</si>
  <si>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</si>
  <si>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</si>
  <si>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</si>
  <si>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</si>
  <si>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</si>
  <si>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</si>
  <si>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</si>
  <si>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</si>
  <si>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</si>
  <si>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</si>
  <si>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</si>
  <si>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</si>
  <si>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</si>
  <si>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</si>
  <si>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</si>
  <si>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</si>
  <si>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</si>
  <si>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</si>
  <si>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</si>
  <si>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</si>
  <si>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</si>
  <si>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</si>
  <si>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</si>
  <si>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</si>
  <si>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</si>
  <si>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</si>
  <si>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</si>
  <si>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</si>
  <si>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</si>
  <si>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</si>
  <si>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</si>
  <si>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</si>
  <si>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</si>
  <si>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</si>
  <si>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Release Component</t>
  </si>
  <si>
    <t>X1</t>
  </si>
  <si>
    <t>X2</t>
  </si>
  <si>
    <t>X3</t>
  </si>
  <si>
    <t>X4</t>
  </si>
  <si>
    <t>X5</t>
  </si>
  <si>
    <t>Blue Prism Integration</t>
  </si>
  <si>
    <t>Automation Anywhere Integration</t>
  </si>
  <si>
    <t>MS Power Automate Integration</t>
  </si>
  <si>
    <t>Release, Admin, Blue Prism Integration</t>
  </si>
  <si>
    <t>BluePrism Integration</t>
  </si>
  <si>
    <t>Microsoft Power Automate Integration</t>
  </si>
  <si>
    <t>Time Elapsed Automation Anywhere Integration</t>
  </si>
  <si>
    <t>X6</t>
  </si>
  <si>
    <r>
      <t xml:space="preserve">* Change in </t>
    </r>
    <r>
      <rPr>
        <b/>
        <sz val="11"/>
        <color theme="1"/>
        <rFont val="Calibri"/>
        <family val="2"/>
        <scheme val="minor"/>
      </rPr>
      <t>AE:30-37 Last Sprint</t>
    </r>
    <r>
      <rPr>
        <sz val="11"/>
        <color theme="1"/>
        <rFont val="Calibri"/>
        <family val="2"/>
        <scheme val="minor"/>
      </rPr>
      <t xml:space="preserve"> to the current sprint </t>
    </r>
  </si>
  <si>
    <t>${bpHelper.isInBacklogHealth(issue)}</t>
  </si>
  <si>
    <t>Quality Score</t>
  </si>
  <si>
    <t>A1</t>
  </si>
  <si>
    <t>A2</t>
  </si>
  <si>
    <t>Austin1</t>
  </si>
  <si>
    <t>Austin2</t>
  </si>
  <si>
    <t>Austin3</t>
  </si>
  <si>
    <t>Austin4</t>
  </si>
  <si>
    <t>Austin5</t>
  </si>
  <si>
    <t>Austin6</t>
  </si>
  <si>
    <t>A3</t>
  </si>
  <si>
    <t>A4</t>
  </si>
  <si>
    <t>A5</t>
  </si>
  <si>
    <t>A6</t>
  </si>
  <si>
    <t>Progress</t>
  </si>
  <si>
    <t>Epic Decompsed</t>
  </si>
  <si>
    <t>Remaining</t>
  </si>
  <si>
    <t>Admin - Active Directory &amp; Federated Authentication Settings</t>
  </si>
  <si>
    <t>Impact Analysis</t>
  </si>
  <si>
    <t>Installer</t>
  </si>
  <si>
    <t>Tech Improvements</t>
  </si>
  <si>
    <t>??Admin</t>
  </si>
  <si>
    <t>??Admin - Active Directory &amp; Federated Authentication Settings</t>
  </si>
  <si>
    <t>??Impact Analysis</t>
  </si>
  <si>
    <t>??Installer</t>
  </si>
  <si>
    <t>??Tech Improvements</t>
  </si>
  <si>
    <t>${bpHelper.isStoryDecopmosed(issue)}</t>
  </si>
  <si>
    <t>Story Decomposed SP</t>
  </si>
  <si>
    <t>Story Remaining SP</t>
  </si>
  <si>
    <t>$[IF(AX2="Yes", N2, IF(AX2="No",0,""))]</t>
  </si>
  <si>
    <t>${fieldHelper.getFieldValueByName(issue, "Quality Score")}</t>
  </si>
  <si>
    <t>Decomposed</t>
  </si>
  <si>
    <t>Sum of Story Decomposed SP</t>
  </si>
  <si>
    <t>Sum of Story Remaining SP</t>
  </si>
  <si>
    <t>Admn</t>
  </si>
  <si>
    <t>Active in Release #</t>
  </si>
  <si>
    <t>$[IF(E2="Story: Done",0,IF(OR(B2="Story",B2="Spike"), N2, ""))]</t>
  </si>
  <si>
    <t>AA Migration Demo PoC</t>
  </si>
  <si>
    <t>Digital Blueprint Licensing</t>
  </si>
  <si>
    <t>New Impact Analysis</t>
  </si>
  <si>
    <t>Import/Export Projects MVP</t>
  </si>
  <si>
    <t>AD and FA Settings</t>
  </si>
  <si>
    <t>Convert Custom Properties to Standard</t>
  </si>
  <si>
    <t>Pre-Loaded Instance Configuration</t>
  </si>
  <si>
    <t>Dropping SQL Server 2012</t>
  </si>
  <si>
    <t>${bpHelper.getReleaseComponent(issue)}&lt;/jt:forEach&gt;</t>
  </si>
  <si>
    <t>${bpHelper.getReleaseComponent(issue)}</t>
  </si>
  <si>
    <t>Release Component New</t>
  </si>
  <si>
    <t>Egypt (12.6)</t>
  </si>
  <si>
    <t>&lt;mt:execute script="field-helper-tool.groovy"/&gt;&lt;mt:execute script="blueprint-helper.groovy"/&gt;&lt;mt:execute script="blueprint-fiji-dashboard-helper.groovy"/&gt;</t>
  </si>
  <si>
    <t>Fiji (12.7)</t>
  </si>
  <si>
    <t>$[SUBSTITUTE(SUBSTITUTE(AE2, "iji", ""), "gypt", "")]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</si>
</sst>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3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4" xfId="0" applyNumberFormat="1" applyBorder="1"/>
    <xf numFmtId="9" fontId="0" fillId="0" borderId="22" xfId="0" applyNumberFormat="1" applyBorder="1"/>
    <xf numFmtId="0" fontId="14" fillId="0" borderId="0" xfId="0" applyFont="1"/>
    <xf numFmtId="0" fontId="6" fillId="0" borderId="25" xfId="0" applyFont="1" applyBorder="1"/>
    <xf numFmtId="0" fontId="6" fillId="0" borderId="25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  <xf numFmtId="0" fontId="15" fillId="0" borderId="0" xfId="0" applyFont="1"/>
    <xf numFmtId="167" fontId="2" fillId="0" borderId="0" xfId="0" applyNumberFormat="1" applyFont="1" applyAlignment="1">
      <alignment vertical="top"/>
    </xf>
    <xf numFmtId="0" fontId="0" fillId="0" borderId="0" xfId="0" applyAlignment="1">
      <alignment horizontal="left" indent="2"/>
    </xf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6.2241379310344831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0.87</c:v>
                </c:pt>
                <c:pt idx="4">
                  <c:v>0.97</c:v>
                </c:pt>
                <c:pt idx="5">
                  <c:v>0.98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14</c:v>
                </c:pt>
                <c:pt idx="4">
                  <c:v>3.5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95.5</c:v>
                </c:pt>
                <c:pt idx="4">
                  <c:v>110</c:v>
                </c:pt>
                <c:pt idx="5">
                  <c:v>94.5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6.2241379310344831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0.79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6.2241379310344831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0.79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106.6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84.5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[Fiji-Dashboard.xlsx]_ReleaseData!PivotTable6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36</c:v>
                </c:pt>
                <c:pt idx="4">
                  <c:v>37.5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6.2241379310344831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0.63</c:v>
                </c:pt>
                <c:pt idx="4">
                  <c:v>0.75</c:v>
                </c:pt>
                <c:pt idx="5">
                  <c:v>0.89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89.5</c:v>
                </c:pt>
                <c:pt idx="3">
                  <c:v>128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107</c:v>
                </c:pt>
                <c:pt idx="3">
                  <c:v>144</c:v>
                </c:pt>
                <c:pt idx="4">
                  <c:v>145.5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_TeamBacklogData!$A$7:$A$8</c:f>
              <c:strCache>
                <c:ptCount val="1"/>
                <c:pt idx="0">
                  <c:v>Ready</c:v>
                </c:pt>
              </c:strCache>
            </c:strRef>
          </c:cat>
          <c:val>
            <c:numRef>
              <c:f>_TeamBacklogData!$B$7:$B$8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Austin3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2"/>
                <c:pt idx="0">
                  <c:v>In Dev</c:v>
                </c:pt>
                <c:pt idx="1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11.4 Bugs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[Fiji-Dashboard.xlsx]_BugsData!PivotTable9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Bugs in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83-4B1B-8777-398606B4D6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83-4B1B-8777-398606B4D6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83-4B1B-8777-398606B4D6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83-4B1B-8777-398606B4D6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83-4B1B-8777-398606B4D6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_BugsData!$B$29:$B$34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_BugsData!$C$29:$C$34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783-4B1B-8777-398606B4D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01685439"/>
        <c:axId val="689212447"/>
      </c:barChart>
      <c:catAx>
        <c:axId val="901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12447"/>
        <c:crosses val="autoZero"/>
        <c:auto val="1"/>
        <c:lblAlgn val="ctr"/>
        <c:lblOffset val="100"/>
        <c:noMultiLvlLbl val="0"/>
      </c:catAx>
      <c:valAx>
        <c:axId val="689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85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(Epic)'!$E$4:$E$8</c:f>
              <c:numCache>
                <c:formatCode>0%</c:formatCode>
                <c:ptCount val="5"/>
                <c:pt idx="0">
                  <c:v>0</c:v>
                </c:pt>
                <c:pt idx="1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9-4BA3-ACBD-51D442E2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(Epic)'!$F$4:$F$8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2-4122-8BD4-17667374CC01}"/>
            </c:ext>
          </c:extLst>
        </c:ser>
        <c:ser>
          <c:idx val="1"/>
          <c:order val="1"/>
          <c:tx>
            <c:v>Epic Decomposed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(Epic)'!$G$4:$G$8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122-8BD4-17667374CC01}"/>
            </c:ext>
          </c:extLst>
        </c:ser>
        <c:ser>
          <c:idx val="2"/>
          <c:order val="2"/>
          <c:tx>
            <c:v>Srory Decomposed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(Epic)'!$H$4:$H$8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122-8BD4-17667374CC01}"/>
            </c:ext>
          </c:extLst>
        </c:ser>
        <c:ser>
          <c:idx val="4"/>
          <c:order val="3"/>
          <c:tx>
            <c:v>Completed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(Epic)'!$I$4:$I$8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122-8BD4-17667374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(Story)'!$E$5:$E$8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F-40C1-975C-6D53996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'Sheet (Story)'!$H$2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(Story)'!$F$5:$F$8</c:f>
              <c:numCache>
                <c:formatCode>0.00</c:formatCode>
                <c:ptCount val="4"/>
                <c:pt idx="0">
                  <c:v>0</c:v>
                </c:pt>
                <c:pt idx="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919-AC06-A2B6DA4DD92B}"/>
            </c:ext>
          </c:extLst>
        </c:ser>
        <c:ser>
          <c:idx val="2"/>
          <c:order val="1"/>
          <c:tx>
            <c:strRef>
              <c:f>'Sheet (Story)'!$G$2</c:f>
              <c:strCache>
                <c:ptCount val="1"/>
                <c:pt idx="0">
                  <c:v>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(Story)'!$G$5:$G$8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4919-AC06-A2B6DA4DD92B}"/>
            </c:ext>
          </c:extLst>
        </c:ser>
        <c:ser>
          <c:idx val="4"/>
          <c:order val="2"/>
          <c:tx>
            <c:strRef>
              <c:f>'Sheet (Story)'!$F$2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(Story)'!$H$5:$H$8</c:f>
              <c:numCache>
                <c:formatCode>0.00</c:formatCode>
                <c:ptCount val="4"/>
                <c:pt idx="0">
                  <c:v>0</c:v>
                </c:pt>
                <c:pt idx="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4919-AC06-A2B6DA4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_ReleaseData!$A$55:$A$56</c:f>
              <c:strCache>
                <c:ptCount val="1"/>
                <c:pt idx="0">
                  <c:v>Blue Prism Integration</c:v>
                </c:pt>
              </c:strCache>
            </c:strRef>
          </c:cat>
          <c:val>
            <c:numRef>
              <c:f>_ReleaseData!$B$55:$B$56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173.3</c:v>
                </c:pt>
                <c:pt idx="4">
                  <c:v>124</c:v>
                </c:pt>
                <c:pt idx="5">
                  <c:v>51.5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472.9</c:v>
                </c:pt>
                <c:pt idx="4">
                  <c:v>500.9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472.9</c:v>
                </c:pt>
                <c:pt idx="4">
                  <c:v>509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447.4</c:v>
                </c:pt>
                <c:pt idx="4">
                  <c:v>489.9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299.59999999999997</c:v>
                </c:pt>
                <c:pt idx="4">
                  <c:v>376.9</c:v>
                </c:pt>
                <c:pt idx="5">
                  <c:v>401.4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[Fiji-Dashboard.xlsx]_ReleaseData!PivotTable11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6.2241379310344831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622%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#REF!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622%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622%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2</xdr:row>
      <xdr:rowOff>167640</xdr:rowOff>
    </xdr:from>
    <xdr:to>
      <xdr:col>19</xdr:col>
      <xdr:colOff>71628</xdr:colOff>
      <xdr:row>25</xdr:row>
      <xdr:rowOff>28956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85CA59-0A9F-4954-BB09-752A65EB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10</xdr:row>
      <xdr:rowOff>175260</xdr:rowOff>
    </xdr:from>
    <xdr:to>
      <xdr:col>7</xdr:col>
      <xdr:colOff>76200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98C1F-7DB8-4C6E-B5C0-DA6FAC4C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13</xdr:row>
      <xdr:rowOff>99060</xdr:rowOff>
    </xdr:from>
    <xdr:to>
      <xdr:col>6</xdr:col>
      <xdr:colOff>563880</xdr:colOff>
      <xdr:row>24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CD5B94-47B3-43B1-85A1-14BE11C084D0}"/>
            </a:ext>
          </a:extLst>
        </xdr:cNvPr>
        <xdr:cNvCxnSpPr/>
      </xdr:nvCxnSpPr>
      <xdr:spPr>
        <a:xfrm flipH="1" flipV="1">
          <a:off x="4983480" y="2476500"/>
          <a:ext cx="7620" cy="198120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434340</xdr:colOff>
      <xdr:row>11</xdr:row>
      <xdr:rowOff>0</xdr:rowOff>
    </xdr:from>
    <xdr:to>
      <xdr:col>13</xdr:col>
      <xdr:colOff>7620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3B8F49-CB4B-4A40-94E0-BEC6AB32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13</xdr:row>
      <xdr:rowOff>121920</xdr:rowOff>
    </xdr:from>
    <xdr:to>
      <xdr:col>12</xdr:col>
      <xdr:colOff>60960</xdr:colOff>
      <xdr:row>22</xdr:row>
      <xdr:rowOff>129540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246226F-F468-4B4E-8AA1-DE06731B9CDA}"/>
            </a:ext>
          </a:extLst>
        </xdr:cNvPr>
        <xdr:cNvCxnSpPr/>
      </xdr:nvCxnSpPr>
      <xdr:spPr>
        <a:xfrm flipV="1">
          <a:off x="991362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10</xdr:row>
      <xdr:rowOff>167640</xdr:rowOff>
    </xdr:from>
    <xdr:to>
      <xdr:col>6</xdr:col>
      <xdr:colOff>746760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0762C-3369-48BA-AFFE-13D352BED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1203960</xdr:colOff>
      <xdr:row>11</xdr:row>
      <xdr:rowOff>0</xdr:rowOff>
    </xdr:from>
    <xdr:to>
      <xdr:col>13</xdr:col>
      <xdr:colOff>167640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75DB4-6127-4E31-B5B4-4925D4A6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13</xdr:row>
      <xdr:rowOff>121920</xdr:rowOff>
    </xdr:from>
    <xdr:to>
      <xdr:col>12</xdr:col>
      <xdr:colOff>121920</xdr:colOff>
      <xdr:row>22</xdr:row>
      <xdr:rowOff>129540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459BC3-938E-45FC-A1AA-66667081DA63}"/>
            </a:ext>
          </a:extLst>
        </xdr:cNvPr>
        <xdr:cNvCxnSpPr/>
      </xdr:nvCxnSpPr>
      <xdr:spPr>
        <a:xfrm flipV="1">
          <a:off x="954024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13</xdr:row>
      <xdr:rowOff>99060</xdr:rowOff>
    </xdr:from>
    <xdr:to>
      <xdr:col>6</xdr:col>
      <xdr:colOff>114300</xdr:colOff>
      <xdr:row>24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EBED4B4-44B8-4507-8075-4E69C4935291}"/>
            </a:ext>
          </a:extLst>
        </xdr:cNvPr>
        <xdr:cNvCxnSpPr/>
      </xdr:nvCxnSpPr>
      <xdr:spPr>
        <a:xfrm flipV="1">
          <a:off x="4526280" y="2476500"/>
          <a:ext cx="15240" cy="197358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#DIV/0!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622%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622%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495.939030671296" createdVersion="6" refreshedVersion="6" minRefreshableVersion="3" recordCount="114" xr:uid="{00000000-000A-0000-FFFF-FFFF0C000000}">
  <cacheSource type="worksheet">
    <worksheetSource name="issues"/>
  </cacheSource>
  <cacheFields count="55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 count="8">
        <s v="&lt;jt:hyperlink address=&quot;${requestContext.canonicalBaseUrl}/browse/${issue.key}&quot; value=&quot;${issue.summary}&quot;/&gt;"/>
        <m/>
        <s v="NEEDS FOR FILTERING IN PIVOT TABLES"/>
        <s v="??Admin"/>
        <s v="??Admin - Active Directory &amp; Federated Authentication Settings"/>
        <s v="??Impact Analysis"/>
        <s v="??Installer"/>
        <s v="??Tech Improvement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8">
        <s v="${fieldHelper.getFieldValueByName(issue, &quot;ST:Components&quot;)}"/>
        <m/>
        <s v="Admin"/>
        <s v="Admn"/>
        <s v="Microsoft Power Automate Integration"/>
        <s v="BluePrism Integration"/>
        <s v="Automation Anywhere Integration"/>
        <s v="Admin - Active Directory &amp; Federated Authentication Settings"/>
        <s v="Impact Analysis"/>
        <s v="Installer"/>
        <s v="Tech Improvements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0" maxValue="40"/>
    </cacheField>
    <cacheField name="Stories Estimate" numFmtId="0">
      <sharedItems containsBlank="1" containsMixedTypes="1" containsNumber="1" containsInteger="1" minValue="90" maxValue="490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80" maxValue="4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80">
        <s v="${bpHelper.getLastSprint(issue)}"/>
        <m/>
        <s v="Austin1"/>
        <s v="Austin2"/>
        <s v="Austin3"/>
        <s v="Austin4"/>
        <s v="Austin5"/>
        <s v="Austin6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X-Ray2" u="1"/>
        <s v="Quasar9" u="1"/>
        <s v="Pegasus5" u="1"/>
        <s v="Pegasus8" u="1"/>
        <s v="Ursa6" u="1"/>
        <s v="Ursa4" u="1"/>
        <s v="Venus3" u="1"/>
        <s v="Quasar12" u="1"/>
        <s v="Ursa2" u="1"/>
        <s v="X-Ray5" u="1"/>
        <s v="Titan3" u="1"/>
        <s v="Venus6" u="1"/>
        <s v="Titan6" u="1"/>
        <s v="X-Ray1" u="1"/>
        <s v="Pegasus3" u="1"/>
        <s v="Wavelength1" u="1"/>
        <s v="Pegasus6" u="1"/>
        <s v="Wavelength2" u="1"/>
        <s v="Wavelength3" u="1"/>
        <s v="Venus2" u="1"/>
        <s v="Wavelength4" u="1"/>
        <s v="Quasar10" u="1"/>
        <s v="X-Ray4" u="1"/>
        <s v="Saturn1" u="1"/>
        <s v="Saturn2" u="1"/>
        <s v="Wavelength5" u="1"/>
        <s v="Saturn3" u="1"/>
        <s v="Quasar13" u="1"/>
        <s v="Titan2" u="1"/>
        <s v="Saturn4" u="1"/>
        <s v="Wavelength6" u="1"/>
        <s v="Saturn5" u="1"/>
        <s v="Saturn6" u="1"/>
        <s v="Wavelength7" u="1"/>
        <s v="Saturn7" u="1"/>
        <s v="Venus5" u="1"/>
        <s v="Wavelength8" u="1"/>
        <s v="Wavelength9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X-Ray3" u="1"/>
        <s v="Titan1" u="1"/>
        <s v="Quasar11" u="1"/>
        <s v="Quasar14" u="1"/>
        <s v="Venus4" u="1"/>
        <s v="X-Ray6" u="1"/>
        <s v="Titan4" u="1"/>
        <s v="Venus7" u="1"/>
      </sharedItems>
    </cacheField>
    <cacheField name="Sprint Label" numFmtId="0">
      <sharedItems containsBlank="1" count="93">
        <s v="$[SUBSTITUTE(SUBSTITUTE(AE2, &quot;iji&quot;, &quot;&quot;), &quot;gypt&quot;, &quot;&quot;)]"/>
        <m/>
        <s v="A1"/>
        <s v="A2"/>
        <s v="A3"/>
        <s v="A4"/>
        <s v="A5"/>
        <s v="A6"/>
        <s v="U1" u="1"/>
        <s v="R6" u="1"/>
        <s v="Q1" u="1"/>
        <s v="W4" u="1"/>
        <s v="S4" u="1"/>
        <s v="X2" u="1"/>
        <s v="U7" u="1"/>
        <s v="T2" u="1"/>
        <s v="Q7" u="1"/>
        <s v="P2" u="1"/>
        <s v="V5" u="1"/>
        <s v="R5" u="1"/>
        <s v="W3" u="1"/>
        <s v="S3" u="1"/>
        <s v="$[SUBSTITUTE(SUBSTITUTE(AE2, &quot;rsa&quot;, &quot;&quot;), &quot;itan&quot;, &quot;&quot;)]" u="1"/>
        <s v="X1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W9" u="1"/>
        <s v="Q12" u="1"/>
        <s v="V4" u="1"/>
        <s v="Q13" u="1"/>
        <s v="Q14" u="1"/>
        <s v="R4" u="1"/>
        <s v="$[SUBSTITUTE(SUBSTITUTE(AE2, &quot;ustin&quot;, &quot;&quot;), &quot;-Ray&quot;, &quot;&quot;)]" u="1"/>
        <s v="W2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W8" u="1"/>
        <s v="V3" u="1"/>
        <s v="$[SUBSTITUTE(SUBSTITUTE(AE2, &quot;ublin&quot;, &quot;&quot;), &quot;anada&quot;, &quot;&quot;)]" u="1"/>
        <s v="R3" u="1"/>
        <s v="X6" u="1"/>
        <s v="W1" u="1"/>
        <s v="T6" u="1"/>
        <s v="S1" u="1"/>
        <s v="P6" u="1"/>
        <s v="$[SUBSTITUTE(SUBSTITUTE(AE2, &quot;avelength&quot;, &quot;&quot;), &quot;enus&quot;, &quot;&quot;)]" u="1"/>
        <s v="U4" u="1"/>
        <s v="$[SUBSTITUTE(AE2, &quot;uasar&quot;, &quot;&quot;)]" u="1"/>
        <s v="Q4" u="1"/>
        <s v="W7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X5" u="1"/>
        <s v="T5" u="1"/>
        <s v="P5" u="1"/>
        <s v="U3" u="1"/>
        <s v="Q3" u="1"/>
        <s v="W6" u="1"/>
        <s v="V1" u="1"/>
        <s v="$[SUBSTITUTE(SUBSTITUTE(AE2, &quot;-Ray&quot;, &quot;&quot;), &quot;enus&quot;, &quot;&quot;)]" u="1"/>
        <s v="S6" u="1"/>
        <s v="R1" u="1"/>
        <s v="$[SUBSTITUTE(SUBSTITUTE(AE2, &quot;gypt&quot;, &quot;&quot;), &quot;ublin&quot;, &quot;&quot;)]" u="1"/>
        <s v="X4" u="1"/>
        <s v="T4" u="1"/>
        <s v="Q9" u="1"/>
        <s v="P4" u="1"/>
        <s v="V7" u="1"/>
        <s v="U2" u="1"/>
        <s v="R7" u="1"/>
        <s v="Q2" u="1"/>
        <s v="W5" u="1"/>
        <s v="$[SUBSTITUTE(SUBSTITUTE(AE2, &quot;elarus&quot;, &quot;&quot;), &quot;ustin&quot;, &quot;&quot;)]" u="1"/>
        <s v="S5" u="1"/>
        <s v="X3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6">
        <s v="${issue.fixVersions.name}"/>
        <m/>
        <s v="Egypt (12.6)"/>
        <s v="Fiji (12.7)"/>
        <s v="Rocket" u="1"/>
        <s v="Venus" u="1"/>
        <s v="Dublin (12.5)" u="1"/>
        <s v="Titan" u="1"/>
        <s v="Saturn" u="1"/>
        <s v="Ursa" u="1"/>
        <s v="Quasar" u="1"/>
        <s v="X-Ray" u="1"/>
        <s v="Pegasus" u="1"/>
        <s v="Astin" u="1"/>
        <s v="Austin" u="1"/>
        <s v="Wavelength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5">
        <s v="${bpHelper.getRelease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${bpHelper.getXRayComponent(issue)}" u="1"/>
        <s v="UiPath Integration" u="1"/>
        <s v="Visio Import" u="1"/>
        <s v="BoA Audit" u="1"/>
        <s v="${bpHelper.getAustin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7">
        <s v="${bpHelper.isInBacklogHealth(issue)}"/>
        <m/>
        <s v="Yes"/>
        <s v="No"/>
        <s v="${bpHelper.isInBacklogHealth(issue)}&lt;/jt:forEach&gt;" u="1"/>
        <s v="&lt;/jt:forEach&gt;" u="1"/>
        <s v="$[IF(OR(E2=&quot;Story: Ready&quot;,E2=&quot;Tech Debt: Ready&quot;,AND(B2=&quot;Spike&quot;,E2=&quot;Story: New&quot;)), &quot;Yes&quot;, &quot;No&quot;)]&lt;/jt:forEach&gt;" u="1"/>
      </sharedItems>
    </cacheField>
    <cacheField name="Active in Release #" numFmtId="0">
      <sharedItems containsString="0" containsBlank="1" containsNumber="1" minValue="11.4" maxValue="12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 New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  <m/>
    <s v="${fieldHelper.getFieldValueByName(issue, &quot;Quality Score&quot;)}"/>
    <s v="${bpHelper.isStoryDecopmosed(issue)}"/>
    <s v="$[IF(AX2=&quot;Yes&quot;, N2, IF(AX2=&quot;No&quot;,0,&quot;&quot;))]"/>
    <s v="$[IF(E2=&quot;Story: Done&quot;,0,IF(OR(B2=&quot;Story&quot;,B2=&quot;Spike&quot;), N2, &quot;&quot;))]"/>
    <s v="${bpHelper.getReleaseComponent(issue)}&lt;/jt:forEach&gt;"/>
  </r>
  <r>
    <s v="&lt;jt:forEach items=&quot;${issues.subList(0, 0)}&quot; var=&quot;issue&quot; where=&quot;${issue.key = ''}&quot;&gt;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  <m/>
    <m/>
    <m/>
    <m/>
    <m/>
    <m/>
  </r>
  <r>
    <s v="key 4"/>
    <x v="2"/>
    <x v="1"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  <m/>
    <m/>
    <m/>
    <m/>
    <m/>
    <m/>
  </r>
  <r>
    <s v="key 5"/>
    <x v="3"/>
    <x v="1"/>
    <s v="RD"/>
    <x v="3"/>
    <m/>
    <m/>
    <m/>
    <m/>
    <m/>
    <x v="2"/>
    <m/>
    <m/>
    <n v="5"/>
    <m/>
    <m/>
    <m/>
    <m/>
    <m/>
    <m/>
    <m/>
    <s v="RD"/>
    <m/>
    <m/>
    <m/>
    <m/>
    <m/>
    <m/>
    <m/>
    <m/>
    <x v="3"/>
    <x v="1"/>
    <x v="2"/>
    <x v="1"/>
    <x v="3"/>
    <x v="3"/>
    <m/>
    <x v="2"/>
    <s v="RD"/>
    <m/>
    <m/>
    <m/>
    <m/>
    <m/>
    <x v="1"/>
    <x v="2"/>
    <x v="2"/>
    <m/>
    <m/>
    <s v="Yes"/>
    <m/>
    <m/>
    <s v="AA Migration Demo PoC"/>
  </r>
  <r>
    <s v="key 6"/>
    <x v="4"/>
    <x v="2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  <m/>
    <m/>
    <s v="No"/>
    <m/>
    <m/>
    <s v="Digital Blueprint Licensing"/>
  </r>
  <r>
    <s v="key 7"/>
    <x v="5"/>
    <x v="1"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  <m/>
    <m/>
    <m/>
    <m/>
    <m/>
    <s v="New Impact Analysis"/>
  </r>
  <r>
    <s v="key 8"/>
    <x v="6"/>
    <x v="1"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  <m/>
    <m/>
    <m/>
    <m/>
    <m/>
    <s v="Import/Export Projects MVP"/>
  </r>
  <r>
    <s v="key 9"/>
    <x v="7"/>
    <x v="1"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  <m/>
    <m/>
    <m/>
    <m/>
    <m/>
    <s v="AD and FA Settings"/>
  </r>
  <r>
    <s v="key 10"/>
    <x v="7"/>
    <x v="1"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  <m/>
    <m/>
    <m/>
    <m/>
    <m/>
    <s v="Convert Custom Properties to Standard"/>
  </r>
  <r>
    <s v="key 11"/>
    <x v="7"/>
    <x v="1"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  <m/>
    <m/>
    <m/>
    <m/>
    <m/>
    <s v="Pre-Loaded Instance Configuration"/>
  </r>
  <r>
    <s v="key 12"/>
    <x v="7"/>
    <x v="1"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  <m/>
    <m/>
    <m/>
    <m/>
    <m/>
    <s v="Dropping SQL Server 2012"/>
  </r>
  <r>
    <s v="key 13"/>
    <x v="1"/>
    <x v="1"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  <m/>
    <m/>
    <m/>
    <m/>
    <m/>
    <s v="R&amp;D Bucket"/>
  </r>
  <r>
    <s v="key 14"/>
    <x v="3"/>
    <x v="1"/>
    <s v="RD"/>
    <x v="12"/>
    <m/>
    <m/>
    <m/>
    <m/>
    <m/>
    <x v="3"/>
    <m/>
    <m/>
    <n v="0"/>
    <m/>
    <m/>
    <m/>
    <m/>
    <m/>
    <m/>
    <m/>
    <s v="RD"/>
    <m/>
    <m/>
    <m/>
    <m/>
    <m/>
    <m/>
    <m/>
    <m/>
    <x v="6"/>
    <x v="4"/>
    <x v="3"/>
    <x v="1"/>
    <x v="1"/>
    <x v="1"/>
    <m/>
    <x v="1"/>
    <m/>
    <m/>
    <m/>
    <m/>
    <m/>
    <m/>
    <x v="1"/>
    <x v="2"/>
    <x v="2"/>
    <m/>
    <m/>
    <m/>
    <m/>
    <m/>
    <s v="Other"/>
  </r>
  <r>
    <s v="key 15"/>
    <x v="1"/>
    <x v="1"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  <m/>
    <m/>
    <m/>
    <m/>
    <m/>
    <m/>
  </r>
  <r>
    <s v="key 16"/>
    <x v="7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  <m/>
    <m/>
    <m/>
    <m/>
    <m/>
    <m/>
  </r>
  <r>
    <s v="key 17"/>
    <x v="7"/>
    <x v="1"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  <m/>
    <m/>
    <m/>
    <m/>
    <m/>
    <m/>
  </r>
  <r>
    <s v="key 18"/>
    <x v="7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  <m/>
    <m/>
    <m/>
    <m/>
    <m/>
    <m/>
  </r>
  <r>
    <s v="key 19"/>
    <x v="7"/>
    <x v="1"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  <m/>
    <m/>
    <m/>
    <m/>
    <m/>
    <m/>
  </r>
  <r>
    <s v="key 20"/>
    <x v="7"/>
    <x v="1"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  <m/>
    <m/>
    <m/>
    <m/>
    <m/>
    <m/>
  </r>
  <r>
    <s v="key 21"/>
    <x v="7"/>
    <x v="1"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  <m/>
    <m/>
    <m/>
    <m/>
    <m/>
    <m/>
  </r>
  <r>
    <s v="key 22"/>
    <x v="7"/>
    <x v="1"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  <m/>
    <m/>
    <m/>
    <m/>
    <m/>
    <m/>
  </r>
  <r>
    <s v="key 23"/>
    <x v="1"/>
    <x v="1"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  <m/>
    <m/>
    <m/>
    <m/>
    <m/>
    <m/>
  </r>
  <r>
    <s v="key 24"/>
    <x v="1"/>
    <x v="1"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m/>
    <m/>
    <m/>
    <m/>
    <m/>
    <m/>
  </r>
  <r>
    <s v="key 25"/>
    <x v="1"/>
    <x v="1"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m/>
    <m/>
    <m/>
    <m/>
    <m/>
    <m/>
  </r>
  <r>
    <s v="key 26"/>
    <x v="1"/>
    <x v="1"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27"/>
    <x v="5"/>
    <x v="1"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28"/>
    <x v="1"/>
    <x v="1"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m/>
    <m/>
    <m/>
    <m/>
    <m/>
    <m/>
  </r>
  <r>
    <s v="key 29"/>
    <x v="1"/>
    <x v="1"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0"/>
    <x v="3"/>
    <x v="1"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  <m/>
    <m/>
    <m/>
    <m/>
    <m/>
    <m/>
  </r>
  <r>
    <s v="key 31"/>
    <x v="3"/>
    <x v="1"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  <m/>
    <m/>
    <m/>
    <m/>
    <m/>
    <m/>
  </r>
  <r>
    <s v="key 32"/>
    <x v="3"/>
    <x v="1"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  <m/>
    <m/>
    <m/>
    <m/>
    <m/>
    <m/>
  </r>
  <r>
    <s v="key 33"/>
    <x v="3"/>
    <x v="1"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  <m/>
    <m/>
    <m/>
    <m/>
    <m/>
    <m/>
  </r>
  <r>
    <s v="key 34"/>
    <x v="3"/>
    <x v="1"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  <m/>
    <m/>
    <m/>
    <m/>
    <m/>
    <m/>
  </r>
  <r>
    <s v="key 35"/>
    <x v="3"/>
    <x v="1"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  <m/>
    <m/>
    <m/>
    <m/>
    <m/>
    <m/>
  </r>
  <r>
    <s v="key 36"/>
    <x v="1"/>
    <x v="1"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  <m/>
    <m/>
    <m/>
    <m/>
    <m/>
    <m/>
  </r>
  <r>
    <s v="key 37"/>
    <x v="1"/>
    <x v="1"/>
    <m/>
    <x v="35"/>
    <m/>
    <m/>
    <m/>
    <m/>
    <m/>
    <x v="1"/>
    <m/>
    <m/>
    <m/>
    <m/>
    <m/>
    <m/>
    <m/>
    <m/>
    <m/>
    <m/>
    <m/>
    <m/>
    <m/>
    <m/>
    <m/>
    <m/>
    <m/>
    <m/>
    <m/>
    <x v="7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8"/>
    <x v="1"/>
    <x v="1"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39"/>
    <x v="1"/>
    <x v="1"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40"/>
    <x v="6"/>
    <x v="1"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  <n v="12"/>
    <m/>
    <m/>
    <m/>
    <m/>
    <m/>
  </r>
  <r>
    <s v="key 41"/>
    <x v="6"/>
    <x v="1"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  <n v="12"/>
    <m/>
    <m/>
    <m/>
    <m/>
    <m/>
  </r>
  <r>
    <s v="key 42"/>
    <x v="6"/>
    <x v="1"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  <n v="12"/>
    <m/>
    <m/>
    <m/>
    <m/>
    <m/>
  </r>
  <r>
    <s v="key 43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  <n v="12"/>
    <m/>
    <m/>
    <m/>
    <m/>
    <m/>
  </r>
  <r>
    <s v="key 44"/>
    <x v="6"/>
    <x v="1"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  <n v="12"/>
    <m/>
    <m/>
    <m/>
    <m/>
    <m/>
  </r>
  <r>
    <s v="key 45"/>
    <x v="6"/>
    <x v="1"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  <n v="12"/>
    <m/>
    <m/>
    <m/>
    <m/>
    <m/>
  </r>
  <r>
    <s v="key 46"/>
    <x v="6"/>
    <x v="1"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1"/>
    <x v="1"/>
    <x v="1"/>
    <m/>
    <x v="1"/>
    <m/>
    <m/>
    <m/>
    <m/>
    <m/>
    <m/>
    <x v="1"/>
    <x v="2"/>
    <x v="1"/>
    <m/>
    <m/>
    <m/>
    <m/>
    <m/>
    <m/>
  </r>
  <r>
    <s v="key 47"/>
    <x v="1"/>
    <x v="1"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m/>
    <m/>
    <m/>
    <m/>
    <m/>
    <m/>
  </r>
  <r>
    <s v="key 48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m/>
    <m/>
    <m/>
    <m/>
    <m/>
    <m/>
  </r>
  <r>
    <s v="key 4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  <m/>
    <m/>
    <m/>
    <m/>
    <m/>
    <m/>
  </r>
  <r>
    <s v="key 50"/>
    <x v="2"/>
    <x v="1"/>
    <m/>
    <x v="1"/>
    <m/>
    <m/>
    <m/>
    <m/>
    <m/>
    <x v="4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  <m/>
    <m/>
    <m/>
    <m/>
    <m/>
    <m/>
  </r>
  <r>
    <s v="key 51"/>
    <x v="2"/>
    <x v="1"/>
    <m/>
    <x v="1"/>
    <m/>
    <m/>
    <m/>
    <m/>
    <m/>
    <x v="5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  <m/>
    <m/>
    <m/>
    <m/>
    <m/>
    <m/>
  </r>
  <r>
    <s v="key 52"/>
    <x v="2"/>
    <x v="1"/>
    <m/>
    <x v="10"/>
    <m/>
    <m/>
    <m/>
    <m/>
    <m/>
    <x v="6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  <m/>
    <m/>
    <m/>
    <m/>
    <m/>
    <m/>
  </r>
  <r>
    <s v="key 53"/>
    <x v="3"/>
    <x v="1"/>
    <m/>
    <x v="12"/>
    <m/>
    <m/>
    <m/>
    <m/>
    <m/>
    <x v="6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  <m/>
    <m/>
    <m/>
    <m/>
    <m/>
    <m/>
  </r>
  <r>
    <s v="key 54"/>
    <x v="3"/>
    <x v="1"/>
    <m/>
    <x v="13"/>
    <m/>
    <m/>
    <m/>
    <m/>
    <m/>
    <x v="6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  <m/>
    <m/>
    <m/>
    <m/>
    <m/>
    <m/>
  </r>
  <r>
    <s v="key 55"/>
    <x v="3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  <m/>
    <m/>
    <m/>
    <m/>
    <m/>
    <m/>
  </r>
  <r>
    <s v="key 56"/>
    <x v="3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  <m/>
    <m/>
    <m/>
    <m/>
    <m/>
    <m/>
  </r>
  <r>
    <s v="key 57"/>
    <x v="3"/>
    <x v="1"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  <m/>
    <m/>
    <m/>
    <m/>
    <m/>
    <m/>
  </r>
  <r>
    <s v="key 58"/>
    <x v="3"/>
    <x v="1"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  <m/>
    <m/>
    <m/>
    <m/>
    <m/>
    <m/>
  </r>
  <r>
    <s v="key 59"/>
    <x v="3"/>
    <x v="1"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  <m/>
    <m/>
    <m/>
    <m/>
    <m/>
    <m/>
  </r>
  <r>
    <s v="key 60"/>
    <x v="3"/>
    <x v="1"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  <m/>
    <m/>
    <m/>
    <m/>
    <m/>
    <m/>
  </r>
  <r>
    <s v="key 61"/>
    <x v="3"/>
    <x v="1"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  <m/>
    <m/>
    <m/>
    <m/>
    <m/>
    <m/>
  </r>
  <r>
    <s v="key 62"/>
    <x v="3"/>
    <x v="1"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  <m/>
    <m/>
    <m/>
    <m/>
    <m/>
    <m/>
  </r>
  <r>
    <s v="key 63"/>
    <x v="3"/>
    <x v="1"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  <m/>
    <m/>
    <m/>
    <m/>
    <m/>
    <m/>
  </r>
  <r>
    <s v="key 64"/>
    <x v="3"/>
    <x v="1"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4"/>
    <x v="1"/>
    <m/>
    <x v="2"/>
    <m/>
    <m/>
    <m/>
    <m/>
    <m/>
    <m/>
    <x v="1"/>
    <x v="2"/>
    <x v="1"/>
    <m/>
    <m/>
    <m/>
    <m/>
    <m/>
    <m/>
  </r>
  <r>
    <s v="key 65"/>
    <x v="3"/>
    <x v="1"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5"/>
    <x v="1"/>
    <m/>
    <x v="2"/>
    <m/>
    <m/>
    <m/>
    <m/>
    <m/>
    <m/>
    <x v="1"/>
    <x v="2"/>
    <x v="1"/>
    <m/>
    <m/>
    <m/>
    <m/>
    <m/>
    <m/>
  </r>
  <r>
    <s v="key 6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  <m/>
    <m/>
    <m/>
    <m/>
    <m/>
    <m/>
  </r>
  <r>
    <s v="key 67"/>
    <x v="3"/>
    <x v="1"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  <m/>
    <m/>
    <m/>
    <m/>
    <m/>
    <m/>
  </r>
  <r>
    <s v="key 68"/>
    <x v="3"/>
    <x v="1"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  <m/>
    <m/>
    <m/>
    <m/>
    <m/>
    <m/>
  </r>
  <r>
    <s v="key 69"/>
    <x v="3"/>
    <x v="1"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  <m/>
    <m/>
    <m/>
    <m/>
    <m/>
    <m/>
  </r>
  <r>
    <s v="key 70"/>
    <x v="3"/>
    <x v="1"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  <m/>
    <m/>
    <m/>
    <m/>
    <m/>
    <m/>
  </r>
  <r>
    <s v="key 71"/>
    <x v="3"/>
    <x v="1"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  <m/>
    <m/>
    <m/>
    <m/>
    <m/>
    <m/>
  </r>
  <r>
    <s v="key 72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m/>
    <m/>
    <m/>
    <m/>
    <m/>
    <m/>
  </r>
  <r>
    <s v="key 73"/>
    <x v="2"/>
    <x v="1"/>
    <m/>
    <x v="1"/>
    <m/>
    <m/>
    <m/>
    <m/>
    <m/>
    <x v="2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  <m/>
    <m/>
    <m/>
    <m/>
    <m/>
    <m/>
  </r>
  <r>
    <s v="key 74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  <m/>
    <m/>
    <m/>
    <m/>
    <m/>
    <m/>
  </r>
  <r>
    <s v="key 75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  <m/>
    <m/>
    <m/>
    <m/>
    <m/>
    <m/>
  </r>
  <r>
    <s v="key 76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  <m/>
    <m/>
    <m/>
    <m/>
    <m/>
    <m/>
  </r>
  <r>
    <s v="key 77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  <m/>
    <m/>
    <m/>
    <m/>
    <m/>
    <m/>
  </r>
  <r>
    <s v="key 78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  <m/>
    <m/>
    <m/>
    <m/>
    <m/>
    <m/>
  </r>
  <r>
    <s v="key 79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  <m/>
    <m/>
    <m/>
    <m/>
    <m/>
    <m/>
  </r>
  <r>
    <s v="key 80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  <m/>
    <m/>
    <m/>
    <m/>
    <m/>
    <m/>
  </r>
  <r>
    <s v="key 8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3"/>
    <x v="1"/>
    <x v="1"/>
    <x v="1"/>
    <m/>
    <x v="8"/>
    <m/>
    <m/>
    <m/>
    <m/>
    <m/>
    <m/>
    <x v="1"/>
    <x v="2"/>
    <x v="1"/>
    <m/>
    <m/>
    <m/>
    <m/>
    <m/>
    <m/>
  </r>
  <r>
    <s v="key 8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  <m/>
    <m/>
    <m/>
    <m/>
    <m/>
    <m/>
  </r>
  <r>
    <s v="key 83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m/>
    <m/>
    <m/>
    <m/>
    <m/>
    <m/>
  </r>
  <r>
    <s v="key 84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m/>
    <m/>
    <m/>
    <m/>
    <m/>
    <m/>
  </r>
  <r>
    <s v="key 85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  <m/>
    <m/>
    <m/>
    <m/>
    <m/>
    <m/>
  </r>
  <r>
    <s v="key 8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  <m/>
    <m/>
    <m/>
    <m/>
    <m/>
    <m/>
  </r>
  <r>
    <s v="key 87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  <m/>
    <m/>
    <m/>
    <m/>
    <m/>
    <m/>
  </r>
  <r>
    <s v="key 88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m/>
    <m/>
    <m/>
    <m/>
    <m/>
    <m/>
  </r>
  <r>
    <s v="key 89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m/>
    <m/>
    <m/>
    <m/>
    <m/>
    <m/>
  </r>
  <r>
    <s v="key 90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  <m/>
    <m/>
    <m/>
    <m/>
    <m/>
    <m/>
  </r>
  <r>
    <s v="key 9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  <m/>
    <m/>
    <m/>
    <m/>
    <m/>
    <m/>
  </r>
  <r>
    <s v="key 9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  <m/>
    <m/>
    <m/>
    <m/>
    <m/>
    <m/>
  </r>
  <r>
    <s v="key 93"/>
    <x v="7"/>
    <x v="1"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4"/>
    <x v="7"/>
    <x v="1"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5"/>
    <x v="7"/>
    <x v="1"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6"/>
    <x v="7"/>
    <x v="1"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7"/>
    <x v="7"/>
    <x v="1"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8"/>
    <x v="7"/>
    <x v="1"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99"/>
    <x v="7"/>
    <x v="1"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0"/>
    <x v="7"/>
    <x v="1"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1"/>
    <x v="7"/>
    <x v="1"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2"/>
    <x v="7"/>
    <x v="1"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3"/>
    <x v="7"/>
    <x v="1"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4"/>
    <x v="7"/>
    <x v="1"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m/>
    <m/>
    <m/>
    <m/>
    <m/>
    <m/>
  </r>
  <r>
    <s v="key 105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3"/>
    <x v="2"/>
    <x v="1"/>
    <x v="1"/>
    <m/>
    <x v="2"/>
    <m/>
    <m/>
    <m/>
    <m/>
    <m/>
    <m/>
    <x v="1"/>
    <x v="2"/>
    <x v="1"/>
    <n v="11.4"/>
    <m/>
    <m/>
    <m/>
    <m/>
    <m/>
  </r>
  <r>
    <s v="key 106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3"/>
    <x v="3"/>
    <x v="1"/>
    <x v="1"/>
    <m/>
    <x v="2"/>
    <m/>
    <m/>
    <m/>
    <m/>
    <m/>
    <m/>
    <x v="1"/>
    <x v="2"/>
    <x v="1"/>
    <n v="11.4"/>
    <m/>
    <m/>
    <m/>
    <m/>
    <m/>
  </r>
  <r>
    <s v="key 107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3"/>
    <x v="4"/>
    <x v="1"/>
    <x v="1"/>
    <m/>
    <x v="2"/>
    <m/>
    <m/>
    <m/>
    <m/>
    <m/>
    <m/>
    <x v="1"/>
    <x v="2"/>
    <x v="1"/>
    <n v="11.4"/>
    <m/>
    <m/>
    <m/>
    <m/>
    <m/>
  </r>
  <r>
    <s v="key 108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3"/>
    <x v="5"/>
    <x v="1"/>
    <x v="1"/>
    <m/>
    <x v="2"/>
    <m/>
    <m/>
    <m/>
    <m/>
    <m/>
    <m/>
    <x v="1"/>
    <x v="2"/>
    <x v="1"/>
    <n v="11.4"/>
    <m/>
    <m/>
    <m/>
    <m/>
    <m/>
  </r>
  <r>
    <s v="key 10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3"/>
    <x v="6"/>
    <x v="1"/>
    <x v="1"/>
    <m/>
    <x v="2"/>
    <m/>
    <m/>
    <m/>
    <m/>
    <m/>
    <m/>
    <x v="1"/>
    <x v="2"/>
    <x v="1"/>
    <n v="11.4"/>
    <m/>
    <m/>
    <m/>
    <m/>
    <m/>
  </r>
  <r>
    <s v="key 110"/>
    <x v="7"/>
    <x v="1"/>
    <m/>
    <x v="58"/>
    <m/>
    <m/>
    <m/>
    <m/>
    <m/>
    <x v="1"/>
    <m/>
    <m/>
    <m/>
    <n v="90"/>
    <n v="100"/>
    <n v="50"/>
    <m/>
    <m/>
    <m/>
    <m/>
    <m/>
    <n v="80"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m/>
  </r>
  <r>
    <s v="key 111"/>
    <x v="2"/>
    <x v="3"/>
    <m/>
    <x v="1"/>
    <m/>
    <m/>
    <m/>
    <m/>
    <m/>
    <x v="2"/>
    <m/>
    <m/>
    <m/>
    <n v="190"/>
    <n v="200"/>
    <n v="50"/>
    <m/>
    <m/>
    <m/>
    <m/>
    <m/>
    <n v="180"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m/>
  </r>
  <r>
    <s v="key 112"/>
    <x v="2"/>
    <x v="4"/>
    <m/>
    <x v="1"/>
    <m/>
    <m/>
    <m/>
    <m/>
    <m/>
    <x v="7"/>
    <m/>
    <m/>
    <m/>
    <n v="290"/>
    <n v="300"/>
    <n v="50"/>
    <m/>
    <m/>
    <m/>
    <m/>
    <m/>
    <n v="280"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m/>
  </r>
  <r>
    <s v="key 113"/>
    <x v="2"/>
    <x v="5"/>
    <m/>
    <x v="1"/>
    <m/>
    <m/>
    <m/>
    <m/>
    <m/>
    <x v="8"/>
    <m/>
    <m/>
    <m/>
    <n v="390"/>
    <n v="400"/>
    <n v="50"/>
    <m/>
    <m/>
    <m/>
    <m/>
    <m/>
    <n v="380"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m/>
  </r>
  <r>
    <s v="key 114"/>
    <x v="2"/>
    <x v="6"/>
    <m/>
    <x v="1"/>
    <m/>
    <m/>
    <m/>
    <m/>
    <m/>
    <x v="9"/>
    <m/>
    <m/>
    <m/>
    <n v="490"/>
    <n v="500"/>
    <n v="50"/>
    <m/>
    <m/>
    <m/>
    <m/>
    <m/>
    <n v="480"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m/>
  </r>
  <r>
    <s v="key 115"/>
    <x v="2"/>
    <x v="7"/>
    <m/>
    <x v="1"/>
    <m/>
    <m/>
    <m/>
    <m/>
    <m/>
    <x v="10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  <n v="11.4"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hier="-1"/>
    <pageField fld="10" item="2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9">
        <item x="0"/>
        <item x="2"/>
        <item m="1" x="26"/>
        <item m="1" x="18"/>
        <item m="1" x="21"/>
        <item m="1" x="17"/>
        <item m="1" x="13"/>
        <item m="1" x="11"/>
        <item m="1" x="23"/>
        <item m="1" x="16"/>
        <item m="1" x="24"/>
        <item m="1" x="20"/>
        <item m="1" x="22"/>
        <item m="1" x="27"/>
        <item m="1" x="12"/>
        <item m="1" x="15"/>
        <item m="1" x="19"/>
        <item m="1" x="25"/>
        <item m="1" x="14"/>
        <item x="1"/>
        <item x="4"/>
        <item x="5"/>
        <item x="6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7">
        <item x="0"/>
        <item m="1" x="12"/>
        <item m="1" x="10"/>
        <item m="1" x="4"/>
        <item m="1" x="8"/>
        <item m="1" x="7"/>
        <item m="1" x="9"/>
        <item m="1" x="5"/>
        <item m="1" x="15"/>
        <item x="1"/>
        <item m="1" x="11"/>
        <item m="1" x="14"/>
        <item m="1" x="13"/>
        <item m="1"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item="3" hier="-1"/>
    <pageField fld="10" item="20" hier="-1"/>
    <pageField fld="45" item="2" hier="-1"/>
  </pageFields>
  <dataFields count="5">
    <dataField name="Done" fld="53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54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4" hier="-1"/>
    <pageField fld="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4" firstHeaderRow="1" firstDataRow="3" firstDataCol="1" rowPageCount="2" colPageCount="1"/>
  <pivotFields count="55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2"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55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5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8">
        <item m="1" x="6"/>
        <item x="3"/>
        <item x="2"/>
        <item x="1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8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2">
    <i>
      <x v="5"/>
    </i>
    <i t="grand">
      <x/>
    </i>
  </rowItems>
  <colItems count="1">
    <i/>
  </colItems>
  <pageFields count="4">
    <pageField fld="32" item="1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94">
        <item h="1" m="1" x="64"/>
        <item h="1" m="1" x="57"/>
        <item h="1" m="1" x="10"/>
        <item h="1" m="1" x="83"/>
        <item h="1" m="1" x="69"/>
        <item h="1" m="1" x="58"/>
        <item h="1" m="1" x="45"/>
        <item h="1" m="1" x="27"/>
        <item h="1" m="1" x="16"/>
        <item h="1" m="1" x="90"/>
        <item h="1" m="1" x="78"/>
        <item h="1" x="1"/>
        <item h="1" m="1" x="29"/>
        <item h="1" m="1" x="30"/>
        <item h="1" m="1" x="32"/>
        <item h="1" m="1" x="34"/>
        <item h="1" m="1" x="35"/>
        <item h="1" m="1" x="44"/>
        <item h="1" m="1" x="42"/>
        <item h="1" m="1" x="41"/>
        <item h="1" m="1" x="28"/>
        <item h="1" m="1" x="17"/>
        <item h="1" m="1" x="91"/>
        <item h="1" m="1" x="79"/>
        <item h="1" m="1" x="67"/>
        <item h="1" m="1" x="54"/>
        <item h="1" m="1" x="74"/>
        <item h="1" m="1" x="63"/>
        <item h="1" m="1" x="49"/>
        <item h="1" m="1" x="36"/>
        <item h="1" m="1" x="19"/>
        <item h="1" m="1" x="9"/>
        <item h="1" m="1" x="82"/>
        <item h="1" m="1" x="53"/>
        <item h="1" m="1" x="40"/>
        <item h="1" m="1" x="21"/>
        <item h="1" m="1" x="12"/>
        <item h="1" m="1" x="86"/>
        <item h="1" m="1" x="73"/>
        <item h="1" m="1" x="61"/>
        <item h="1" m="1" x="26"/>
        <item h="1" m="1" x="62"/>
        <item h="1" m="1" x="25"/>
        <item h="1" m="1" x="15"/>
        <item h="1" m="1" x="88"/>
        <item h="1" m="1" x="77"/>
        <item h="1" m="1" x="66"/>
        <item h="1" m="1" x="52"/>
        <item h="1" m="1" x="39"/>
        <item h="1" m="1" x="8"/>
        <item h="1" m="1" x="81"/>
        <item h="1" m="1" x="68"/>
        <item h="1" m="1" x="56"/>
        <item h="1" m="1" x="43"/>
        <item h="1" m="1" x="24"/>
        <item h="1" m="1" x="14"/>
        <item h="1" m="1" x="22"/>
        <item h="1" m="1" x="89"/>
        <item h="1" m="1" x="71"/>
        <item h="1" m="1" x="60"/>
        <item h="1" m="1" x="47"/>
        <item h="1" m="1" x="33"/>
        <item h="1" m="1" x="18"/>
        <item h="1" m="1" x="92"/>
        <item h="1" m="1" x="80"/>
        <item h="1" m="1" x="55"/>
        <item h="1" m="1" x="51"/>
        <item h="1" m="1" x="38"/>
        <item h="1" m="1" x="20"/>
        <item h="1" m="1" x="11"/>
        <item h="1" m="1" x="84"/>
        <item h="1" m="1" x="70"/>
        <item h="1" m="1" x="59"/>
        <item h="1" m="1" x="46"/>
        <item h="1" m="1" x="31"/>
        <item h="1" m="1" x="72"/>
        <item m="1" x="23"/>
        <item m="1" x="13"/>
        <item m="1" x="87"/>
        <item m="1" x="76"/>
        <item m="1" x="65"/>
        <item m="1" x="50"/>
        <item h="1" m="1" x="37"/>
        <item h="1" x="2"/>
        <item h="1" x="3"/>
        <item h="1" x="4"/>
        <item h="1" x="5"/>
        <item h="1" x="6"/>
        <item h="1" x="7"/>
        <item h="1" m="1" x="85"/>
        <item h="1" m="1" x="48"/>
        <item h="1" m="1" x="75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8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1">
        <item x="0"/>
        <item m="1" x="68"/>
        <item m="1" x="15"/>
        <item m="1" x="32"/>
        <item m="1" x="69"/>
        <item m="1" x="20"/>
        <item m="1" x="34"/>
        <item m="1" x="71"/>
        <item m="1" x="21"/>
        <item m="1" x="8"/>
        <item m="1" x="39"/>
        <item m="1" x="74"/>
        <item m="1" x="25"/>
        <item m="1" x="45"/>
        <item m="1" x="75"/>
        <item m="1" x="10"/>
        <item m="1" x="11"/>
        <item m="1" x="12"/>
        <item m="1" x="13"/>
        <item m="1" x="14"/>
        <item m="1" x="16"/>
        <item m="1" x="17"/>
        <item m="1" x="19"/>
        <item x="1"/>
        <item m="1" x="59"/>
        <item m="1" x="60"/>
        <item m="1" x="62"/>
        <item m="1" x="63"/>
        <item m="1" x="65"/>
        <item m="1" x="66"/>
        <item m="1" x="67"/>
        <item m="1" x="41"/>
        <item m="1" x="42"/>
        <item m="1" x="44"/>
        <item m="1" x="47"/>
        <item m="1" x="49"/>
        <item m="1" x="50"/>
        <item m="1" x="52"/>
        <item m="1" x="73"/>
        <item m="1" x="46"/>
        <item m="1" x="28"/>
        <item m="1" x="78"/>
        <item m="1" x="56"/>
        <item m="1" x="30"/>
        <item m="1" x="9"/>
        <item m="1" x="64"/>
        <item m="1" x="26"/>
        <item m="1" x="61"/>
        <item m="1" x="23"/>
        <item m="1" x="58"/>
        <item m="1" x="22"/>
        <item m="1" x="57"/>
        <item m="1" x="70"/>
        <item m="1" x="37"/>
        <item m="1" x="24"/>
        <item m="1" x="76"/>
        <item m="1" x="53"/>
        <item m="1" x="29"/>
        <item m="1" x="79"/>
        <item m="1" x="33"/>
        <item m="1" x="35"/>
        <item m="1" x="36"/>
        <item m="1" x="38"/>
        <item m="1" x="43"/>
        <item m="1" x="48"/>
        <item m="1" x="51"/>
        <item m="1" x="54"/>
        <item m="1" x="55"/>
        <item m="1" x="31"/>
        <item m="1" x="18"/>
        <item m="1" x="72"/>
        <item m="1" x="40"/>
        <item m="1" x="27"/>
        <item m="1" x="77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3"/>
    </i>
    <i>
      <x v="8"/>
    </i>
    <i t="grand">
      <x/>
    </i>
  </rowItems>
  <colItems count="1">
    <i/>
  </colItems>
  <pageFields count="3">
    <pageField fld="1" hier="-1"/>
    <pageField fld="30" item="7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78015-8F67-4EFE-8196-32C567B2EE11}" name="PivotTable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28:C34" firstHeaderRow="1" firstDataRow="1" firstDataCol="1" rowPageCount="4" colPageCount="1"/>
  <pivotFields count="55">
    <pivotField dataField="1"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axis="axisPage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4">
        <item m="1" x="64"/>
        <item m="1" x="44"/>
        <item m="1" x="57"/>
        <item m="1" x="26"/>
        <item m="1" x="55"/>
        <item m="1" x="89"/>
        <item m="1" x="62"/>
        <item m="1" x="72"/>
        <item m="1" x="22"/>
        <item m="1" x="37"/>
        <item m="1" x="41"/>
        <item m="1" x="42"/>
        <item x="2"/>
        <item x="3"/>
        <item x="4"/>
        <item x="5"/>
        <item x="6"/>
        <item x="7"/>
        <item m="1" x="28"/>
        <item m="1" x="17"/>
        <item m="1" x="91"/>
        <item m="1" x="79"/>
        <item m="1" x="67"/>
        <item m="1" x="54"/>
        <item m="1" x="10"/>
        <item m="1" x="29"/>
        <item m="1" x="30"/>
        <item m="1" x="32"/>
        <item m="1" x="34"/>
        <item m="1" x="35"/>
        <item m="1" x="83"/>
        <item m="1" x="69"/>
        <item m="1" x="58"/>
        <item m="1" x="45"/>
        <item m="1" x="27"/>
        <item m="1" x="16"/>
        <item m="1" x="90"/>
        <item m="1" x="78"/>
        <item m="1" x="74"/>
        <item m="1" x="63"/>
        <item m="1" x="49"/>
        <item m="1" x="36"/>
        <item m="1" x="19"/>
        <item m="1" x="9"/>
        <item m="1" x="82"/>
        <item m="1" x="53"/>
        <item m="1" x="40"/>
        <item m="1" x="21"/>
        <item m="1" x="12"/>
        <item m="1" x="86"/>
        <item m="1" x="73"/>
        <item m="1" x="61"/>
        <item m="1" x="25"/>
        <item m="1" x="15"/>
        <item m="1" x="88"/>
        <item m="1" x="77"/>
        <item m="1" x="66"/>
        <item m="1" x="52"/>
        <item m="1" x="39"/>
        <item m="1" x="8"/>
        <item m="1" x="81"/>
        <item m="1" x="68"/>
        <item m="1" x="56"/>
        <item m="1" x="43"/>
        <item m="1" x="24"/>
        <item m="1" x="14"/>
        <item m="1" x="71"/>
        <item m="1" x="60"/>
        <item m="1" x="47"/>
        <item m="1" x="33"/>
        <item m="1" x="18"/>
        <item m="1" x="92"/>
        <item m="1" x="80"/>
        <item m="1" x="51"/>
        <item m="1" x="38"/>
        <item m="1" x="20"/>
        <item m="1" x="11"/>
        <item m="1" x="84"/>
        <item m="1" x="70"/>
        <item m="1" x="59"/>
        <item m="1" x="46"/>
        <item m="1" x="31"/>
        <item m="1" x="23"/>
        <item m="1" x="13"/>
        <item m="1" x="87"/>
        <item m="1" x="76"/>
        <item m="1" x="65"/>
        <item m="1" x="50"/>
        <item x="1"/>
        <item m="1" x="85"/>
        <item m="1" x="48"/>
        <item m="1" x="75"/>
        <item x="0"/>
        <item t="default"/>
      </items>
    </pivotField>
    <pivotField axis="axisPage" showAll="0">
      <items count="17">
        <item x="0"/>
        <item m="1" x="14"/>
        <item m="1" x="12"/>
        <item m="1" x="10"/>
        <item m="1" x="4"/>
        <item m="1" x="8"/>
        <item m="1" x="7"/>
        <item m="1" x="9"/>
        <item m="1" x="5"/>
        <item m="1" x="15"/>
        <item m="1" x="11"/>
        <item x="1"/>
        <item m="1" x="13"/>
        <item m="1" x="6"/>
        <item x="2"/>
        <item x="3"/>
        <item t="default"/>
      </items>
    </pivotField>
    <pivotField axis="axisRow">
      <items count="8">
        <item h="1" x="0"/>
        <item x="2"/>
        <item x="3"/>
        <item x="4"/>
        <item x="5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4">
    <pageField fld="32" item="11" hier="-1"/>
    <pageField fld="31" item="14" hier="-1"/>
    <pageField fld="1" item="1" hier="-1"/>
    <pageField fld="4" item="1" hier="-1"/>
  </pageFields>
  <dataFields count="1">
    <dataField name="Count of Key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55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9C8E6-5E12-4704-8BF3-5BB9FC59B1D7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7:T14" firstHeaderRow="0" firstDataRow="1" firstDataCol="1" rowPageCount="3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0"/>
        <item x="2"/>
        <item m="1" x="26"/>
        <item m="1" x="18"/>
        <item x="6"/>
        <item x="5"/>
        <item m="1" x="21"/>
        <item m="1" x="17"/>
        <item m="1" x="13"/>
        <item m="1" x="11"/>
        <item m="1" x="23"/>
        <item m="1" x="16"/>
        <item m="1" x="24"/>
        <item m="1" x="20"/>
        <item m="1" x="22"/>
        <item x="4"/>
        <item m="1" x="27"/>
        <item m="1" x="12"/>
        <item m="1" x="15"/>
        <item m="1" x="19"/>
        <item m="1" x="25"/>
        <item m="1" x="14"/>
        <item x="1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7">
        <item x="0"/>
        <item m="1" x="14"/>
        <item m="1" x="12"/>
        <item m="1" x="10"/>
        <item m="1" x="4"/>
        <item m="1" x="8"/>
        <item m="1" x="7"/>
        <item m="1" x="9"/>
        <item m="1" x="5"/>
        <item m="1" x="15"/>
        <item m="1" x="11"/>
        <item x="1"/>
        <item m="1" x="13"/>
        <item m="1"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7">
    <i>
      <x v="4"/>
    </i>
    <i r="1">
      <x v="2"/>
    </i>
    <i>
      <x v="22"/>
    </i>
    <i r="1">
      <x v="2"/>
    </i>
    <i>
      <x v="27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2" item="15" hier="-1"/>
    <pageField fld="1" item="5" hier="-1"/>
    <pageField fld="45" item="2" hier="-1"/>
  </pageFields>
  <dataFields count="4">
    <dataField name="Sum of Epic Total Estimate" fld="15" baseField="10" baseItem="0"/>
    <dataField name="Sum of Stories Estimate" fld="14" baseField="10" baseItem="0"/>
    <dataField name="Sum of Epic Decomposed" fld="22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955A3-3AC9-442C-A3A3-5D578F232D0E}" name="PivotTable1" cacheId="16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O7:R15" firstHeaderRow="0" firstDataRow="1" firstDataCol="1" rowPageCount="3" colPageCount="1"/>
  <pivotFields count="55">
    <pivotField showAll="0"/>
    <pivotField axis="axisPage" multipleItemSelectionAllowed="1" showAll="0">
      <items count="9">
        <item h="1" x="0"/>
        <item h="1" x="6"/>
        <item h="1" x="7"/>
        <item h="1" x="2"/>
        <item h="1" x="4"/>
        <item x="3"/>
        <item h="1" x="5"/>
        <item h="1"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7">
        <item x="0"/>
        <item m="1" x="14"/>
        <item m="1" x="12"/>
        <item m="1" x="10"/>
        <item m="1" x="4"/>
        <item m="1" x="8"/>
        <item m="1" x="7"/>
        <item m="1" x="9"/>
        <item m="1" x="5"/>
        <item m="1" x="15"/>
        <item m="1" x="11"/>
        <item x="1"/>
        <item m="1" x="13"/>
        <item m="1" x="6"/>
        <item x="2"/>
        <item x="3"/>
        <item t="default"/>
      </items>
    </pivotField>
    <pivotField showAll="0"/>
    <pivotField showAll="0"/>
    <pivotField axis="axisRow" showAll="0">
      <items count="16">
        <item m="1" x="14"/>
        <item m="1" x="9"/>
        <item m="1" x="10"/>
        <item x="3"/>
        <item x="4"/>
        <item x="2"/>
        <item m="1" x="13"/>
        <item x="5"/>
        <item x="8"/>
        <item x="7"/>
        <item x="6"/>
        <item m="1" x="11"/>
        <item m="1" x="1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3">
    <field x="35"/>
    <field x="2"/>
    <field x="4"/>
  </rowFields>
  <rowItems count="8">
    <i>
      <x v="13"/>
    </i>
    <i r="1">
      <x v="2"/>
    </i>
    <i r="2">
      <x v="35"/>
    </i>
    <i r="2">
      <x v="36"/>
    </i>
    <i r="2">
      <x v="38"/>
    </i>
    <i r="2">
      <x v="40"/>
    </i>
    <i r="2"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2" item="15" hier="-1"/>
    <pageField fld="1" hier="-1"/>
    <pageField fld="45" item="2" hier="-1"/>
  </pageFields>
  <dataFields count="3">
    <dataField name="Sum of Story Points" fld="13" baseField="10" baseItem="0"/>
    <dataField name="Sum of Story Decomposed SP" fld="50" baseField="10" baseItem="0"/>
    <dataField name="Sum of Story Remaining SP" fld="51" baseField="1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hier="-1"/>
    <pageField fld="10" item="22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4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6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4" hier="-1"/>
    <pageField fld="1" hier="-1"/>
    <pageField fld="10" item="14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6" firstHeaderRow="0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x="1"/>
        <item m="1" x="18"/>
        <item m="1" x="13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7">
        <item h="1" x="0"/>
        <item m="1" x="12"/>
        <item m="1" x="10"/>
        <item h="1" x="1"/>
        <item m="1" x="4"/>
        <item m="1" x="8"/>
        <item h="1" m="1" x="7"/>
        <item h="1" m="1" x="9"/>
        <item h="1" m="1" x="5"/>
        <item h="1" m="1" x="15"/>
        <item m="1" x="11"/>
        <item h="1" m="1" x="14"/>
        <item h="1" m="1" x="13"/>
        <item h="1" m="1" x="6"/>
        <item h="1" x="2"/>
        <item h="1"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56" firstHeaderRow="1" firstDataRow="1" firstDataCol="1" rowPageCount="3" colPageCount="1"/>
  <pivotFields count="55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7">
        <item x="0"/>
        <item m="1" x="12"/>
        <item m="1" x="10"/>
        <item x="1"/>
        <item m="1" x="4"/>
        <item m="1" x="8"/>
        <item m="1" x="7"/>
        <item m="1" x="9"/>
        <item m="1" x="5"/>
        <item m="1" x="15"/>
        <item m="1" x="11"/>
        <item m="1" x="14"/>
        <item m="1" x="13"/>
        <item m="1" x="6"/>
        <item x="2"/>
        <item x="3"/>
        <item t="default"/>
      </items>
    </pivotField>
    <pivotField subtotalTop="0" showAll="0"/>
    <pivotField subtotalTop="0" showAll="0"/>
    <pivotField axis="axisRow" showAll="0">
      <items count="16">
        <item m="1" x="9"/>
        <item x="2"/>
        <item x="4"/>
        <item x="8"/>
        <item x="3"/>
        <item m="1" x="12"/>
        <item m="1" x="13"/>
        <item x="5"/>
        <item m="1" x="11"/>
        <item x="6"/>
        <item x="7"/>
        <item x="1"/>
        <item m="1" x="10"/>
        <item m="1" x="14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2">
    <i>
      <x v="1"/>
    </i>
    <i t="grand">
      <x/>
    </i>
  </rowItems>
  <colItems count="1">
    <i/>
  </colItems>
  <pageFields count="3">
    <pageField fld="1" item="2" hier="-1"/>
    <pageField fld="32" item="14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2" dataDxfId="10" headerRowBorderDxfId="11" tableBorderDxfId="9" totalsRowBorderDxfId="8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7"/>
    <tableColumn id="2" xr3:uid="{00000000-0010-0000-0000-000002000000}" name="End Date" dataDxfId="6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5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4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3">
      <calculatedColumnFormula>GETPIVOTDATA("Epic Not Decomposed Estimate",$B$3)</calculatedColumnFormula>
    </tableColumn>
    <tableColumn id="3" xr3:uid="{00000000-0010-0000-0200-000003000000}" name="Stories Ready" dataDxfId="2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1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317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245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174</v>
      </c>
      <c r="B7" s="20">
        <v>5</v>
      </c>
    </row>
    <row r="8" spans="1:2" x14ac:dyDescent="0.3">
      <c r="A8" s="17" t="s">
        <v>50</v>
      </c>
      <c r="B8" s="20">
        <v>5</v>
      </c>
    </row>
    <row r="13" spans="1:2" x14ac:dyDescent="0.3">
      <c r="A13" s="17" t="s">
        <v>50</v>
      </c>
      <c r="B13">
        <f>GETPIVOTDATA("Story Points", $A$6)</f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245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255</v>
      </c>
      <c r="C6" s="20"/>
      <c r="K6" t="s">
        <v>187</v>
      </c>
      <c r="L6" t="s">
        <v>235</v>
      </c>
      <c r="M6" t="s">
        <v>186</v>
      </c>
    </row>
    <row r="7" spans="2:13" x14ac:dyDescent="0.3">
      <c r="B7" s="17" t="s">
        <v>256</v>
      </c>
      <c r="C7" s="20"/>
      <c r="K7" t="s">
        <v>255</v>
      </c>
      <c r="L7">
        <v>118</v>
      </c>
    </row>
    <row r="8" spans="2:13" x14ac:dyDescent="0.3">
      <c r="B8" s="17" t="s">
        <v>257</v>
      </c>
      <c r="C8" s="20"/>
      <c r="K8" t="s">
        <v>256</v>
      </c>
      <c r="L8">
        <v>71.5</v>
      </c>
    </row>
    <row r="9" spans="2:13" x14ac:dyDescent="0.3">
      <c r="B9" s="17" t="s">
        <v>258</v>
      </c>
      <c r="C9" s="20"/>
      <c r="K9" t="s">
        <v>257</v>
      </c>
      <c r="L9">
        <v>85.5</v>
      </c>
    </row>
    <row r="10" spans="2:13" x14ac:dyDescent="0.3">
      <c r="B10" s="17" t="s">
        <v>259</v>
      </c>
      <c r="C10" s="20"/>
      <c r="K10" t="s">
        <v>258</v>
      </c>
      <c r="L10">
        <v>96.25</v>
      </c>
    </row>
    <row r="11" spans="2:13" x14ac:dyDescent="0.3">
      <c r="B11" s="17" t="s">
        <v>267</v>
      </c>
      <c r="C11" s="20"/>
      <c r="K11" t="s">
        <v>259</v>
      </c>
      <c r="L11">
        <v>57</v>
      </c>
    </row>
    <row r="12" spans="2:13" x14ac:dyDescent="0.3">
      <c r="B12" s="17" t="s">
        <v>50</v>
      </c>
      <c r="C12" s="20"/>
      <c r="K12" t="s">
        <v>267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428.25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Austin3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275</v>
      </c>
    </row>
    <row r="3" spans="1:5" x14ac:dyDescent="0.3">
      <c r="D3" s="16" t="s">
        <v>245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147</v>
      </c>
      <c r="E6" s="20">
        <v>10</v>
      </c>
    </row>
    <row r="7" spans="1:5" x14ac:dyDescent="0.3">
      <c r="D7" s="17" t="s">
        <v>183</v>
      </c>
      <c r="E7" s="20">
        <v>10</v>
      </c>
    </row>
    <row r="8" spans="1:5" x14ac:dyDescent="0.3">
      <c r="D8" s="17" t="s">
        <v>50</v>
      </c>
      <c r="E8" s="20">
        <v>20</v>
      </c>
    </row>
    <row r="15" spans="1:5" x14ac:dyDescent="0.3">
      <c r="D15" t="s">
        <v>50</v>
      </c>
      <c r="E15">
        <f>GETPIVOTDATA("Story Points", $D$5)</f>
        <v>20</v>
      </c>
    </row>
    <row r="16" spans="1:5" x14ac:dyDescent="0.3">
      <c r="D16" t="s">
        <v>250</v>
      </c>
      <c r="E16" t="str">
        <f>"Sprint " &amp; SUBSTITUTE($B$1,"Belarus", "") &amp; " Progress"</f>
        <v>Sprint Austin3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P27" sqref="P27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1"/>
  <sheetViews>
    <sheetView workbookViewId="0">
      <selection activeCell="C24" sqref="C24"/>
    </sheetView>
  </sheetViews>
  <sheetFormatPr defaultRowHeight="14.4" x14ac:dyDescent="0.3"/>
  <cols>
    <col min="2" max="2" width="13.109375" bestFit="1" customWidth="1"/>
    <col min="3" max="3" width="16.1093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249</v>
      </c>
    </row>
    <row r="3" spans="1:7" x14ac:dyDescent="0.3">
      <c r="G3" t="s">
        <v>247</v>
      </c>
    </row>
    <row r="4" spans="1:7" x14ac:dyDescent="0.3">
      <c r="B4" s="16" t="s">
        <v>134</v>
      </c>
      <c r="C4" t="s">
        <v>317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/>
    </row>
    <row r="11" spans="1:7" x14ac:dyDescent="0.3">
      <c r="B11" s="17" t="s">
        <v>155</v>
      </c>
      <c r="C11" s="20"/>
    </row>
    <row r="12" spans="1:7" x14ac:dyDescent="0.3">
      <c r="B12" s="17" t="s">
        <v>156</v>
      </c>
      <c r="C12" s="20"/>
    </row>
    <row r="13" spans="1:7" x14ac:dyDescent="0.3">
      <c r="B13" s="17" t="s">
        <v>157</v>
      </c>
      <c r="C13" s="20"/>
    </row>
    <row r="14" spans="1:7" x14ac:dyDescent="0.3">
      <c r="B14" s="17" t="s">
        <v>158</v>
      </c>
      <c r="C14" s="20"/>
    </row>
    <row r="15" spans="1:7" x14ac:dyDescent="0.3">
      <c r="B15" s="17" t="s">
        <v>50</v>
      </c>
      <c r="C15" s="20"/>
    </row>
    <row r="18" spans="2:10" x14ac:dyDescent="0.3">
      <c r="B18" s="17" t="s">
        <v>50</v>
      </c>
      <c r="C18">
        <f>GETPIVOTDATA("Key", $B$9)</f>
        <v>0</v>
      </c>
    </row>
    <row r="21" spans="2:10" x14ac:dyDescent="0.3">
      <c r="J21" s="95"/>
    </row>
    <row r="23" spans="2:10" x14ac:dyDescent="0.3">
      <c r="B23" s="16" t="s">
        <v>134</v>
      </c>
      <c r="C23" t="s">
        <v>183</v>
      </c>
    </row>
    <row r="24" spans="2:10" x14ac:dyDescent="0.3">
      <c r="B24" s="16" t="s">
        <v>162</v>
      </c>
      <c r="C24" t="s">
        <v>279</v>
      </c>
    </row>
    <row r="25" spans="2:10" x14ac:dyDescent="0.3">
      <c r="B25" s="16" t="s">
        <v>9</v>
      </c>
      <c r="C25" t="s">
        <v>65</v>
      </c>
    </row>
    <row r="26" spans="2:10" x14ac:dyDescent="0.3">
      <c r="B26" s="16" t="s">
        <v>0</v>
      </c>
      <c r="C26" t="s">
        <v>80</v>
      </c>
    </row>
    <row r="28" spans="2:10" x14ac:dyDescent="0.3">
      <c r="B28" s="16" t="s">
        <v>139</v>
      </c>
      <c r="C28" t="s">
        <v>159</v>
      </c>
    </row>
    <row r="29" spans="2:10" x14ac:dyDescent="0.3">
      <c r="B29" s="17" t="s">
        <v>154</v>
      </c>
      <c r="C29" s="20"/>
    </row>
    <row r="30" spans="2:10" x14ac:dyDescent="0.3">
      <c r="B30" s="17" t="s">
        <v>155</v>
      </c>
      <c r="C30" s="20"/>
    </row>
    <row r="31" spans="2:10" x14ac:dyDescent="0.3">
      <c r="B31" s="17" t="s">
        <v>156</v>
      </c>
      <c r="C31" s="20"/>
    </row>
    <row r="32" spans="2:10" x14ac:dyDescent="0.3">
      <c r="B32" s="17" t="s">
        <v>157</v>
      </c>
      <c r="C32" s="20"/>
    </row>
    <row r="33" spans="2:8" x14ac:dyDescent="0.3">
      <c r="B33" s="17" t="s">
        <v>158</v>
      </c>
      <c r="C33" s="20"/>
    </row>
    <row r="34" spans="2:8" x14ac:dyDescent="0.3">
      <c r="B34" s="17" t="s">
        <v>50</v>
      </c>
      <c r="C34" s="20"/>
    </row>
    <row r="41" spans="2:8" x14ac:dyDescent="0.3">
      <c r="E41" s="20"/>
      <c r="F41" s="20"/>
      <c r="G41" s="20"/>
      <c r="H41" s="20"/>
    </row>
    <row r="42" spans="2:8" x14ac:dyDescent="0.3">
      <c r="E42" s="20"/>
      <c r="F42" s="20"/>
      <c r="G42" s="20"/>
      <c r="H42" s="20"/>
    </row>
    <row r="43" spans="2:8" x14ac:dyDescent="0.3">
      <c r="E43" s="20"/>
      <c r="F43" s="20"/>
      <c r="G43" s="20"/>
      <c r="H43" s="20"/>
    </row>
    <row r="44" spans="2:8" x14ac:dyDescent="0.3">
      <c r="E44" s="20"/>
      <c r="F44" s="20"/>
      <c r="G44" s="20"/>
      <c r="H44" s="20"/>
    </row>
    <row r="45" spans="2:8" x14ac:dyDescent="0.3">
      <c r="E45" s="20"/>
      <c r="F45" s="20"/>
      <c r="G45" s="20"/>
      <c r="H45" s="20"/>
    </row>
    <row r="46" spans="2:8" x14ac:dyDescent="0.3">
      <c r="B46" s="17"/>
      <c r="C46" s="20"/>
      <c r="D46" s="20"/>
      <c r="E46" s="20"/>
      <c r="F46" s="20"/>
      <c r="G46" s="20"/>
      <c r="H46" s="20"/>
    </row>
    <row r="47" spans="2:8" x14ac:dyDescent="0.3">
      <c r="B47" s="17"/>
      <c r="C47" s="20"/>
      <c r="D47" s="20"/>
      <c r="E47" s="20"/>
      <c r="F47" s="20"/>
      <c r="G47" s="20"/>
      <c r="H47" s="20"/>
    </row>
    <row r="48" spans="2:8" x14ac:dyDescent="0.3">
      <c r="B48" s="17"/>
      <c r="C48" s="20" t="str">
        <f t="shared" ref="C48:H49" si="0">IF(C37=0,"",C37)</f>
        <v/>
      </c>
      <c r="D48" s="20" t="str">
        <f t="shared" si="0"/>
        <v/>
      </c>
      <c r="E48" s="20" t="str">
        <f t="shared" si="0"/>
        <v/>
      </c>
      <c r="F48" s="20" t="str">
        <f t="shared" si="0"/>
        <v/>
      </c>
      <c r="G48" s="20" t="str">
        <f t="shared" si="0"/>
        <v/>
      </c>
      <c r="H48" s="20" t="str">
        <f t="shared" si="0"/>
        <v/>
      </c>
    </row>
    <row r="49" spans="2:11" x14ac:dyDescent="0.3">
      <c r="B49" s="17"/>
      <c r="C49" s="20" t="str">
        <f t="shared" si="0"/>
        <v/>
      </c>
      <c r="D49" s="20" t="str">
        <f t="shared" si="0"/>
        <v/>
      </c>
      <c r="E49" s="20" t="str">
        <f t="shared" si="0"/>
        <v/>
      </c>
      <c r="F49" s="20" t="str">
        <f t="shared" si="0"/>
        <v/>
      </c>
      <c r="G49" s="20" t="str">
        <f t="shared" si="0"/>
        <v/>
      </c>
      <c r="H49" s="20" t="str">
        <f t="shared" si="0"/>
        <v/>
      </c>
    </row>
    <row r="50" spans="2:11" x14ac:dyDescent="0.3">
      <c r="B50" s="17"/>
      <c r="C50" s="20"/>
      <c r="D50" s="20"/>
      <c r="E50" s="20"/>
      <c r="F50" s="20"/>
      <c r="G50" s="20"/>
      <c r="H50" s="20"/>
    </row>
    <row r="51" spans="2:11" x14ac:dyDescent="0.3">
      <c r="K51" s="80"/>
    </row>
  </sheetData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B779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5.3320312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48" width="22.21875" style="5" customWidth="1"/>
    <col min="49" max="49" width="13.77734375" style="5" customWidth="1"/>
    <col min="50" max="50" width="18.109375" style="5" customWidth="1"/>
    <col min="51" max="51" width="20.88671875" style="5" customWidth="1"/>
    <col min="52" max="53" width="19.5546875" style="5" customWidth="1"/>
    <col min="54" max="16384" width="9.109375" style="3"/>
  </cols>
  <sheetData>
    <row r="1" spans="1:54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254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236</v>
      </c>
      <c r="AT1" s="1" t="s">
        <v>245</v>
      </c>
      <c r="AU1" s="1" t="s">
        <v>216</v>
      </c>
      <c r="AV1" s="1" t="s">
        <v>304</v>
      </c>
      <c r="AW1" s="1" t="s">
        <v>270</v>
      </c>
      <c r="AX1" s="1" t="s">
        <v>204</v>
      </c>
      <c r="AY1" s="1" t="s">
        <v>296</v>
      </c>
      <c r="AZ1" s="1" t="s">
        <v>297</v>
      </c>
      <c r="BA1" s="1" t="s">
        <v>316</v>
      </c>
      <c r="BB1" s="3" t="s">
        <v>318</v>
      </c>
    </row>
    <row r="2" spans="1:54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320</v>
      </c>
      <c r="AG2" s="15" t="s">
        <v>135</v>
      </c>
      <c r="AH2" s="10" t="s">
        <v>46</v>
      </c>
      <c r="AI2" s="10" t="s">
        <v>145</v>
      </c>
      <c r="AJ2" s="10" t="s">
        <v>315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237</v>
      </c>
      <c r="AT2" s="15" t="s">
        <v>246</v>
      </c>
      <c r="AU2" s="15" t="s">
        <v>269</v>
      </c>
      <c r="AV2" s="15"/>
      <c r="AW2" s="15" t="s">
        <v>299</v>
      </c>
      <c r="AX2" s="15" t="s">
        <v>295</v>
      </c>
      <c r="AY2" s="15" t="s">
        <v>298</v>
      </c>
      <c r="AZ2" s="15" t="s">
        <v>305</v>
      </c>
      <c r="BA2" s="15" t="s">
        <v>314</v>
      </c>
      <c r="BB2" s="5" t="s">
        <v>11</v>
      </c>
    </row>
    <row r="3" spans="1:54" x14ac:dyDescent="0.3">
      <c r="A3" s="3" t="s">
        <v>53</v>
      </c>
      <c r="AV3" s="96"/>
    </row>
    <row r="4" spans="1:54" x14ac:dyDescent="0.3">
      <c r="A4" s="5" t="str">
        <f>"key " &amp; ROW(A4)</f>
        <v>key 4</v>
      </c>
      <c r="B4" s="3" t="s">
        <v>61</v>
      </c>
      <c r="D4" s="4" t="s">
        <v>221</v>
      </c>
      <c r="E4" s="19" t="s">
        <v>85</v>
      </c>
      <c r="V4" s="4" t="s">
        <v>221</v>
      </c>
      <c r="W4" s="4"/>
      <c r="AE4" s="5" t="s">
        <v>273</v>
      </c>
      <c r="AG4" s="5" t="s">
        <v>317</v>
      </c>
      <c r="AI4" s="5" t="s">
        <v>146</v>
      </c>
      <c r="AJ4" s="10" t="s">
        <v>260</v>
      </c>
      <c r="AL4" s="4" t="s">
        <v>221</v>
      </c>
      <c r="AM4" s="4" t="s">
        <v>221</v>
      </c>
      <c r="AN4" s="4"/>
      <c r="AO4" s="4"/>
      <c r="AP4" s="4"/>
      <c r="AQ4" s="4"/>
      <c r="AT4" s="5" t="s">
        <v>217</v>
      </c>
      <c r="AV4" s="96"/>
    </row>
    <row r="5" spans="1:54" ht="27.6" x14ac:dyDescent="0.3">
      <c r="A5" s="5" t="str">
        <f t="shared" ref="A5:A68" si="0">"key " &amp; ROW(A5)</f>
        <v>key 5</v>
      </c>
      <c r="B5" s="5" t="s">
        <v>64</v>
      </c>
      <c r="D5" s="4" t="s">
        <v>221</v>
      </c>
      <c r="E5" s="19" t="s">
        <v>86</v>
      </c>
      <c r="G5" s="5"/>
      <c r="J5" s="5"/>
      <c r="K5" s="5" t="s">
        <v>253</v>
      </c>
      <c r="N5" s="5">
        <v>5</v>
      </c>
      <c r="V5" s="4" t="s">
        <v>221</v>
      </c>
      <c r="W5" s="4"/>
      <c r="AE5" s="5" t="s">
        <v>274</v>
      </c>
      <c r="AG5" s="5" t="s">
        <v>317</v>
      </c>
      <c r="AI5" s="5" t="s">
        <v>174</v>
      </c>
      <c r="AJ5" s="10" t="s">
        <v>253</v>
      </c>
      <c r="AL5" s="4" t="s">
        <v>221</v>
      </c>
      <c r="AM5" s="4" t="s">
        <v>221</v>
      </c>
      <c r="AN5" s="4"/>
      <c r="AO5" s="4"/>
      <c r="AP5" s="4"/>
      <c r="AQ5" s="4"/>
      <c r="AT5" s="5" t="s">
        <v>217</v>
      </c>
      <c r="AU5" s="5" t="s">
        <v>217</v>
      </c>
      <c r="AV5" s="96"/>
      <c r="AX5" s="5" t="s">
        <v>217</v>
      </c>
      <c r="BA5" s="5" t="s">
        <v>306</v>
      </c>
    </row>
    <row r="6" spans="1:54" x14ac:dyDescent="0.3">
      <c r="A6" s="5" t="str">
        <f t="shared" si="0"/>
        <v>key 6</v>
      </c>
      <c r="B6" s="5" t="s">
        <v>62</v>
      </c>
      <c r="C6" s="18" t="s">
        <v>58</v>
      </c>
      <c r="D6" s="4" t="s">
        <v>221</v>
      </c>
      <c r="E6" s="19" t="s">
        <v>87</v>
      </c>
      <c r="N6" s="5">
        <v>10</v>
      </c>
      <c r="V6" s="4" t="s">
        <v>221</v>
      </c>
      <c r="W6" s="4"/>
      <c r="AE6" s="5" t="s">
        <v>275</v>
      </c>
      <c r="AI6" s="5" t="s">
        <v>147</v>
      </c>
      <c r="AJ6" s="5" t="s">
        <v>261</v>
      </c>
      <c r="AL6" s="4" t="s">
        <v>221</v>
      </c>
      <c r="AM6" s="4" t="s">
        <v>221</v>
      </c>
      <c r="AN6" s="4"/>
      <c r="AO6" s="4"/>
      <c r="AP6" s="4"/>
      <c r="AQ6" s="4"/>
      <c r="AT6" s="5" t="s">
        <v>217</v>
      </c>
      <c r="AU6" s="5" t="s">
        <v>217</v>
      </c>
      <c r="AV6" s="96"/>
      <c r="AX6" s="5" t="s">
        <v>218</v>
      </c>
      <c r="BA6" s="5" t="s">
        <v>307</v>
      </c>
    </row>
    <row r="7" spans="1:54" x14ac:dyDescent="0.3">
      <c r="A7" s="5" t="str">
        <f t="shared" si="0"/>
        <v>key 7</v>
      </c>
      <c r="B7" s="5" t="s">
        <v>63</v>
      </c>
      <c r="D7" s="4" t="s">
        <v>221</v>
      </c>
      <c r="E7" s="19" t="s">
        <v>88</v>
      </c>
      <c r="N7" s="5">
        <v>20</v>
      </c>
      <c r="V7" s="4" t="s">
        <v>221</v>
      </c>
      <c r="W7" s="4"/>
      <c r="AE7" s="5" t="s">
        <v>276</v>
      </c>
      <c r="AI7" s="5" t="s">
        <v>148</v>
      </c>
      <c r="AJ7" s="5" t="s">
        <v>57</v>
      </c>
      <c r="AL7" s="4" t="s">
        <v>221</v>
      </c>
      <c r="AM7" s="4" t="s">
        <v>221</v>
      </c>
      <c r="AN7" s="4"/>
      <c r="AO7" s="4"/>
      <c r="AP7" s="4"/>
      <c r="AQ7" s="4"/>
      <c r="AU7" s="5" t="s">
        <v>217</v>
      </c>
      <c r="AV7" s="96"/>
      <c r="BA7" s="5" t="s">
        <v>308</v>
      </c>
    </row>
    <row r="8" spans="1:54" ht="27.6" x14ac:dyDescent="0.3">
      <c r="A8" s="5" t="str">
        <f t="shared" si="0"/>
        <v>key 8</v>
      </c>
      <c r="B8" s="5" t="s">
        <v>65</v>
      </c>
      <c r="D8" s="4" t="s">
        <v>221</v>
      </c>
      <c r="E8" s="19" t="s">
        <v>89</v>
      </c>
      <c r="V8" s="4" t="s">
        <v>221</v>
      </c>
      <c r="W8" s="4"/>
      <c r="AE8" s="5" t="s">
        <v>277</v>
      </c>
      <c r="AI8" s="5" t="s">
        <v>150</v>
      </c>
      <c r="AJ8" s="10" t="s">
        <v>184</v>
      </c>
      <c r="AL8" s="4" t="s">
        <v>221</v>
      </c>
      <c r="AM8" s="4" t="s">
        <v>221</v>
      </c>
      <c r="AN8" s="4"/>
      <c r="AO8" s="4"/>
      <c r="AP8" s="4"/>
      <c r="AQ8" s="4"/>
      <c r="AT8" s="5" t="s">
        <v>217</v>
      </c>
      <c r="AU8" s="5" t="s">
        <v>218</v>
      </c>
      <c r="AV8" s="96"/>
      <c r="BA8" s="5" t="s">
        <v>309</v>
      </c>
    </row>
    <row r="9" spans="1:54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  <c r="AV9" s="96"/>
      <c r="BA9" s="5" t="s">
        <v>310</v>
      </c>
    </row>
    <row r="10" spans="1:54" x14ac:dyDescent="0.3">
      <c r="A10" s="5" t="str">
        <f t="shared" si="0"/>
        <v>key 10</v>
      </c>
      <c r="B10" s="5" t="s">
        <v>57</v>
      </c>
      <c r="D10" s="4" t="s">
        <v>221</v>
      </c>
      <c r="E10" s="19" t="s">
        <v>91</v>
      </c>
      <c r="V10" s="4" t="s">
        <v>221</v>
      </c>
      <c r="W10" s="4"/>
      <c r="AE10" s="5" t="s">
        <v>273</v>
      </c>
      <c r="AI10" s="5" t="s">
        <v>151</v>
      </c>
      <c r="AL10" s="4" t="s">
        <v>221</v>
      </c>
      <c r="AM10" s="4" t="s">
        <v>221</v>
      </c>
      <c r="AN10" s="4"/>
      <c r="AO10" s="4"/>
      <c r="AP10" s="4"/>
      <c r="AQ10" s="4"/>
      <c r="AT10" s="5" t="s">
        <v>217</v>
      </c>
      <c r="AU10" s="5" t="s">
        <v>218</v>
      </c>
      <c r="AV10" s="96"/>
      <c r="BA10" s="5" t="s">
        <v>311</v>
      </c>
    </row>
    <row r="11" spans="1:54" x14ac:dyDescent="0.3">
      <c r="A11" s="5" t="str">
        <f t="shared" si="0"/>
        <v>key 11</v>
      </c>
      <c r="B11" s="5" t="s">
        <v>57</v>
      </c>
      <c r="D11" s="4" t="s">
        <v>221</v>
      </c>
      <c r="E11" s="19" t="s">
        <v>92</v>
      </c>
      <c r="V11" s="4" t="s">
        <v>221</v>
      </c>
      <c r="W11" s="4"/>
      <c r="AE11" s="5" t="s">
        <v>274</v>
      </c>
      <c r="AL11" s="4" t="s">
        <v>221</v>
      </c>
      <c r="AM11" s="4" t="s">
        <v>221</v>
      </c>
      <c r="AN11" s="4"/>
      <c r="AO11" s="4"/>
      <c r="AP11" s="4"/>
      <c r="AQ11" s="4"/>
      <c r="AT11" s="5" t="s">
        <v>217</v>
      </c>
      <c r="AV11" s="96"/>
      <c r="BA11" s="5" t="s">
        <v>312</v>
      </c>
    </row>
    <row r="12" spans="1:54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275</v>
      </c>
      <c r="AF12" s="5" t="s">
        <v>271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  <c r="AV12" s="96"/>
      <c r="BA12" s="5" t="s">
        <v>313</v>
      </c>
    </row>
    <row r="13" spans="1:54" x14ac:dyDescent="0.3">
      <c r="A13" s="5" t="str">
        <f t="shared" si="0"/>
        <v>key 13</v>
      </c>
      <c r="B13" s="5"/>
      <c r="D13" s="4" t="s">
        <v>221</v>
      </c>
      <c r="E13" s="19" t="s">
        <v>94</v>
      </c>
      <c r="V13" s="4" t="s">
        <v>221</v>
      </c>
      <c r="W13" s="4"/>
      <c r="AE13" s="5" t="s">
        <v>276</v>
      </c>
      <c r="AF13" s="5" t="s">
        <v>272</v>
      </c>
      <c r="AL13" s="4"/>
      <c r="AM13" s="4"/>
      <c r="AN13" s="4"/>
      <c r="AO13" s="4"/>
      <c r="AP13" s="4"/>
      <c r="AQ13" s="4"/>
      <c r="AT13" s="5" t="s">
        <v>217</v>
      </c>
      <c r="AV13" s="96"/>
      <c r="BA13" s="5" t="s">
        <v>184</v>
      </c>
    </row>
    <row r="14" spans="1:54" x14ac:dyDescent="0.3">
      <c r="A14" s="5" t="str">
        <f t="shared" si="0"/>
        <v>key 14</v>
      </c>
      <c r="B14" s="5" t="s">
        <v>64</v>
      </c>
      <c r="D14" s="4" t="s">
        <v>221</v>
      </c>
      <c r="E14" s="19" t="s">
        <v>95</v>
      </c>
      <c r="K14" s="5" t="s">
        <v>303</v>
      </c>
      <c r="N14" s="5">
        <v>0</v>
      </c>
      <c r="V14" s="4" t="s">
        <v>221</v>
      </c>
      <c r="W14" s="4"/>
      <c r="AE14" s="5" t="s">
        <v>277</v>
      </c>
      <c r="AF14" s="5" t="s">
        <v>279</v>
      </c>
      <c r="AG14" s="5" t="s">
        <v>319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  <c r="AV14" s="96"/>
      <c r="BA14" s="5" t="s">
        <v>185</v>
      </c>
    </row>
    <row r="15" spans="1:54" ht="27.6" x14ac:dyDescent="0.3">
      <c r="A15" s="5" t="str">
        <f t="shared" si="0"/>
        <v>key 15</v>
      </c>
      <c r="B15" s="5"/>
      <c r="D15" s="4" t="s">
        <v>221</v>
      </c>
      <c r="E15" s="19" t="s">
        <v>96</v>
      </c>
      <c r="V15" s="4" t="s">
        <v>221</v>
      </c>
      <c r="W15" s="4"/>
      <c r="AE15" s="5" t="s">
        <v>278</v>
      </c>
      <c r="AF15" s="5" t="s">
        <v>280</v>
      </c>
      <c r="AL15" s="4"/>
      <c r="AM15" s="4"/>
      <c r="AN15" s="4"/>
      <c r="AO15" s="4"/>
      <c r="AP15" s="4"/>
      <c r="AQ15" s="4"/>
      <c r="AT15" s="5" t="s">
        <v>217</v>
      </c>
      <c r="AV15" s="96"/>
    </row>
    <row r="16" spans="1:54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273</v>
      </c>
      <c r="AF16" s="5" t="s">
        <v>281</v>
      </c>
      <c r="AS16" s="5" t="s">
        <v>238</v>
      </c>
      <c r="AT16" s="5" t="s">
        <v>217</v>
      </c>
      <c r="AV16" s="96"/>
    </row>
    <row r="17" spans="1:48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278</v>
      </c>
      <c r="AF17" s="5" t="s">
        <v>282</v>
      </c>
      <c r="AS17" s="5" t="s">
        <v>239</v>
      </c>
      <c r="AT17" s="5" t="s">
        <v>217</v>
      </c>
      <c r="AV17" s="96"/>
    </row>
    <row r="18" spans="1:48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275</v>
      </c>
      <c r="AF18" s="5" t="s">
        <v>271</v>
      </c>
      <c r="AS18" s="5" t="s">
        <v>240</v>
      </c>
      <c r="AT18" s="5" t="s">
        <v>217</v>
      </c>
      <c r="AV18" s="96"/>
    </row>
    <row r="19" spans="1:48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276</v>
      </c>
      <c r="AF19" s="5" t="s">
        <v>272</v>
      </c>
      <c r="AS19" s="5" t="s">
        <v>241</v>
      </c>
      <c r="AT19" s="5" t="s">
        <v>217</v>
      </c>
      <c r="AV19" s="96"/>
    </row>
    <row r="20" spans="1:48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277</v>
      </c>
      <c r="AF20" s="5" t="s">
        <v>279</v>
      </c>
      <c r="AS20" s="5" t="s">
        <v>242</v>
      </c>
      <c r="AT20" s="5" t="s">
        <v>217</v>
      </c>
      <c r="AV20" s="96"/>
    </row>
    <row r="21" spans="1:48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277</v>
      </c>
      <c r="AF21" s="5" t="s">
        <v>280</v>
      </c>
      <c r="AS21" s="5" t="s">
        <v>243</v>
      </c>
      <c r="AT21" s="5" t="s">
        <v>217</v>
      </c>
      <c r="AV21" s="96"/>
    </row>
    <row r="22" spans="1:48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273</v>
      </c>
      <c r="AF22" s="5" t="s">
        <v>281</v>
      </c>
      <c r="AS22" s="5" t="s">
        <v>244</v>
      </c>
      <c r="AT22" s="5" t="s">
        <v>217</v>
      </c>
      <c r="AV22" s="96"/>
    </row>
    <row r="23" spans="1:48" ht="27.6" x14ac:dyDescent="0.3">
      <c r="A23" s="5" t="str">
        <f t="shared" si="0"/>
        <v>key 23</v>
      </c>
      <c r="E23" s="19" t="s">
        <v>104</v>
      </c>
      <c r="AE23" s="5" t="s">
        <v>278</v>
      </c>
      <c r="AF23" s="5" t="s">
        <v>282</v>
      </c>
      <c r="AT23" s="5" t="s">
        <v>217</v>
      </c>
      <c r="AV23" s="96"/>
    </row>
    <row r="24" spans="1:48" x14ac:dyDescent="0.3">
      <c r="A24" s="5" t="str">
        <f t="shared" si="0"/>
        <v>key 24</v>
      </c>
      <c r="E24" s="19" t="s">
        <v>105</v>
      </c>
      <c r="AE24" s="5" t="s">
        <v>277</v>
      </c>
      <c r="AF24" s="5" t="s">
        <v>281</v>
      </c>
      <c r="AT24" s="5" t="s">
        <v>217</v>
      </c>
      <c r="AV24" s="96"/>
    </row>
    <row r="25" spans="1:48" x14ac:dyDescent="0.3">
      <c r="A25" s="5" t="str">
        <f t="shared" si="0"/>
        <v>key 25</v>
      </c>
      <c r="E25" s="19" t="s">
        <v>106</v>
      </c>
      <c r="AE25" s="5" t="s">
        <v>277</v>
      </c>
      <c r="AF25" s="5" t="s">
        <v>281</v>
      </c>
      <c r="AT25" s="5" t="s">
        <v>217</v>
      </c>
      <c r="AV25" s="96"/>
    </row>
    <row r="26" spans="1:48" x14ac:dyDescent="0.3">
      <c r="A26" s="5" t="str">
        <f t="shared" si="0"/>
        <v>key 26</v>
      </c>
      <c r="E26" s="19" t="s">
        <v>107</v>
      </c>
      <c r="AT26" s="5" t="s">
        <v>217</v>
      </c>
      <c r="AV26" s="96"/>
    </row>
    <row r="27" spans="1:48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  <c r="AV27" s="96"/>
    </row>
    <row r="28" spans="1:48" ht="27.6" x14ac:dyDescent="0.3">
      <c r="A28" s="5" t="str">
        <f t="shared" si="0"/>
        <v>key 28</v>
      </c>
      <c r="E28" s="19" t="s">
        <v>109</v>
      </c>
      <c r="AG28" s="5" t="s">
        <v>319</v>
      </c>
      <c r="AT28" s="5" t="s">
        <v>217</v>
      </c>
      <c r="AV28" s="96"/>
    </row>
    <row r="29" spans="1:48" ht="27.6" x14ac:dyDescent="0.3">
      <c r="A29" s="5" t="str">
        <f t="shared" si="0"/>
        <v>key 29</v>
      </c>
      <c r="E29" s="19" t="s">
        <v>66</v>
      </c>
      <c r="AT29" s="5" t="s">
        <v>217</v>
      </c>
      <c r="AV29" s="96"/>
    </row>
    <row r="30" spans="1:48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278</v>
      </c>
      <c r="AI30" s="5" t="s">
        <v>146</v>
      </c>
      <c r="AT30" s="5" t="s">
        <v>217</v>
      </c>
      <c r="AV30" s="96"/>
    </row>
    <row r="31" spans="1:48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278</v>
      </c>
      <c r="AI31" s="5" t="s">
        <v>174</v>
      </c>
      <c r="AT31" s="5" t="s">
        <v>217</v>
      </c>
      <c r="AV31" s="96"/>
    </row>
    <row r="32" spans="1:48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278</v>
      </c>
      <c r="AI32" s="5" t="s">
        <v>147</v>
      </c>
      <c r="AT32" s="5" t="s">
        <v>217</v>
      </c>
      <c r="AV32" s="96"/>
    </row>
    <row r="33" spans="1:48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278</v>
      </c>
      <c r="AI33" s="5" t="s">
        <v>148</v>
      </c>
      <c r="AT33" s="5" t="s">
        <v>217</v>
      </c>
      <c r="AV33" s="96"/>
    </row>
    <row r="34" spans="1:48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278</v>
      </c>
      <c r="AI34" s="5" t="s">
        <v>150</v>
      </c>
      <c r="AT34" s="5" t="s">
        <v>217</v>
      </c>
      <c r="AV34" s="96"/>
    </row>
    <row r="35" spans="1:48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278</v>
      </c>
      <c r="AI35" s="5" t="s">
        <v>149</v>
      </c>
      <c r="AT35" s="5" t="s">
        <v>217</v>
      </c>
      <c r="AV35" s="96"/>
    </row>
    <row r="36" spans="1:48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278</v>
      </c>
      <c r="AI36" s="5" t="s">
        <v>151</v>
      </c>
      <c r="AT36" s="5" t="s">
        <v>217</v>
      </c>
      <c r="AV36" s="96"/>
    </row>
    <row r="37" spans="1:48" ht="27.6" x14ac:dyDescent="0.3">
      <c r="A37" s="5" t="str">
        <f t="shared" si="0"/>
        <v>key 37</v>
      </c>
      <c r="E37" s="19" t="s">
        <v>74</v>
      </c>
      <c r="AE37" s="5" t="s">
        <v>278</v>
      </c>
      <c r="AT37" s="5" t="s">
        <v>217</v>
      </c>
      <c r="AV37" s="96"/>
    </row>
    <row r="38" spans="1:48" x14ac:dyDescent="0.3">
      <c r="A38" s="5" t="str">
        <f t="shared" si="0"/>
        <v>key 38</v>
      </c>
      <c r="E38" s="19" t="s">
        <v>75</v>
      </c>
      <c r="AT38" s="5" t="s">
        <v>217</v>
      </c>
      <c r="AV38" s="96"/>
    </row>
    <row r="39" spans="1:48" x14ac:dyDescent="0.3">
      <c r="A39" s="5" t="str">
        <f t="shared" si="0"/>
        <v>key 39</v>
      </c>
      <c r="E39" s="19" t="s">
        <v>76</v>
      </c>
      <c r="AT39" s="5" t="s">
        <v>217</v>
      </c>
      <c r="AV39" s="96"/>
    </row>
    <row r="40" spans="1:48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271</v>
      </c>
      <c r="AG40" s="5" t="s">
        <v>319</v>
      </c>
      <c r="AH40" s="5" t="s">
        <v>154</v>
      </c>
      <c r="AL40" s="4" t="s">
        <v>221</v>
      </c>
      <c r="AT40" s="5" t="s">
        <v>217</v>
      </c>
      <c r="AV40" s="96">
        <v>12</v>
      </c>
    </row>
    <row r="41" spans="1:48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272</v>
      </c>
      <c r="AG41" s="5" t="s">
        <v>319</v>
      </c>
      <c r="AH41" s="5" t="s">
        <v>155</v>
      </c>
      <c r="AL41" s="4" t="s">
        <v>221</v>
      </c>
      <c r="AT41" s="5" t="s">
        <v>217</v>
      </c>
      <c r="AV41" s="96">
        <v>12</v>
      </c>
    </row>
    <row r="42" spans="1:48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279</v>
      </c>
      <c r="AG42" s="5" t="s">
        <v>319</v>
      </c>
      <c r="AH42" s="5" t="s">
        <v>156</v>
      </c>
      <c r="AL42" s="4" t="s">
        <v>221</v>
      </c>
      <c r="AT42" s="5" t="s">
        <v>217</v>
      </c>
      <c r="AV42" s="96">
        <v>12</v>
      </c>
    </row>
    <row r="43" spans="1:48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280</v>
      </c>
      <c r="AG43" s="5" t="s">
        <v>319</v>
      </c>
      <c r="AH43" s="5" t="s">
        <v>157</v>
      </c>
      <c r="AL43" s="4" t="s">
        <v>221</v>
      </c>
      <c r="AT43" s="5" t="s">
        <v>217</v>
      </c>
      <c r="AV43" s="96">
        <v>12</v>
      </c>
    </row>
    <row r="44" spans="1:48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281</v>
      </c>
      <c r="AG44" s="5" t="s">
        <v>319</v>
      </c>
      <c r="AH44" s="5" t="s">
        <v>158</v>
      </c>
      <c r="AL44" s="4" t="s">
        <v>221</v>
      </c>
      <c r="AT44" s="5" t="s">
        <v>217</v>
      </c>
      <c r="AV44" s="96">
        <v>12</v>
      </c>
    </row>
    <row r="45" spans="1:48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271</v>
      </c>
      <c r="AG45" s="5" t="s">
        <v>319</v>
      </c>
      <c r="AH45" s="5" t="s">
        <v>157</v>
      </c>
      <c r="AL45" s="4" t="s">
        <v>221</v>
      </c>
      <c r="AT45" s="5" t="s">
        <v>217</v>
      </c>
      <c r="AV45" s="96">
        <v>12</v>
      </c>
    </row>
    <row r="46" spans="1:48" ht="27.6" x14ac:dyDescent="0.3">
      <c r="A46" s="5" t="str">
        <f t="shared" si="0"/>
        <v>key 46</v>
      </c>
      <c r="B46" s="3" t="s">
        <v>248</v>
      </c>
      <c r="E46" s="19" t="s">
        <v>83</v>
      </c>
      <c r="AF46" s="5" t="s">
        <v>271</v>
      </c>
      <c r="AG46" s="5" t="s">
        <v>319</v>
      </c>
      <c r="AT46" s="5" t="s">
        <v>217</v>
      </c>
      <c r="AV46" s="96"/>
    </row>
    <row r="47" spans="1:48" x14ac:dyDescent="0.3">
      <c r="A47" s="5" t="str">
        <f t="shared" si="0"/>
        <v>key 47</v>
      </c>
      <c r="E47" s="19" t="s">
        <v>84</v>
      </c>
      <c r="AG47" s="5" t="s">
        <v>319</v>
      </c>
      <c r="AT47" s="5" t="s">
        <v>217</v>
      </c>
      <c r="AV47" s="96"/>
    </row>
    <row r="48" spans="1:48" x14ac:dyDescent="0.3">
      <c r="A48" s="5" t="str">
        <f t="shared" si="0"/>
        <v>key 48</v>
      </c>
      <c r="AG48" s="5" t="s">
        <v>319</v>
      </c>
      <c r="AT48" s="5" t="s">
        <v>217</v>
      </c>
      <c r="AV48" s="96"/>
    </row>
    <row r="49" spans="1:48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271</v>
      </c>
      <c r="AG49" s="5" t="s">
        <v>319</v>
      </c>
      <c r="AH49" s="5" t="s">
        <v>154</v>
      </c>
      <c r="AL49" s="4" t="s">
        <v>221</v>
      </c>
      <c r="AT49" s="5" t="s">
        <v>217</v>
      </c>
      <c r="AV49" s="96"/>
    </row>
    <row r="50" spans="1:48" x14ac:dyDescent="0.3">
      <c r="A50" s="5" t="str">
        <f t="shared" si="0"/>
        <v>key 50</v>
      </c>
      <c r="B50" s="5" t="s">
        <v>61</v>
      </c>
      <c r="K50" s="5" t="s">
        <v>265</v>
      </c>
      <c r="P50" s="5">
        <v>100</v>
      </c>
      <c r="Q50" s="5">
        <v>150</v>
      </c>
      <c r="W50" s="5">
        <v>180</v>
      </c>
      <c r="AG50" s="5" t="s">
        <v>319</v>
      </c>
      <c r="AJ50" s="5" t="s">
        <v>262</v>
      </c>
      <c r="AL50" s="4" t="s">
        <v>221</v>
      </c>
      <c r="AN50" s="5">
        <v>30</v>
      </c>
      <c r="AO50" s="5">
        <v>60</v>
      </c>
      <c r="AP50" s="5">
        <v>40</v>
      </c>
      <c r="AT50" s="5" t="s">
        <v>217</v>
      </c>
      <c r="AV50" s="96"/>
    </row>
    <row r="51" spans="1:48" x14ac:dyDescent="0.3">
      <c r="A51" s="5" t="str">
        <f t="shared" si="0"/>
        <v>key 51</v>
      </c>
      <c r="B51" s="3" t="s">
        <v>61</v>
      </c>
      <c r="K51" s="5" t="s">
        <v>264</v>
      </c>
      <c r="P51" s="5">
        <v>50</v>
      </c>
      <c r="Q51" s="5">
        <v>150</v>
      </c>
      <c r="W51" s="5">
        <v>180</v>
      </c>
      <c r="AG51" s="5" t="s">
        <v>319</v>
      </c>
      <c r="AJ51" s="10" t="s">
        <v>253</v>
      </c>
      <c r="AL51" s="4" t="s">
        <v>221</v>
      </c>
      <c r="AN51" s="5">
        <v>30</v>
      </c>
      <c r="AO51" s="5">
        <v>60</v>
      </c>
      <c r="AP51" s="5">
        <v>40</v>
      </c>
      <c r="AT51" s="5" t="s">
        <v>217</v>
      </c>
      <c r="AV51" s="96"/>
    </row>
    <row r="52" spans="1:48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261</v>
      </c>
      <c r="N52" s="5">
        <v>10</v>
      </c>
      <c r="P52" s="5">
        <v>50</v>
      </c>
      <c r="Q52" s="5">
        <v>150</v>
      </c>
      <c r="W52" s="5">
        <v>180</v>
      </c>
      <c r="AG52" s="5" t="s">
        <v>319</v>
      </c>
      <c r="AI52" s="5" t="s">
        <v>146</v>
      </c>
      <c r="AJ52" s="5" t="s">
        <v>261</v>
      </c>
      <c r="AL52" s="4" t="s">
        <v>221</v>
      </c>
      <c r="AN52" s="5">
        <v>30</v>
      </c>
      <c r="AO52" s="5">
        <v>60</v>
      </c>
      <c r="AP52" s="5">
        <v>40</v>
      </c>
      <c r="AT52" s="5" t="s">
        <v>217</v>
      </c>
      <c r="AV52" s="96"/>
    </row>
    <row r="53" spans="1:48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261</v>
      </c>
      <c r="N53" s="5">
        <v>10</v>
      </c>
      <c r="P53" s="5">
        <v>50</v>
      </c>
      <c r="Q53" s="5">
        <v>150</v>
      </c>
      <c r="AG53" s="5" t="s">
        <v>319</v>
      </c>
      <c r="AI53" s="5" t="s">
        <v>174</v>
      </c>
      <c r="AL53" s="4" t="s">
        <v>221</v>
      </c>
      <c r="AT53" s="5" t="s">
        <v>217</v>
      </c>
      <c r="AV53" s="96"/>
    </row>
    <row r="54" spans="1:48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261</v>
      </c>
      <c r="N54" s="5">
        <v>10</v>
      </c>
      <c r="P54" s="5">
        <v>750</v>
      </c>
      <c r="Q54" s="5">
        <v>150</v>
      </c>
      <c r="AG54" s="5" t="s">
        <v>319</v>
      </c>
      <c r="AI54" s="5" t="s">
        <v>147</v>
      </c>
      <c r="AL54" s="4" t="s">
        <v>221</v>
      </c>
      <c r="AT54" s="5" t="s">
        <v>217</v>
      </c>
      <c r="AV54" s="96"/>
    </row>
    <row r="55" spans="1:48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319</v>
      </c>
      <c r="AI55" s="5" t="s">
        <v>148</v>
      </c>
      <c r="AL55" s="4" t="s">
        <v>221</v>
      </c>
      <c r="AT55" s="5" t="s">
        <v>217</v>
      </c>
      <c r="AV55" s="96"/>
    </row>
    <row r="56" spans="1:48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319</v>
      </c>
      <c r="AI56" s="5" t="s">
        <v>150</v>
      </c>
      <c r="AL56" s="4" t="s">
        <v>221</v>
      </c>
      <c r="AT56" s="5" t="s">
        <v>217</v>
      </c>
      <c r="AV56" s="96"/>
    </row>
    <row r="57" spans="1:48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319</v>
      </c>
      <c r="AI57" s="5" t="s">
        <v>146</v>
      </c>
      <c r="AL57" s="4" t="s">
        <v>221</v>
      </c>
      <c r="AT57" s="5" t="s">
        <v>217</v>
      </c>
      <c r="AV57" s="96"/>
    </row>
    <row r="58" spans="1:48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319</v>
      </c>
      <c r="AI58" s="5" t="s">
        <v>174</v>
      </c>
      <c r="AL58" s="4" t="s">
        <v>221</v>
      </c>
      <c r="AT58" s="5" t="s">
        <v>217</v>
      </c>
      <c r="AV58" s="96"/>
    </row>
    <row r="59" spans="1:48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319</v>
      </c>
      <c r="AI59" s="5" t="s">
        <v>147</v>
      </c>
      <c r="AL59" s="4" t="s">
        <v>221</v>
      </c>
      <c r="AT59" s="5" t="s">
        <v>217</v>
      </c>
      <c r="AV59" s="96"/>
    </row>
    <row r="60" spans="1:48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319</v>
      </c>
      <c r="AI60" s="5" t="s">
        <v>148</v>
      </c>
      <c r="AL60" s="4" t="s">
        <v>221</v>
      </c>
      <c r="AT60" s="5" t="s">
        <v>217</v>
      </c>
      <c r="AV60" s="96"/>
    </row>
    <row r="61" spans="1:48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319</v>
      </c>
      <c r="AI61" s="5" t="s">
        <v>150</v>
      </c>
      <c r="AL61" s="4" t="s">
        <v>221</v>
      </c>
      <c r="AT61" s="5" t="s">
        <v>217</v>
      </c>
      <c r="AV61" s="96"/>
    </row>
    <row r="62" spans="1:48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319</v>
      </c>
      <c r="AI62" s="5" t="s">
        <v>146</v>
      </c>
      <c r="AL62" s="4" t="s">
        <v>221</v>
      </c>
      <c r="AT62" s="5" t="s">
        <v>217</v>
      </c>
      <c r="AV62" s="96"/>
    </row>
    <row r="63" spans="1:48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319</v>
      </c>
      <c r="AI63" s="5" t="s">
        <v>174</v>
      </c>
      <c r="AL63" s="4" t="s">
        <v>221</v>
      </c>
      <c r="AT63" s="5" t="s">
        <v>217</v>
      </c>
      <c r="AV63" s="96"/>
    </row>
    <row r="64" spans="1:48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277</v>
      </c>
      <c r="AF64" s="5" t="s">
        <v>271</v>
      </c>
      <c r="AG64" s="5" t="s">
        <v>319</v>
      </c>
      <c r="AI64" s="5" t="s">
        <v>147</v>
      </c>
      <c r="AL64" s="4" t="s">
        <v>221</v>
      </c>
      <c r="AT64" s="5" t="s">
        <v>217</v>
      </c>
      <c r="AV64" s="96"/>
    </row>
    <row r="65" spans="1:48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277</v>
      </c>
      <c r="AF65" s="5" t="s">
        <v>271</v>
      </c>
      <c r="AG65" s="5" t="s">
        <v>319</v>
      </c>
      <c r="AI65" s="5" t="s">
        <v>148</v>
      </c>
      <c r="AL65" s="4" t="s">
        <v>221</v>
      </c>
      <c r="AT65" s="5" t="s">
        <v>217</v>
      </c>
      <c r="AV65" s="96"/>
    </row>
    <row r="66" spans="1:48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319</v>
      </c>
      <c r="AI66" s="5" t="s">
        <v>150</v>
      </c>
      <c r="AL66" s="4" t="s">
        <v>221</v>
      </c>
      <c r="AT66" s="5" t="s">
        <v>217</v>
      </c>
      <c r="AV66" s="96"/>
    </row>
    <row r="67" spans="1:48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319</v>
      </c>
      <c r="AI67" s="5" t="s">
        <v>146</v>
      </c>
      <c r="AL67" s="4" t="s">
        <v>221</v>
      </c>
      <c r="AT67" s="5" t="s">
        <v>217</v>
      </c>
      <c r="AV67" s="96"/>
    </row>
    <row r="68" spans="1:48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319</v>
      </c>
      <c r="AI68" s="5" t="s">
        <v>174</v>
      </c>
      <c r="AL68" s="4" t="s">
        <v>221</v>
      </c>
      <c r="AT68" s="5" t="s">
        <v>217</v>
      </c>
      <c r="AV68" s="96"/>
    </row>
    <row r="69" spans="1:48" s="5" customFormat="1" ht="27.6" x14ac:dyDescent="0.3">
      <c r="A69" s="5" t="str">
        <f t="shared" ref="A69:A115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319</v>
      </c>
      <c r="AI69" s="5" t="s">
        <v>147</v>
      </c>
      <c r="AL69" s="4" t="s">
        <v>221</v>
      </c>
      <c r="AT69" s="5" t="s">
        <v>217</v>
      </c>
      <c r="AV69" s="96"/>
    </row>
    <row r="70" spans="1:48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319</v>
      </c>
      <c r="AI70" s="5" t="s">
        <v>148</v>
      </c>
      <c r="AL70" s="4" t="s">
        <v>221</v>
      </c>
      <c r="AT70" s="5" t="s">
        <v>217</v>
      </c>
      <c r="AV70" s="96"/>
    </row>
    <row r="71" spans="1:48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319</v>
      </c>
      <c r="AI71" s="5" t="s">
        <v>150</v>
      </c>
      <c r="AL71" s="4" t="s">
        <v>221</v>
      </c>
      <c r="AT71" s="5" t="s">
        <v>217</v>
      </c>
      <c r="AV71" s="96"/>
    </row>
    <row r="72" spans="1:48" x14ac:dyDescent="0.3">
      <c r="A72" s="5" t="str">
        <f t="shared" si="1"/>
        <v>key 72</v>
      </c>
      <c r="AG72" s="5" t="s">
        <v>319</v>
      </c>
      <c r="AT72" s="5" t="s">
        <v>217</v>
      </c>
      <c r="AV72" s="96"/>
    </row>
    <row r="73" spans="1:48" x14ac:dyDescent="0.3">
      <c r="A73" s="5" t="str">
        <f t="shared" si="1"/>
        <v>key 73</v>
      </c>
      <c r="B73" s="5" t="s">
        <v>61</v>
      </c>
      <c r="K73" s="5" t="s">
        <v>253</v>
      </c>
      <c r="P73" s="5">
        <v>100</v>
      </c>
      <c r="AG73" s="5" t="s">
        <v>319</v>
      </c>
      <c r="AJ73" s="5" t="s">
        <v>261</v>
      </c>
      <c r="AT73" s="5" t="s">
        <v>217</v>
      </c>
      <c r="AV73" s="96"/>
    </row>
    <row r="74" spans="1:48" x14ac:dyDescent="0.3">
      <c r="A74" s="5" t="str">
        <f t="shared" si="1"/>
        <v>key 74</v>
      </c>
      <c r="B74" s="5" t="s">
        <v>61</v>
      </c>
      <c r="P74" s="5">
        <v>50</v>
      </c>
      <c r="AG74" s="5" t="s">
        <v>319</v>
      </c>
      <c r="AJ74" s="10" t="s">
        <v>253</v>
      </c>
      <c r="AT74" s="5" t="s">
        <v>217</v>
      </c>
      <c r="AV74" s="96"/>
    </row>
    <row r="75" spans="1:48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319</v>
      </c>
      <c r="AJ75" s="10" t="s">
        <v>184</v>
      </c>
      <c r="AT75" s="5" t="s">
        <v>217</v>
      </c>
      <c r="AV75" s="96"/>
    </row>
    <row r="76" spans="1:48" x14ac:dyDescent="0.3">
      <c r="A76" s="5" t="str">
        <f t="shared" si="1"/>
        <v>key 76</v>
      </c>
      <c r="B76" s="5" t="s">
        <v>61</v>
      </c>
      <c r="P76" s="5">
        <v>50</v>
      </c>
      <c r="AG76" s="5" t="s">
        <v>319</v>
      </c>
      <c r="AJ76" s="10" t="s">
        <v>185</v>
      </c>
      <c r="AT76" s="5" t="s">
        <v>217</v>
      </c>
      <c r="AV76" s="96"/>
    </row>
    <row r="77" spans="1:48" x14ac:dyDescent="0.3">
      <c r="A77" s="5" t="str">
        <f t="shared" si="1"/>
        <v>key 77</v>
      </c>
      <c r="B77" s="5" t="s">
        <v>61</v>
      </c>
      <c r="P77" s="5">
        <v>50</v>
      </c>
      <c r="AG77" s="5" t="s">
        <v>319</v>
      </c>
      <c r="AJ77" s="10" t="s">
        <v>260</v>
      </c>
      <c r="AL77" s="4"/>
      <c r="AT77" s="5" t="s">
        <v>217</v>
      </c>
      <c r="AV77" s="96"/>
    </row>
    <row r="78" spans="1:48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271</v>
      </c>
      <c r="AG78" s="5" t="s">
        <v>319</v>
      </c>
      <c r="AJ78" s="5" t="s">
        <v>253</v>
      </c>
      <c r="AL78" s="4" t="s">
        <v>52</v>
      </c>
      <c r="AV78" s="96"/>
    </row>
    <row r="79" spans="1:48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272</v>
      </c>
      <c r="AG79" s="5" t="s">
        <v>319</v>
      </c>
      <c r="AJ79" s="10" t="s">
        <v>260</v>
      </c>
      <c r="AL79" s="4" t="s">
        <v>54</v>
      </c>
      <c r="AT79" s="5" t="s">
        <v>217</v>
      </c>
      <c r="AV79" s="96"/>
    </row>
    <row r="80" spans="1:48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279</v>
      </c>
      <c r="AG80" s="5" t="s">
        <v>319</v>
      </c>
      <c r="AJ80" s="10" t="s">
        <v>253</v>
      </c>
      <c r="AL80" s="4" t="s">
        <v>55</v>
      </c>
      <c r="AT80" s="5" t="s">
        <v>217</v>
      </c>
      <c r="AV80" s="96"/>
    </row>
    <row r="81" spans="1:48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280</v>
      </c>
      <c r="AG81" s="5" t="s">
        <v>319</v>
      </c>
      <c r="AL81" s="4" t="s">
        <v>51</v>
      </c>
      <c r="AT81" s="5" t="s">
        <v>217</v>
      </c>
      <c r="AV81" s="96"/>
    </row>
    <row r="82" spans="1:48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281</v>
      </c>
      <c r="AL82" s="4" t="s">
        <v>221</v>
      </c>
      <c r="AT82" s="5" t="s">
        <v>217</v>
      </c>
      <c r="AV82" s="96"/>
    </row>
    <row r="83" spans="1:48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281</v>
      </c>
      <c r="AL83" s="4" t="s">
        <v>52</v>
      </c>
      <c r="AT83" s="5" t="s">
        <v>217</v>
      </c>
      <c r="AV83" s="96"/>
    </row>
    <row r="84" spans="1:48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271</v>
      </c>
      <c r="AL84" s="4" t="s">
        <v>54</v>
      </c>
      <c r="AT84" s="5" t="s">
        <v>217</v>
      </c>
      <c r="AV84" s="96"/>
    </row>
    <row r="85" spans="1:48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272</v>
      </c>
      <c r="AL85" s="4" t="s">
        <v>55</v>
      </c>
      <c r="AT85" s="5" t="s">
        <v>217</v>
      </c>
      <c r="AV85" s="96"/>
    </row>
    <row r="86" spans="1:48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279</v>
      </c>
      <c r="AL86" s="4" t="s">
        <v>51</v>
      </c>
      <c r="AT86" s="5" t="s">
        <v>217</v>
      </c>
      <c r="AV86" s="96"/>
    </row>
    <row r="87" spans="1:48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280</v>
      </c>
      <c r="AL87" s="4" t="s">
        <v>221</v>
      </c>
      <c r="AT87" s="5" t="s">
        <v>217</v>
      </c>
      <c r="AV87" s="96"/>
    </row>
    <row r="88" spans="1:48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281</v>
      </c>
      <c r="AL88" s="4" t="s">
        <v>52</v>
      </c>
      <c r="AT88" s="5" t="s">
        <v>217</v>
      </c>
      <c r="AV88" s="96"/>
    </row>
    <row r="89" spans="1:48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271</v>
      </c>
      <c r="AL89" s="4" t="s">
        <v>54</v>
      </c>
      <c r="AT89" s="5" t="s">
        <v>217</v>
      </c>
      <c r="AV89" s="96"/>
    </row>
    <row r="90" spans="1:48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271</v>
      </c>
      <c r="AL90" s="4" t="s">
        <v>55</v>
      </c>
      <c r="AT90" s="5" t="s">
        <v>217</v>
      </c>
      <c r="AV90" s="96"/>
    </row>
    <row r="91" spans="1:48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272</v>
      </c>
      <c r="AL91" s="4" t="s">
        <v>51</v>
      </c>
      <c r="AT91" s="5" t="s">
        <v>217</v>
      </c>
      <c r="AV91" s="96"/>
    </row>
    <row r="92" spans="1:48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271</v>
      </c>
      <c r="AT92" s="5" t="s">
        <v>217</v>
      </c>
      <c r="AV92" s="96"/>
    </row>
    <row r="93" spans="1:48" x14ac:dyDescent="0.3">
      <c r="A93" s="5" t="str">
        <f t="shared" si="1"/>
        <v>key 93</v>
      </c>
      <c r="B93" s="5" t="s">
        <v>57</v>
      </c>
      <c r="E93" s="19" t="s">
        <v>222</v>
      </c>
      <c r="AT93" s="5" t="s">
        <v>217</v>
      </c>
      <c r="AV93" s="96"/>
    </row>
    <row r="94" spans="1:48" x14ac:dyDescent="0.3">
      <c r="A94" s="5" t="str">
        <f t="shared" si="1"/>
        <v>key 94</v>
      </c>
      <c r="B94" s="5" t="s">
        <v>57</v>
      </c>
      <c r="E94" s="19" t="s">
        <v>223</v>
      </c>
      <c r="AT94" s="5" t="s">
        <v>217</v>
      </c>
      <c r="AV94" s="96"/>
    </row>
    <row r="95" spans="1:48" x14ac:dyDescent="0.3">
      <c r="A95" s="5" t="str">
        <f t="shared" si="1"/>
        <v>key 95</v>
      </c>
      <c r="B95" s="5" t="s">
        <v>57</v>
      </c>
      <c r="E95" s="19" t="s">
        <v>224</v>
      </c>
      <c r="AT95" s="5" t="s">
        <v>217</v>
      </c>
      <c r="AV95" s="96"/>
    </row>
    <row r="96" spans="1:48" ht="27.6" x14ac:dyDescent="0.3">
      <c r="A96" s="5" t="str">
        <f t="shared" si="1"/>
        <v>key 96</v>
      </c>
      <c r="B96" s="5" t="s">
        <v>57</v>
      </c>
      <c r="E96" s="19" t="s">
        <v>225</v>
      </c>
      <c r="AT96" s="5" t="s">
        <v>217</v>
      </c>
      <c r="AV96" s="96"/>
    </row>
    <row r="97" spans="1:48" x14ac:dyDescent="0.3">
      <c r="A97" s="5" t="str">
        <f t="shared" si="1"/>
        <v>key 97</v>
      </c>
      <c r="B97" s="5" t="s">
        <v>57</v>
      </c>
      <c r="E97" s="19" t="s">
        <v>226</v>
      </c>
      <c r="AT97" s="5" t="s">
        <v>217</v>
      </c>
      <c r="AV97" s="96"/>
    </row>
    <row r="98" spans="1:48" ht="27.6" x14ac:dyDescent="0.3">
      <c r="A98" s="5" t="str">
        <f t="shared" si="1"/>
        <v>key 98</v>
      </c>
      <c r="B98" s="5" t="s">
        <v>57</v>
      </c>
      <c r="E98" s="19" t="s">
        <v>227</v>
      </c>
      <c r="AT98" s="5" t="s">
        <v>217</v>
      </c>
      <c r="AV98" s="96"/>
    </row>
    <row r="99" spans="1:48" x14ac:dyDescent="0.3">
      <c r="A99" s="5" t="str">
        <f t="shared" si="1"/>
        <v>key 99</v>
      </c>
      <c r="B99" s="5" t="s">
        <v>57</v>
      </c>
      <c r="E99" s="19" t="s">
        <v>228</v>
      </c>
      <c r="AT99" s="5" t="s">
        <v>217</v>
      </c>
      <c r="AV99" s="96"/>
    </row>
    <row r="100" spans="1:48" ht="41.4" x14ac:dyDescent="0.3">
      <c r="A100" s="5" t="str">
        <f t="shared" si="1"/>
        <v>key 100</v>
      </c>
      <c r="B100" s="5" t="s">
        <v>57</v>
      </c>
      <c r="E100" s="19" t="s">
        <v>229</v>
      </c>
      <c r="AT100" s="5" t="s">
        <v>217</v>
      </c>
      <c r="AV100" s="96"/>
    </row>
    <row r="101" spans="1:48" ht="41.4" x14ac:dyDescent="0.3">
      <c r="A101" s="5" t="str">
        <f t="shared" si="1"/>
        <v>key 101</v>
      </c>
      <c r="B101" s="5" t="s">
        <v>57</v>
      </c>
      <c r="E101" s="19" t="s">
        <v>230</v>
      </c>
      <c r="AT101" s="5" t="s">
        <v>217</v>
      </c>
      <c r="AV101" s="96"/>
    </row>
    <row r="102" spans="1:48" ht="27.6" x14ac:dyDescent="0.3">
      <c r="A102" s="5" t="str">
        <f t="shared" si="1"/>
        <v>key 102</v>
      </c>
      <c r="B102" s="5" t="s">
        <v>57</v>
      </c>
      <c r="E102" s="19" t="s">
        <v>231</v>
      </c>
      <c r="AT102" s="5" t="s">
        <v>217</v>
      </c>
      <c r="AV102" s="96"/>
    </row>
    <row r="103" spans="1:48" ht="27.6" x14ac:dyDescent="0.3">
      <c r="A103" s="5" t="str">
        <f t="shared" si="1"/>
        <v>key 103</v>
      </c>
      <c r="B103" s="5" t="s">
        <v>57</v>
      </c>
      <c r="E103" s="19" t="s">
        <v>232</v>
      </c>
      <c r="AT103" s="5" t="s">
        <v>217</v>
      </c>
      <c r="AV103" s="96"/>
    </row>
    <row r="104" spans="1:48" ht="27.6" x14ac:dyDescent="0.3">
      <c r="A104" s="5" t="str">
        <f t="shared" si="1"/>
        <v>key 104</v>
      </c>
      <c r="B104" s="5" t="s">
        <v>57</v>
      </c>
      <c r="E104" s="19" t="s">
        <v>233</v>
      </c>
      <c r="AT104" s="5" t="s">
        <v>217</v>
      </c>
      <c r="AV104" s="96"/>
    </row>
    <row r="105" spans="1:48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E105" s="5" t="s">
        <v>275</v>
      </c>
      <c r="AF105" s="5" t="s">
        <v>279</v>
      </c>
      <c r="AG105" s="5" t="s">
        <v>319</v>
      </c>
      <c r="AH105" s="5" t="s">
        <v>154</v>
      </c>
      <c r="AL105" s="4" t="s">
        <v>221</v>
      </c>
      <c r="AT105" s="5" t="s">
        <v>217</v>
      </c>
      <c r="AV105" s="96">
        <v>11.4</v>
      </c>
    </row>
    <row r="106" spans="1:48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E106" s="5" t="s">
        <v>275</v>
      </c>
      <c r="AF106" s="5" t="s">
        <v>279</v>
      </c>
      <c r="AG106" s="5" t="s">
        <v>319</v>
      </c>
      <c r="AH106" s="5" t="s">
        <v>155</v>
      </c>
      <c r="AL106" s="4" t="s">
        <v>221</v>
      </c>
      <c r="AT106" s="5" t="s">
        <v>217</v>
      </c>
      <c r="AV106" s="96">
        <v>11.4</v>
      </c>
    </row>
    <row r="107" spans="1:48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E107" s="5" t="s">
        <v>275</v>
      </c>
      <c r="AF107" s="5" t="s">
        <v>279</v>
      </c>
      <c r="AG107" s="5" t="s">
        <v>319</v>
      </c>
      <c r="AH107" s="5" t="s">
        <v>156</v>
      </c>
      <c r="AL107" s="4" t="s">
        <v>221</v>
      </c>
      <c r="AT107" s="5" t="s">
        <v>217</v>
      </c>
      <c r="AV107" s="96">
        <v>11.4</v>
      </c>
    </row>
    <row r="108" spans="1:48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E108" s="5" t="s">
        <v>275</v>
      </c>
      <c r="AF108" s="5" t="s">
        <v>279</v>
      </c>
      <c r="AG108" s="5" t="s">
        <v>319</v>
      </c>
      <c r="AH108" s="5" t="s">
        <v>157</v>
      </c>
      <c r="AL108" s="4" t="s">
        <v>221</v>
      </c>
      <c r="AT108" s="5" t="s">
        <v>217</v>
      </c>
      <c r="AV108" s="96">
        <v>11.4</v>
      </c>
    </row>
    <row r="109" spans="1:48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E109" s="5" t="s">
        <v>275</v>
      </c>
      <c r="AF109" s="5" t="s">
        <v>279</v>
      </c>
      <c r="AG109" s="5" t="s">
        <v>319</v>
      </c>
      <c r="AH109" s="5" t="s">
        <v>158</v>
      </c>
      <c r="AL109" s="4" t="s">
        <v>221</v>
      </c>
      <c r="AT109" s="5" t="s">
        <v>217</v>
      </c>
      <c r="AV109" s="96">
        <v>11.4</v>
      </c>
    </row>
    <row r="110" spans="1:48" x14ac:dyDescent="0.3">
      <c r="A110" s="5" t="str">
        <f t="shared" si="1"/>
        <v>key 110</v>
      </c>
      <c r="B110" s="5" t="s">
        <v>57</v>
      </c>
      <c r="E110" s="19" t="s">
        <v>234</v>
      </c>
      <c r="O110" s="5">
        <v>90</v>
      </c>
      <c r="P110" s="5">
        <v>100</v>
      </c>
      <c r="Q110" s="5">
        <v>50</v>
      </c>
      <c r="W110" s="5">
        <v>80</v>
      </c>
      <c r="AG110" s="5" t="s">
        <v>319</v>
      </c>
      <c r="AT110" s="5" t="s">
        <v>217</v>
      </c>
      <c r="AV110" s="96">
        <v>11.4</v>
      </c>
    </row>
    <row r="111" spans="1:48" x14ac:dyDescent="0.3">
      <c r="A111" s="5" t="str">
        <f t="shared" si="1"/>
        <v>key 111</v>
      </c>
      <c r="B111" s="3" t="s">
        <v>61</v>
      </c>
      <c r="C111" s="17" t="s">
        <v>290</v>
      </c>
      <c r="K111" s="17" t="s">
        <v>253</v>
      </c>
      <c r="O111" s="5">
        <v>190</v>
      </c>
      <c r="P111" s="5">
        <v>200</v>
      </c>
      <c r="Q111" s="5">
        <v>50</v>
      </c>
      <c r="W111" s="5">
        <v>180</v>
      </c>
      <c r="AG111" s="5" t="s">
        <v>319</v>
      </c>
      <c r="AT111" s="5" t="s">
        <v>217</v>
      </c>
      <c r="AV111" s="96">
        <v>11.4</v>
      </c>
    </row>
    <row r="112" spans="1:48" x14ac:dyDescent="0.3">
      <c r="A112" s="5" t="str">
        <f t="shared" si="1"/>
        <v>key 112</v>
      </c>
      <c r="B112" s="5" t="s">
        <v>61</v>
      </c>
      <c r="C112" s="17" t="s">
        <v>291</v>
      </c>
      <c r="K112" s="17" t="s">
        <v>286</v>
      </c>
      <c r="O112" s="5">
        <v>290</v>
      </c>
      <c r="P112" s="5">
        <v>300</v>
      </c>
      <c r="Q112" s="5">
        <v>50</v>
      </c>
      <c r="W112" s="5">
        <v>280</v>
      </c>
      <c r="AG112" s="5" t="s">
        <v>319</v>
      </c>
      <c r="AT112" s="5" t="s">
        <v>217</v>
      </c>
      <c r="AV112" s="96">
        <v>11.4</v>
      </c>
    </row>
    <row r="113" spans="1:53" x14ac:dyDescent="0.3">
      <c r="A113" s="5" t="str">
        <f t="shared" si="1"/>
        <v>key 113</v>
      </c>
      <c r="B113" s="5" t="s">
        <v>61</v>
      </c>
      <c r="C113" s="17" t="s">
        <v>292</v>
      </c>
      <c r="K113" s="17" t="s">
        <v>287</v>
      </c>
      <c r="O113" s="5">
        <v>390</v>
      </c>
      <c r="P113" s="5">
        <v>400</v>
      </c>
      <c r="Q113" s="5">
        <v>50</v>
      </c>
      <c r="W113" s="5">
        <v>380</v>
      </c>
      <c r="AG113" s="5" t="s">
        <v>319</v>
      </c>
      <c r="AT113" s="5" t="s">
        <v>217</v>
      </c>
      <c r="AV113" s="96">
        <v>11.4</v>
      </c>
    </row>
    <row r="114" spans="1:53" x14ac:dyDescent="0.3">
      <c r="A114" s="5" t="str">
        <f t="shared" si="1"/>
        <v>key 114</v>
      </c>
      <c r="B114" s="5" t="s">
        <v>61</v>
      </c>
      <c r="C114" s="17" t="s">
        <v>293</v>
      </c>
      <c r="K114" s="17" t="s">
        <v>288</v>
      </c>
      <c r="O114" s="5">
        <v>490</v>
      </c>
      <c r="P114" s="5">
        <v>500</v>
      </c>
      <c r="Q114" s="5">
        <v>50</v>
      </c>
      <c r="W114" s="5">
        <v>480</v>
      </c>
      <c r="AG114" s="5" t="s">
        <v>319</v>
      </c>
      <c r="AT114" s="5" t="s">
        <v>217</v>
      </c>
      <c r="AV114" s="96">
        <v>11.4</v>
      </c>
    </row>
    <row r="115" spans="1:53" x14ac:dyDescent="0.3">
      <c r="A115" s="5" t="str">
        <f t="shared" si="1"/>
        <v>key 115</v>
      </c>
      <c r="B115" s="5" t="s">
        <v>61</v>
      </c>
      <c r="C115" s="17" t="s">
        <v>294</v>
      </c>
      <c r="K115" s="17" t="s">
        <v>289</v>
      </c>
      <c r="AG115" s="5" t="s">
        <v>319</v>
      </c>
      <c r="AT115" s="5" t="s">
        <v>217</v>
      </c>
      <c r="AV115" s="96">
        <v>11.4</v>
      </c>
      <c r="BA115" s="5" t="s">
        <v>118</v>
      </c>
    </row>
    <row r="116" spans="1:53" x14ac:dyDescent="0.3">
      <c r="AV116" s="96"/>
    </row>
    <row r="117" spans="1:53" x14ac:dyDescent="0.3">
      <c r="AV117" s="96"/>
    </row>
    <row r="118" spans="1:53" x14ac:dyDescent="0.3">
      <c r="AV118" s="96"/>
    </row>
    <row r="119" spans="1:53" x14ac:dyDescent="0.3">
      <c r="AV119" s="96"/>
    </row>
    <row r="120" spans="1:53" x14ac:dyDescent="0.3">
      <c r="AV120" s="96"/>
    </row>
    <row r="121" spans="1:53" x14ac:dyDescent="0.3">
      <c r="AV121" s="96"/>
    </row>
    <row r="122" spans="1:53" x14ac:dyDescent="0.3">
      <c r="AV122" s="96"/>
    </row>
    <row r="123" spans="1:53" x14ac:dyDescent="0.3">
      <c r="AV123" s="96"/>
    </row>
    <row r="124" spans="1:53" x14ac:dyDescent="0.3">
      <c r="AV124" s="96"/>
    </row>
    <row r="125" spans="1:53" x14ac:dyDescent="0.3">
      <c r="AV125" s="96"/>
    </row>
    <row r="126" spans="1:53" x14ac:dyDescent="0.3">
      <c r="AV126" s="96"/>
    </row>
    <row r="127" spans="1:53" x14ac:dyDescent="0.3">
      <c r="AV127" s="96"/>
    </row>
    <row r="128" spans="1:53" x14ac:dyDescent="0.3">
      <c r="AV128" s="96"/>
    </row>
    <row r="129" spans="48:48" x14ac:dyDescent="0.3">
      <c r="AV129" s="96"/>
    </row>
    <row r="130" spans="48:48" x14ac:dyDescent="0.3">
      <c r="AV130" s="96"/>
    </row>
    <row r="131" spans="48:48" x14ac:dyDescent="0.3">
      <c r="AV131" s="96"/>
    </row>
    <row r="132" spans="48:48" x14ac:dyDescent="0.3">
      <c r="AV132" s="96"/>
    </row>
    <row r="133" spans="48:48" x14ac:dyDescent="0.3">
      <c r="AV133" s="96"/>
    </row>
    <row r="134" spans="48:48" x14ac:dyDescent="0.3">
      <c r="AV134" s="96"/>
    </row>
    <row r="135" spans="48:48" x14ac:dyDescent="0.3">
      <c r="AV135" s="96"/>
    </row>
    <row r="136" spans="48:48" x14ac:dyDescent="0.3">
      <c r="AV136" s="96"/>
    </row>
    <row r="137" spans="48:48" x14ac:dyDescent="0.3">
      <c r="AV137" s="96"/>
    </row>
    <row r="138" spans="48:48" x14ac:dyDescent="0.3">
      <c r="AV138" s="96"/>
    </row>
    <row r="139" spans="48:48" x14ac:dyDescent="0.3">
      <c r="AV139" s="96"/>
    </row>
    <row r="140" spans="48:48" x14ac:dyDescent="0.3">
      <c r="AV140" s="96"/>
    </row>
    <row r="141" spans="48:48" x14ac:dyDescent="0.3">
      <c r="AV141" s="96"/>
    </row>
    <row r="142" spans="48:48" x14ac:dyDescent="0.3">
      <c r="AV142" s="96"/>
    </row>
    <row r="143" spans="48:48" x14ac:dyDescent="0.3">
      <c r="AV143" s="96"/>
    </row>
    <row r="144" spans="48:48" x14ac:dyDescent="0.3">
      <c r="AV144" s="96"/>
    </row>
    <row r="145" spans="48:48" x14ac:dyDescent="0.3">
      <c r="AV145" s="96"/>
    </row>
    <row r="146" spans="48:48" x14ac:dyDescent="0.3">
      <c r="AV146" s="96"/>
    </row>
    <row r="147" spans="48:48" x14ac:dyDescent="0.3">
      <c r="AV147" s="96"/>
    </row>
    <row r="148" spans="48:48" x14ac:dyDescent="0.3">
      <c r="AV148" s="96"/>
    </row>
    <row r="149" spans="48:48" x14ac:dyDescent="0.3">
      <c r="AV149" s="96"/>
    </row>
    <row r="150" spans="48:48" x14ac:dyDescent="0.3">
      <c r="AV150" s="96"/>
    </row>
    <row r="151" spans="48:48" x14ac:dyDescent="0.3">
      <c r="AV151" s="96"/>
    </row>
    <row r="152" spans="48:48" x14ac:dyDescent="0.3">
      <c r="AV152" s="96"/>
    </row>
    <row r="153" spans="48:48" x14ac:dyDescent="0.3">
      <c r="AV153" s="96"/>
    </row>
    <row r="154" spans="48:48" x14ac:dyDescent="0.3">
      <c r="AV154" s="96"/>
    </row>
    <row r="155" spans="48:48" x14ac:dyDescent="0.3">
      <c r="AV155" s="96"/>
    </row>
    <row r="156" spans="48:48" x14ac:dyDescent="0.3">
      <c r="AV156" s="96"/>
    </row>
    <row r="157" spans="48:48" x14ac:dyDescent="0.3">
      <c r="AV157" s="96"/>
    </row>
    <row r="158" spans="48:48" x14ac:dyDescent="0.3">
      <c r="AV158" s="96"/>
    </row>
    <row r="159" spans="48:48" x14ac:dyDescent="0.3">
      <c r="AV159" s="96"/>
    </row>
    <row r="160" spans="48:48" x14ac:dyDescent="0.3">
      <c r="AV160" s="96"/>
    </row>
    <row r="161" spans="48:48" x14ac:dyDescent="0.3">
      <c r="AV161" s="96"/>
    </row>
    <row r="162" spans="48:48" x14ac:dyDescent="0.3">
      <c r="AV162" s="96"/>
    </row>
    <row r="163" spans="48:48" x14ac:dyDescent="0.3">
      <c r="AV163" s="96"/>
    </row>
    <row r="164" spans="48:48" x14ac:dyDescent="0.3">
      <c r="AV164" s="96"/>
    </row>
    <row r="165" spans="48:48" x14ac:dyDescent="0.3">
      <c r="AV165" s="96"/>
    </row>
    <row r="166" spans="48:48" x14ac:dyDescent="0.3">
      <c r="AV166" s="96"/>
    </row>
    <row r="167" spans="48:48" x14ac:dyDescent="0.3">
      <c r="AV167" s="96"/>
    </row>
    <row r="168" spans="48:48" x14ac:dyDescent="0.3">
      <c r="AV168" s="96"/>
    </row>
    <row r="169" spans="48:48" x14ac:dyDescent="0.3">
      <c r="AV169" s="96"/>
    </row>
    <row r="170" spans="48:48" x14ac:dyDescent="0.3">
      <c r="AV170" s="96"/>
    </row>
    <row r="171" spans="48:48" x14ac:dyDescent="0.3">
      <c r="AV171" s="96"/>
    </row>
    <row r="172" spans="48:48" x14ac:dyDescent="0.3">
      <c r="AV172" s="96"/>
    </row>
    <row r="173" spans="48:48" x14ac:dyDescent="0.3">
      <c r="AV173" s="96"/>
    </row>
    <row r="174" spans="48:48" x14ac:dyDescent="0.3">
      <c r="AV174" s="96"/>
    </row>
    <row r="175" spans="48:48" x14ac:dyDescent="0.3">
      <c r="AV175" s="96"/>
    </row>
    <row r="176" spans="48:48" x14ac:dyDescent="0.3">
      <c r="AV176" s="96"/>
    </row>
    <row r="177" spans="48:48" x14ac:dyDescent="0.3">
      <c r="AV177" s="96"/>
    </row>
    <row r="178" spans="48:48" x14ac:dyDescent="0.3">
      <c r="AV178" s="96"/>
    </row>
    <row r="179" spans="48:48" x14ac:dyDescent="0.3">
      <c r="AV179" s="96"/>
    </row>
    <row r="180" spans="48:48" x14ac:dyDescent="0.3">
      <c r="AV180" s="96"/>
    </row>
    <row r="181" spans="48:48" x14ac:dyDescent="0.3">
      <c r="AV181" s="96"/>
    </row>
    <row r="182" spans="48:48" x14ac:dyDescent="0.3">
      <c r="AV182" s="96"/>
    </row>
    <row r="183" spans="48:48" x14ac:dyDescent="0.3">
      <c r="AV183" s="96"/>
    </row>
    <row r="184" spans="48:48" x14ac:dyDescent="0.3">
      <c r="AV184" s="96"/>
    </row>
    <row r="185" spans="48:48" x14ac:dyDescent="0.3">
      <c r="AV185" s="96"/>
    </row>
    <row r="186" spans="48:48" x14ac:dyDescent="0.3">
      <c r="AV186" s="96"/>
    </row>
    <row r="187" spans="48:48" x14ac:dyDescent="0.3">
      <c r="AV187" s="96"/>
    </row>
    <row r="188" spans="48:48" x14ac:dyDescent="0.3">
      <c r="AV188" s="96"/>
    </row>
    <row r="189" spans="48:48" x14ac:dyDescent="0.3">
      <c r="AV189" s="96"/>
    </row>
    <row r="190" spans="48:48" x14ac:dyDescent="0.3">
      <c r="AV190" s="96"/>
    </row>
    <row r="191" spans="48:48" x14ac:dyDescent="0.3">
      <c r="AV191" s="96"/>
    </row>
    <row r="192" spans="48:48" x14ac:dyDescent="0.3">
      <c r="AV192" s="96"/>
    </row>
    <row r="193" spans="48:48" x14ac:dyDescent="0.3">
      <c r="AV193" s="96"/>
    </row>
    <row r="194" spans="48:48" x14ac:dyDescent="0.3">
      <c r="AV194" s="96"/>
    </row>
    <row r="195" spans="48:48" x14ac:dyDescent="0.3">
      <c r="AV195" s="96"/>
    </row>
    <row r="196" spans="48:48" x14ac:dyDescent="0.3">
      <c r="AV196" s="96"/>
    </row>
    <row r="197" spans="48:48" x14ac:dyDescent="0.3">
      <c r="AV197" s="96"/>
    </row>
    <row r="198" spans="48:48" x14ac:dyDescent="0.3">
      <c r="AV198" s="96"/>
    </row>
    <row r="199" spans="48:48" x14ac:dyDescent="0.3">
      <c r="AV199" s="96"/>
    </row>
    <row r="200" spans="48:48" x14ac:dyDescent="0.3">
      <c r="AV200" s="96"/>
    </row>
    <row r="201" spans="48:48" x14ac:dyDescent="0.3">
      <c r="AV201" s="96"/>
    </row>
    <row r="202" spans="48:48" x14ac:dyDescent="0.3">
      <c r="AV202" s="96"/>
    </row>
    <row r="203" spans="48:48" x14ac:dyDescent="0.3">
      <c r="AV203" s="96"/>
    </row>
    <row r="204" spans="48:48" x14ac:dyDescent="0.3">
      <c r="AV204" s="96"/>
    </row>
    <row r="205" spans="48:48" x14ac:dyDescent="0.3">
      <c r="AV205" s="96"/>
    </row>
    <row r="206" spans="48:48" x14ac:dyDescent="0.3">
      <c r="AV206" s="96"/>
    </row>
    <row r="207" spans="48:48" x14ac:dyDescent="0.3">
      <c r="AV207" s="96"/>
    </row>
    <row r="208" spans="48:48" x14ac:dyDescent="0.3">
      <c r="AV208" s="96"/>
    </row>
    <row r="209" spans="48:48" x14ac:dyDescent="0.3">
      <c r="AV209" s="96"/>
    </row>
    <row r="210" spans="48:48" x14ac:dyDescent="0.3">
      <c r="AV210" s="96"/>
    </row>
    <row r="211" spans="48:48" x14ac:dyDescent="0.3">
      <c r="AV211" s="96"/>
    </row>
    <row r="212" spans="48:48" x14ac:dyDescent="0.3">
      <c r="AV212" s="96"/>
    </row>
    <row r="213" spans="48:48" x14ac:dyDescent="0.3">
      <c r="AV213" s="96"/>
    </row>
    <row r="214" spans="48:48" x14ac:dyDescent="0.3">
      <c r="AV214" s="96"/>
    </row>
    <row r="215" spans="48:48" x14ac:dyDescent="0.3">
      <c r="AV215" s="96"/>
    </row>
    <row r="216" spans="48:48" x14ac:dyDescent="0.3">
      <c r="AV216" s="96"/>
    </row>
    <row r="217" spans="48:48" x14ac:dyDescent="0.3">
      <c r="AV217" s="96"/>
    </row>
    <row r="218" spans="48:48" x14ac:dyDescent="0.3">
      <c r="AV218" s="96"/>
    </row>
    <row r="219" spans="48:48" x14ac:dyDescent="0.3">
      <c r="AV219" s="96"/>
    </row>
    <row r="220" spans="48:48" x14ac:dyDescent="0.3">
      <c r="AV220" s="96"/>
    </row>
    <row r="221" spans="48:48" x14ac:dyDescent="0.3">
      <c r="AV221" s="96"/>
    </row>
    <row r="222" spans="48:48" x14ac:dyDescent="0.3">
      <c r="AV222" s="96"/>
    </row>
    <row r="223" spans="48:48" x14ac:dyDescent="0.3">
      <c r="AV223" s="96"/>
    </row>
    <row r="224" spans="48:48" x14ac:dyDescent="0.3">
      <c r="AV224" s="96"/>
    </row>
    <row r="225" spans="48:48" x14ac:dyDescent="0.3">
      <c r="AV225" s="96"/>
    </row>
    <row r="226" spans="48:48" x14ac:dyDescent="0.3">
      <c r="AV226" s="96"/>
    </row>
    <row r="227" spans="48:48" x14ac:dyDescent="0.3">
      <c r="AV227" s="96"/>
    </row>
    <row r="228" spans="48:48" x14ac:dyDescent="0.3">
      <c r="AV228" s="96"/>
    </row>
    <row r="229" spans="48:48" x14ac:dyDescent="0.3">
      <c r="AV229" s="96"/>
    </row>
    <row r="230" spans="48:48" x14ac:dyDescent="0.3">
      <c r="AV230" s="96"/>
    </row>
    <row r="231" spans="48:48" x14ac:dyDescent="0.3">
      <c r="AV231" s="96"/>
    </row>
    <row r="232" spans="48:48" x14ac:dyDescent="0.3">
      <c r="AV232" s="96"/>
    </row>
    <row r="233" spans="48:48" x14ac:dyDescent="0.3">
      <c r="AV233" s="96"/>
    </row>
    <row r="234" spans="48:48" x14ac:dyDescent="0.3">
      <c r="AV234" s="96"/>
    </row>
    <row r="235" spans="48:48" x14ac:dyDescent="0.3">
      <c r="AV235" s="96"/>
    </row>
    <row r="236" spans="48:48" x14ac:dyDescent="0.3">
      <c r="AV236" s="96"/>
    </row>
    <row r="237" spans="48:48" x14ac:dyDescent="0.3">
      <c r="AV237" s="96"/>
    </row>
    <row r="238" spans="48:48" x14ac:dyDescent="0.3">
      <c r="AV238" s="96"/>
    </row>
    <row r="239" spans="48:48" x14ac:dyDescent="0.3">
      <c r="AV239" s="96"/>
    </row>
    <row r="240" spans="48:48" x14ac:dyDescent="0.3">
      <c r="AV240" s="96"/>
    </row>
    <row r="241" spans="48:48" x14ac:dyDescent="0.3">
      <c r="AV241" s="96"/>
    </row>
    <row r="242" spans="48:48" x14ac:dyDescent="0.3">
      <c r="AV242" s="96"/>
    </row>
    <row r="243" spans="48:48" x14ac:dyDescent="0.3">
      <c r="AV243" s="96"/>
    </row>
    <row r="244" spans="48:48" x14ac:dyDescent="0.3">
      <c r="AV244" s="96"/>
    </row>
    <row r="245" spans="48:48" x14ac:dyDescent="0.3">
      <c r="AV245" s="96"/>
    </row>
    <row r="246" spans="48:48" x14ac:dyDescent="0.3">
      <c r="AV246" s="96"/>
    </row>
    <row r="247" spans="48:48" x14ac:dyDescent="0.3">
      <c r="AV247" s="96"/>
    </row>
    <row r="248" spans="48:48" x14ac:dyDescent="0.3">
      <c r="AV248" s="96"/>
    </row>
    <row r="249" spans="48:48" x14ac:dyDescent="0.3">
      <c r="AV249" s="96"/>
    </row>
    <row r="250" spans="48:48" x14ac:dyDescent="0.3">
      <c r="AV250" s="96"/>
    </row>
    <row r="251" spans="48:48" x14ac:dyDescent="0.3">
      <c r="AV251" s="96"/>
    </row>
    <row r="252" spans="48:48" x14ac:dyDescent="0.3">
      <c r="AV252" s="96"/>
    </row>
    <row r="253" spans="48:48" x14ac:dyDescent="0.3">
      <c r="AV253" s="96"/>
    </row>
    <row r="254" spans="48:48" x14ac:dyDescent="0.3">
      <c r="AV254" s="96"/>
    </row>
    <row r="255" spans="48:48" x14ac:dyDescent="0.3">
      <c r="AV255" s="96"/>
    </row>
    <row r="256" spans="48:48" x14ac:dyDescent="0.3">
      <c r="AV256" s="96"/>
    </row>
    <row r="257" spans="48:48" x14ac:dyDescent="0.3">
      <c r="AV257" s="96"/>
    </row>
    <row r="258" spans="48:48" x14ac:dyDescent="0.3">
      <c r="AV258" s="96"/>
    </row>
    <row r="259" spans="48:48" x14ac:dyDescent="0.3">
      <c r="AV259" s="96"/>
    </row>
    <row r="260" spans="48:48" x14ac:dyDescent="0.3">
      <c r="AV260" s="96"/>
    </row>
    <row r="261" spans="48:48" x14ac:dyDescent="0.3">
      <c r="AV261" s="96"/>
    </row>
    <row r="262" spans="48:48" x14ac:dyDescent="0.3">
      <c r="AV262" s="96"/>
    </row>
    <row r="263" spans="48:48" x14ac:dyDescent="0.3">
      <c r="AV263" s="96"/>
    </row>
    <row r="264" spans="48:48" x14ac:dyDescent="0.3">
      <c r="AV264" s="96"/>
    </row>
    <row r="265" spans="48:48" x14ac:dyDescent="0.3">
      <c r="AV265" s="96"/>
    </row>
    <row r="266" spans="48:48" x14ac:dyDescent="0.3">
      <c r="AV266" s="96"/>
    </row>
    <row r="267" spans="48:48" x14ac:dyDescent="0.3">
      <c r="AV267" s="96"/>
    </row>
    <row r="268" spans="48:48" x14ac:dyDescent="0.3">
      <c r="AV268" s="96"/>
    </row>
    <row r="269" spans="48:48" x14ac:dyDescent="0.3">
      <c r="AV269" s="96"/>
    </row>
    <row r="270" spans="48:48" x14ac:dyDescent="0.3">
      <c r="AV270" s="96"/>
    </row>
    <row r="271" spans="48:48" x14ac:dyDescent="0.3">
      <c r="AV271" s="96"/>
    </row>
    <row r="272" spans="48:48" x14ac:dyDescent="0.3">
      <c r="AV272" s="96"/>
    </row>
    <row r="273" spans="48:48" x14ac:dyDescent="0.3">
      <c r="AV273" s="96"/>
    </row>
    <row r="274" spans="48:48" x14ac:dyDescent="0.3">
      <c r="AV274" s="96"/>
    </row>
    <row r="275" spans="48:48" x14ac:dyDescent="0.3">
      <c r="AV275" s="96"/>
    </row>
    <row r="276" spans="48:48" x14ac:dyDescent="0.3">
      <c r="AV276" s="96"/>
    </row>
    <row r="277" spans="48:48" x14ac:dyDescent="0.3">
      <c r="AV277" s="96"/>
    </row>
    <row r="278" spans="48:48" x14ac:dyDescent="0.3">
      <c r="AV278" s="96"/>
    </row>
    <row r="279" spans="48:48" x14ac:dyDescent="0.3">
      <c r="AV279" s="96"/>
    </row>
    <row r="280" spans="48:48" x14ac:dyDescent="0.3">
      <c r="AV280" s="96"/>
    </row>
    <row r="281" spans="48:48" x14ac:dyDescent="0.3">
      <c r="AV281" s="96"/>
    </row>
    <row r="282" spans="48:48" x14ac:dyDescent="0.3">
      <c r="AV282" s="96"/>
    </row>
    <row r="283" spans="48:48" x14ac:dyDescent="0.3">
      <c r="AV283" s="96"/>
    </row>
    <row r="284" spans="48:48" x14ac:dyDescent="0.3">
      <c r="AV284" s="96"/>
    </row>
    <row r="285" spans="48:48" x14ac:dyDescent="0.3">
      <c r="AV285" s="96"/>
    </row>
    <row r="286" spans="48:48" x14ac:dyDescent="0.3">
      <c r="AV286" s="96"/>
    </row>
    <row r="287" spans="48:48" x14ac:dyDescent="0.3">
      <c r="AV287" s="96"/>
    </row>
    <row r="288" spans="48:48" x14ac:dyDescent="0.3">
      <c r="AV288" s="96"/>
    </row>
    <row r="289" spans="48:48" x14ac:dyDescent="0.3">
      <c r="AV289" s="96"/>
    </row>
    <row r="290" spans="48:48" x14ac:dyDescent="0.3">
      <c r="AV290" s="96"/>
    </row>
    <row r="291" spans="48:48" x14ac:dyDescent="0.3">
      <c r="AV291" s="96"/>
    </row>
    <row r="292" spans="48:48" x14ac:dyDescent="0.3">
      <c r="AV292" s="96"/>
    </row>
    <row r="293" spans="48:48" x14ac:dyDescent="0.3">
      <c r="AV293" s="96"/>
    </row>
    <row r="294" spans="48:48" x14ac:dyDescent="0.3">
      <c r="AV294" s="96"/>
    </row>
    <row r="295" spans="48:48" x14ac:dyDescent="0.3">
      <c r="AV295" s="96"/>
    </row>
    <row r="296" spans="48:48" x14ac:dyDescent="0.3">
      <c r="AV296" s="96"/>
    </row>
    <row r="297" spans="48:48" x14ac:dyDescent="0.3">
      <c r="AV297" s="96"/>
    </row>
    <row r="298" spans="48:48" x14ac:dyDescent="0.3">
      <c r="AV298" s="96"/>
    </row>
    <row r="299" spans="48:48" x14ac:dyDescent="0.3">
      <c r="AV299" s="96"/>
    </row>
    <row r="300" spans="48:48" x14ac:dyDescent="0.3">
      <c r="AV300" s="96"/>
    </row>
    <row r="301" spans="48:48" x14ac:dyDescent="0.3">
      <c r="AV301" s="96"/>
    </row>
    <row r="302" spans="48:48" x14ac:dyDescent="0.3">
      <c r="AV302" s="96"/>
    </row>
    <row r="303" spans="48:48" x14ac:dyDescent="0.3">
      <c r="AV303" s="96"/>
    </row>
    <row r="304" spans="48:48" x14ac:dyDescent="0.3">
      <c r="AV304" s="96"/>
    </row>
    <row r="305" spans="48:48" x14ac:dyDescent="0.3">
      <c r="AV305" s="96"/>
    </row>
    <row r="306" spans="48:48" x14ac:dyDescent="0.3">
      <c r="AV306" s="96"/>
    </row>
    <row r="307" spans="48:48" x14ac:dyDescent="0.3">
      <c r="AV307" s="96"/>
    </row>
    <row r="308" spans="48:48" x14ac:dyDescent="0.3">
      <c r="AV308" s="96"/>
    </row>
    <row r="309" spans="48:48" x14ac:dyDescent="0.3">
      <c r="AV309" s="96"/>
    </row>
    <row r="310" spans="48:48" x14ac:dyDescent="0.3">
      <c r="AV310" s="96"/>
    </row>
    <row r="311" spans="48:48" x14ac:dyDescent="0.3">
      <c r="AV311" s="96"/>
    </row>
    <row r="312" spans="48:48" x14ac:dyDescent="0.3">
      <c r="AV312" s="96"/>
    </row>
    <row r="313" spans="48:48" x14ac:dyDescent="0.3">
      <c r="AV313" s="96"/>
    </row>
    <row r="314" spans="48:48" x14ac:dyDescent="0.3">
      <c r="AV314" s="96"/>
    </row>
    <row r="315" spans="48:48" x14ac:dyDescent="0.3">
      <c r="AV315" s="96"/>
    </row>
    <row r="316" spans="48:48" x14ac:dyDescent="0.3">
      <c r="AV316" s="96"/>
    </row>
    <row r="317" spans="48:48" x14ac:dyDescent="0.3">
      <c r="AV317" s="96"/>
    </row>
    <row r="318" spans="48:48" x14ac:dyDescent="0.3">
      <c r="AV318" s="96"/>
    </row>
    <row r="319" spans="48:48" x14ac:dyDescent="0.3">
      <c r="AV319" s="96"/>
    </row>
    <row r="320" spans="48:48" x14ac:dyDescent="0.3">
      <c r="AV320" s="96"/>
    </row>
    <row r="321" spans="48:48" x14ac:dyDescent="0.3">
      <c r="AV321" s="96"/>
    </row>
    <row r="322" spans="48:48" x14ac:dyDescent="0.3">
      <c r="AV322" s="96"/>
    </row>
    <row r="323" spans="48:48" x14ac:dyDescent="0.3">
      <c r="AV323" s="96"/>
    </row>
    <row r="324" spans="48:48" x14ac:dyDescent="0.3">
      <c r="AV324" s="96"/>
    </row>
    <row r="325" spans="48:48" x14ac:dyDescent="0.3">
      <c r="AV325" s="96"/>
    </row>
    <row r="326" spans="48:48" x14ac:dyDescent="0.3">
      <c r="AV326" s="96"/>
    </row>
    <row r="327" spans="48:48" x14ac:dyDescent="0.3">
      <c r="AV327" s="96"/>
    </row>
    <row r="328" spans="48:48" x14ac:dyDescent="0.3">
      <c r="AV328" s="96"/>
    </row>
    <row r="329" spans="48:48" x14ac:dyDescent="0.3">
      <c r="AV329" s="96"/>
    </row>
    <row r="330" spans="48:48" x14ac:dyDescent="0.3">
      <c r="AV330" s="96"/>
    </row>
    <row r="331" spans="48:48" x14ac:dyDescent="0.3">
      <c r="AV331" s="96"/>
    </row>
    <row r="332" spans="48:48" x14ac:dyDescent="0.3">
      <c r="AV332" s="96"/>
    </row>
    <row r="333" spans="48:48" x14ac:dyDescent="0.3">
      <c r="AV333" s="96"/>
    </row>
    <row r="334" spans="48:48" x14ac:dyDescent="0.3">
      <c r="AV334" s="96"/>
    </row>
    <row r="335" spans="48:48" x14ac:dyDescent="0.3">
      <c r="AV335" s="96"/>
    </row>
    <row r="336" spans="48:48" x14ac:dyDescent="0.3">
      <c r="AV336" s="96"/>
    </row>
    <row r="337" spans="48:48" x14ac:dyDescent="0.3">
      <c r="AV337" s="96"/>
    </row>
    <row r="338" spans="48:48" x14ac:dyDescent="0.3">
      <c r="AV338" s="96"/>
    </row>
    <row r="339" spans="48:48" x14ac:dyDescent="0.3">
      <c r="AV339" s="96"/>
    </row>
    <row r="340" spans="48:48" x14ac:dyDescent="0.3">
      <c r="AV340" s="96"/>
    </row>
    <row r="341" spans="48:48" x14ac:dyDescent="0.3">
      <c r="AV341" s="96"/>
    </row>
    <row r="342" spans="48:48" x14ac:dyDescent="0.3">
      <c r="AV342" s="96"/>
    </row>
    <row r="343" spans="48:48" x14ac:dyDescent="0.3">
      <c r="AV343" s="96"/>
    </row>
    <row r="344" spans="48:48" x14ac:dyDescent="0.3">
      <c r="AV344" s="96"/>
    </row>
    <row r="345" spans="48:48" x14ac:dyDescent="0.3">
      <c r="AV345" s="96"/>
    </row>
    <row r="346" spans="48:48" x14ac:dyDescent="0.3">
      <c r="AV346" s="96"/>
    </row>
    <row r="347" spans="48:48" x14ac:dyDescent="0.3">
      <c r="AV347" s="96"/>
    </row>
    <row r="348" spans="48:48" x14ac:dyDescent="0.3">
      <c r="AV348" s="96"/>
    </row>
    <row r="349" spans="48:48" x14ac:dyDescent="0.3">
      <c r="AV349" s="96"/>
    </row>
    <row r="350" spans="48:48" x14ac:dyDescent="0.3">
      <c r="AV350" s="96"/>
    </row>
    <row r="351" spans="48:48" x14ac:dyDescent="0.3">
      <c r="AV351" s="96"/>
    </row>
    <row r="352" spans="48:48" x14ac:dyDescent="0.3">
      <c r="AV352" s="96"/>
    </row>
    <row r="353" spans="48:48" x14ac:dyDescent="0.3">
      <c r="AV353" s="96"/>
    </row>
    <row r="354" spans="48:48" x14ac:dyDescent="0.3">
      <c r="AV354" s="96"/>
    </row>
    <row r="355" spans="48:48" x14ac:dyDescent="0.3">
      <c r="AV355" s="96"/>
    </row>
    <row r="356" spans="48:48" x14ac:dyDescent="0.3">
      <c r="AV356" s="96"/>
    </row>
    <row r="357" spans="48:48" x14ac:dyDescent="0.3">
      <c r="AV357" s="96"/>
    </row>
    <row r="358" spans="48:48" x14ac:dyDescent="0.3">
      <c r="AV358" s="96"/>
    </row>
    <row r="359" spans="48:48" x14ac:dyDescent="0.3">
      <c r="AV359" s="96"/>
    </row>
    <row r="360" spans="48:48" x14ac:dyDescent="0.3">
      <c r="AV360" s="96"/>
    </row>
    <row r="361" spans="48:48" x14ac:dyDescent="0.3">
      <c r="AV361" s="96"/>
    </row>
    <row r="362" spans="48:48" x14ac:dyDescent="0.3">
      <c r="AV362" s="96"/>
    </row>
    <row r="363" spans="48:48" x14ac:dyDescent="0.3">
      <c r="AV363" s="96"/>
    </row>
    <row r="364" spans="48:48" x14ac:dyDescent="0.3">
      <c r="AV364" s="96"/>
    </row>
    <row r="365" spans="48:48" x14ac:dyDescent="0.3">
      <c r="AV365" s="96"/>
    </row>
    <row r="366" spans="48:48" x14ac:dyDescent="0.3">
      <c r="AV366" s="96"/>
    </row>
    <row r="367" spans="48:48" x14ac:dyDescent="0.3">
      <c r="AV367" s="96"/>
    </row>
    <row r="368" spans="48:48" x14ac:dyDescent="0.3">
      <c r="AV368" s="96"/>
    </row>
    <row r="369" spans="48:48" x14ac:dyDescent="0.3">
      <c r="AV369" s="96"/>
    </row>
    <row r="370" spans="48:48" x14ac:dyDescent="0.3">
      <c r="AV370" s="96"/>
    </row>
    <row r="371" spans="48:48" x14ac:dyDescent="0.3">
      <c r="AV371" s="96"/>
    </row>
    <row r="372" spans="48:48" x14ac:dyDescent="0.3">
      <c r="AV372" s="96"/>
    </row>
    <row r="373" spans="48:48" x14ac:dyDescent="0.3">
      <c r="AV373" s="96"/>
    </row>
    <row r="374" spans="48:48" x14ac:dyDescent="0.3">
      <c r="AV374" s="96"/>
    </row>
    <row r="375" spans="48:48" x14ac:dyDescent="0.3">
      <c r="AV375" s="96"/>
    </row>
    <row r="376" spans="48:48" x14ac:dyDescent="0.3">
      <c r="AV376" s="96"/>
    </row>
    <row r="377" spans="48:48" x14ac:dyDescent="0.3">
      <c r="AV377" s="96"/>
    </row>
    <row r="378" spans="48:48" x14ac:dyDescent="0.3">
      <c r="AV378" s="96"/>
    </row>
    <row r="379" spans="48:48" x14ac:dyDescent="0.3">
      <c r="AV379" s="96"/>
    </row>
    <row r="380" spans="48:48" x14ac:dyDescent="0.3">
      <c r="AV380" s="96"/>
    </row>
    <row r="381" spans="48:48" x14ac:dyDescent="0.3">
      <c r="AV381" s="96"/>
    </row>
    <row r="382" spans="48:48" x14ac:dyDescent="0.3">
      <c r="AV382" s="96"/>
    </row>
    <row r="383" spans="48:48" x14ac:dyDescent="0.3">
      <c r="AV383" s="96"/>
    </row>
    <row r="384" spans="48:48" x14ac:dyDescent="0.3">
      <c r="AV384" s="96"/>
    </row>
    <row r="385" spans="48:48" x14ac:dyDescent="0.3">
      <c r="AV385" s="96"/>
    </row>
    <row r="386" spans="48:48" x14ac:dyDescent="0.3">
      <c r="AV386" s="96"/>
    </row>
    <row r="387" spans="48:48" x14ac:dyDescent="0.3">
      <c r="AV387" s="96"/>
    </row>
    <row r="388" spans="48:48" x14ac:dyDescent="0.3">
      <c r="AV388" s="96"/>
    </row>
    <row r="389" spans="48:48" x14ac:dyDescent="0.3">
      <c r="AV389" s="96"/>
    </row>
    <row r="390" spans="48:48" x14ac:dyDescent="0.3">
      <c r="AV390" s="96"/>
    </row>
    <row r="391" spans="48:48" x14ac:dyDescent="0.3">
      <c r="AV391" s="96"/>
    </row>
    <row r="392" spans="48:48" x14ac:dyDescent="0.3">
      <c r="AV392" s="96"/>
    </row>
    <row r="393" spans="48:48" x14ac:dyDescent="0.3">
      <c r="AV393" s="96"/>
    </row>
    <row r="394" spans="48:48" x14ac:dyDescent="0.3">
      <c r="AV394" s="96"/>
    </row>
    <row r="395" spans="48:48" x14ac:dyDescent="0.3">
      <c r="AV395" s="96"/>
    </row>
    <row r="396" spans="48:48" x14ac:dyDescent="0.3">
      <c r="AV396" s="96"/>
    </row>
    <row r="397" spans="48:48" x14ac:dyDescent="0.3">
      <c r="AV397" s="96"/>
    </row>
    <row r="398" spans="48:48" x14ac:dyDescent="0.3">
      <c r="AV398" s="96"/>
    </row>
    <row r="399" spans="48:48" x14ac:dyDescent="0.3">
      <c r="AV399" s="96"/>
    </row>
    <row r="400" spans="48:48" x14ac:dyDescent="0.3">
      <c r="AV400" s="96"/>
    </row>
    <row r="401" spans="48:48" x14ac:dyDescent="0.3">
      <c r="AV401" s="96"/>
    </row>
    <row r="402" spans="48:48" x14ac:dyDescent="0.3">
      <c r="AV402" s="96"/>
    </row>
    <row r="403" spans="48:48" x14ac:dyDescent="0.3">
      <c r="AV403" s="96"/>
    </row>
    <row r="404" spans="48:48" x14ac:dyDescent="0.3">
      <c r="AV404" s="96"/>
    </row>
    <row r="405" spans="48:48" x14ac:dyDescent="0.3">
      <c r="AV405" s="96"/>
    </row>
    <row r="406" spans="48:48" x14ac:dyDescent="0.3">
      <c r="AV406" s="96"/>
    </row>
    <row r="407" spans="48:48" x14ac:dyDescent="0.3">
      <c r="AV407" s="96"/>
    </row>
    <row r="408" spans="48:48" x14ac:dyDescent="0.3">
      <c r="AV408" s="96"/>
    </row>
    <row r="409" spans="48:48" x14ac:dyDescent="0.3">
      <c r="AV409" s="96"/>
    </row>
    <row r="410" spans="48:48" x14ac:dyDescent="0.3">
      <c r="AV410" s="96"/>
    </row>
    <row r="411" spans="48:48" x14ac:dyDescent="0.3">
      <c r="AV411" s="96"/>
    </row>
    <row r="412" spans="48:48" x14ac:dyDescent="0.3">
      <c r="AV412" s="96"/>
    </row>
    <row r="413" spans="48:48" x14ac:dyDescent="0.3">
      <c r="AV413" s="96"/>
    </row>
    <row r="414" spans="48:48" x14ac:dyDescent="0.3">
      <c r="AV414" s="96"/>
    </row>
    <row r="415" spans="48:48" x14ac:dyDescent="0.3">
      <c r="AV415" s="96"/>
    </row>
    <row r="416" spans="48:48" x14ac:dyDescent="0.3">
      <c r="AV416" s="96"/>
    </row>
    <row r="417" spans="48:48" x14ac:dyDescent="0.3">
      <c r="AV417" s="96"/>
    </row>
    <row r="418" spans="48:48" x14ac:dyDescent="0.3">
      <c r="AV418" s="96"/>
    </row>
    <row r="419" spans="48:48" x14ac:dyDescent="0.3">
      <c r="AV419" s="96"/>
    </row>
    <row r="420" spans="48:48" x14ac:dyDescent="0.3">
      <c r="AV420" s="96"/>
    </row>
    <row r="421" spans="48:48" x14ac:dyDescent="0.3">
      <c r="AV421" s="96"/>
    </row>
    <row r="422" spans="48:48" x14ac:dyDescent="0.3">
      <c r="AV422" s="96"/>
    </row>
    <row r="423" spans="48:48" x14ac:dyDescent="0.3">
      <c r="AV423" s="96"/>
    </row>
    <row r="424" spans="48:48" x14ac:dyDescent="0.3">
      <c r="AV424" s="96"/>
    </row>
    <row r="425" spans="48:48" x14ac:dyDescent="0.3">
      <c r="AV425" s="96"/>
    </row>
    <row r="426" spans="48:48" x14ac:dyDescent="0.3">
      <c r="AV426" s="96"/>
    </row>
    <row r="427" spans="48:48" x14ac:dyDescent="0.3">
      <c r="AV427" s="96"/>
    </row>
    <row r="428" spans="48:48" x14ac:dyDescent="0.3">
      <c r="AV428" s="96"/>
    </row>
    <row r="429" spans="48:48" x14ac:dyDescent="0.3">
      <c r="AV429" s="96"/>
    </row>
    <row r="430" spans="48:48" x14ac:dyDescent="0.3">
      <c r="AV430" s="96"/>
    </row>
    <row r="431" spans="48:48" x14ac:dyDescent="0.3">
      <c r="AV431" s="96"/>
    </row>
    <row r="432" spans="48:48" x14ac:dyDescent="0.3">
      <c r="AV432" s="96"/>
    </row>
    <row r="433" spans="48:48" x14ac:dyDescent="0.3">
      <c r="AV433" s="96"/>
    </row>
    <row r="434" spans="48:48" x14ac:dyDescent="0.3">
      <c r="AV434" s="96"/>
    </row>
    <row r="435" spans="48:48" x14ac:dyDescent="0.3">
      <c r="AV435" s="96"/>
    </row>
    <row r="436" spans="48:48" x14ac:dyDescent="0.3">
      <c r="AV436" s="96"/>
    </row>
    <row r="437" spans="48:48" x14ac:dyDescent="0.3">
      <c r="AV437" s="96"/>
    </row>
    <row r="438" spans="48:48" x14ac:dyDescent="0.3">
      <c r="AV438" s="96"/>
    </row>
    <row r="439" spans="48:48" x14ac:dyDescent="0.3">
      <c r="AV439" s="96"/>
    </row>
    <row r="440" spans="48:48" x14ac:dyDescent="0.3">
      <c r="AV440" s="96"/>
    </row>
    <row r="441" spans="48:48" x14ac:dyDescent="0.3">
      <c r="AV441" s="96"/>
    </row>
    <row r="442" spans="48:48" x14ac:dyDescent="0.3">
      <c r="AV442" s="96"/>
    </row>
    <row r="443" spans="48:48" x14ac:dyDescent="0.3">
      <c r="AV443" s="96"/>
    </row>
    <row r="444" spans="48:48" x14ac:dyDescent="0.3">
      <c r="AV444" s="96"/>
    </row>
    <row r="445" spans="48:48" x14ac:dyDescent="0.3">
      <c r="AV445" s="96"/>
    </row>
    <row r="446" spans="48:48" x14ac:dyDescent="0.3">
      <c r="AV446" s="96"/>
    </row>
    <row r="447" spans="48:48" x14ac:dyDescent="0.3">
      <c r="AV447" s="96"/>
    </row>
    <row r="448" spans="48:48" x14ac:dyDescent="0.3">
      <c r="AV448" s="96"/>
    </row>
    <row r="449" spans="48:48" x14ac:dyDescent="0.3">
      <c r="AV449" s="96"/>
    </row>
    <row r="450" spans="48:48" x14ac:dyDescent="0.3">
      <c r="AV450" s="96"/>
    </row>
    <row r="451" spans="48:48" x14ac:dyDescent="0.3">
      <c r="AV451" s="96"/>
    </row>
    <row r="452" spans="48:48" x14ac:dyDescent="0.3">
      <c r="AV452" s="96"/>
    </row>
    <row r="453" spans="48:48" x14ac:dyDescent="0.3">
      <c r="AV453" s="96"/>
    </row>
    <row r="454" spans="48:48" x14ac:dyDescent="0.3">
      <c r="AV454" s="96"/>
    </row>
    <row r="455" spans="48:48" x14ac:dyDescent="0.3">
      <c r="AV455" s="96"/>
    </row>
    <row r="456" spans="48:48" x14ac:dyDescent="0.3">
      <c r="AV456" s="96"/>
    </row>
    <row r="457" spans="48:48" x14ac:dyDescent="0.3">
      <c r="AV457" s="96"/>
    </row>
    <row r="458" spans="48:48" x14ac:dyDescent="0.3">
      <c r="AV458" s="96"/>
    </row>
    <row r="459" spans="48:48" x14ac:dyDescent="0.3">
      <c r="AV459" s="96"/>
    </row>
    <row r="460" spans="48:48" x14ac:dyDescent="0.3">
      <c r="AV460" s="96"/>
    </row>
    <row r="461" spans="48:48" x14ac:dyDescent="0.3">
      <c r="AV461" s="96"/>
    </row>
    <row r="462" spans="48:48" x14ac:dyDescent="0.3">
      <c r="AV462" s="96"/>
    </row>
    <row r="463" spans="48:48" x14ac:dyDescent="0.3">
      <c r="AV463" s="96"/>
    </row>
    <row r="464" spans="48:48" x14ac:dyDescent="0.3">
      <c r="AV464" s="96"/>
    </row>
    <row r="465" spans="48:48" x14ac:dyDescent="0.3">
      <c r="AV465" s="96"/>
    </row>
    <row r="466" spans="48:48" x14ac:dyDescent="0.3">
      <c r="AV466" s="96"/>
    </row>
    <row r="467" spans="48:48" x14ac:dyDescent="0.3">
      <c r="AV467" s="96"/>
    </row>
    <row r="468" spans="48:48" x14ac:dyDescent="0.3">
      <c r="AV468" s="96"/>
    </row>
    <row r="469" spans="48:48" x14ac:dyDescent="0.3">
      <c r="AV469" s="96"/>
    </row>
    <row r="470" spans="48:48" x14ac:dyDescent="0.3">
      <c r="AV470" s="96"/>
    </row>
    <row r="471" spans="48:48" x14ac:dyDescent="0.3">
      <c r="AV471" s="96"/>
    </row>
    <row r="472" spans="48:48" x14ac:dyDescent="0.3">
      <c r="AV472" s="96"/>
    </row>
    <row r="473" spans="48:48" x14ac:dyDescent="0.3">
      <c r="AV473" s="96"/>
    </row>
    <row r="474" spans="48:48" x14ac:dyDescent="0.3">
      <c r="AV474" s="96"/>
    </row>
    <row r="475" spans="48:48" x14ac:dyDescent="0.3">
      <c r="AV475" s="96"/>
    </row>
    <row r="476" spans="48:48" x14ac:dyDescent="0.3">
      <c r="AV476" s="96"/>
    </row>
    <row r="477" spans="48:48" x14ac:dyDescent="0.3">
      <c r="AV477" s="96"/>
    </row>
    <row r="478" spans="48:48" x14ac:dyDescent="0.3">
      <c r="AV478" s="96"/>
    </row>
    <row r="479" spans="48:48" x14ac:dyDescent="0.3">
      <c r="AV479" s="96"/>
    </row>
    <row r="480" spans="48:48" x14ac:dyDescent="0.3">
      <c r="AV480" s="96"/>
    </row>
    <row r="481" spans="48:48" x14ac:dyDescent="0.3">
      <c r="AV481" s="96"/>
    </row>
    <row r="482" spans="48:48" x14ac:dyDescent="0.3">
      <c r="AV482" s="96"/>
    </row>
    <row r="483" spans="48:48" x14ac:dyDescent="0.3">
      <c r="AV483" s="96"/>
    </row>
    <row r="484" spans="48:48" x14ac:dyDescent="0.3">
      <c r="AV484" s="96"/>
    </row>
    <row r="485" spans="48:48" x14ac:dyDescent="0.3">
      <c r="AV485" s="96"/>
    </row>
    <row r="486" spans="48:48" x14ac:dyDescent="0.3">
      <c r="AV486" s="96"/>
    </row>
    <row r="487" spans="48:48" x14ac:dyDescent="0.3">
      <c r="AV487" s="96"/>
    </row>
    <row r="488" spans="48:48" x14ac:dyDescent="0.3">
      <c r="AV488" s="96"/>
    </row>
    <row r="489" spans="48:48" x14ac:dyDescent="0.3">
      <c r="AV489" s="96"/>
    </row>
    <row r="490" spans="48:48" x14ac:dyDescent="0.3">
      <c r="AV490" s="96"/>
    </row>
    <row r="491" spans="48:48" x14ac:dyDescent="0.3">
      <c r="AV491" s="96"/>
    </row>
    <row r="492" spans="48:48" x14ac:dyDescent="0.3">
      <c r="AV492" s="96"/>
    </row>
    <row r="493" spans="48:48" x14ac:dyDescent="0.3">
      <c r="AV493" s="96"/>
    </row>
    <row r="494" spans="48:48" x14ac:dyDescent="0.3">
      <c r="AV494" s="96"/>
    </row>
    <row r="495" spans="48:48" x14ac:dyDescent="0.3">
      <c r="AV495" s="96"/>
    </row>
    <row r="496" spans="48:48" x14ac:dyDescent="0.3">
      <c r="AV496" s="96"/>
    </row>
    <row r="497" spans="48:48" x14ac:dyDescent="0.3">
      <c r="AV497" s="96"/>
    </row>
    <row r="498" spans="48:48" x14ac:dyDescent="0.3">
      <c r="AV498" s="96"/>
    </row>
    <row r="499" spans="48:48" x14ac:dyDescent="0.3">
      <c r="AV499" s="96"/>
    </row>
    <row r="500" spans="48:48" x14ac:dyDescent="0.3">
      <c r="AV500" s="96"/>
    </row>
    <row r="501" spans="48:48" x14ac:dyDescent="0.3">
      <c r="AV501" s="96"/>
    </row>
    <row r="502" spans="48:48" x14ac:dyDescent="0.3">
      <c r="AV502" s="96"/>
    </row>
    <row r="503" spans="48:48" x14ac:dyDescent="0.3">
      <c r="AV503" s="96"/>
    </row>
    <row r="504" spans="48:48" x14ac:dyDescent="0.3">
      <c r="AV504" s="96"/>
    </row>
    <row r="505" spans="48:48" x14ac:dyDescent="0.3">
      <c r="AV505" s="96"/>
    </row>
    <row r="506" spans="48:48" x14ac:dyDescent="0.3">
      <c r="AV506" s="96"/>
    </row>
    <row r="507" spans="48:48" x14ac:dyDescent="0.3">
      <c r="AV507" s="96"/>
    </row>
    <row r="508" spans="48:48" x14ac:dyDescent="0.3">
      <c r="AV508" s="96"/>
    </row>
    <row r="509" spans="48:48" x14ac:dyDescent="0.3">
      <c r="AV509" s="96"/>
    </row>
    <row r="510" spans="48:48" x14ac:dyDescent="0.3">
      <c r="AV510" s="96"/>
    </row>
    <row r="511" spans="48:48" x14ac:dyDescent="0.3">
      <c r="AV511" s="96"/>
    </row>
    <row r="512" spans="48:48" x14ac:dyDescent="0.3">
      <c r="AV512" s="96"/>
    </row>
    <row r="513" spans="48:48" x14ac:dyDescent="0.3">
      <c r="AV513" s="96"/>
    </row>
    <row r="514" spans="48:48" x14ac:dyDescent="0.3">
      <c r="AV514" s="96"/>
    </row>
    <row r="515" spans="48:48" x14ac:dyDescent="0.3">
      <c r="AV515" s="96"/>
    </row>
    <row r="516" spans="48:48" x14ac:dyDescent="0.3">
      <c r="AV516" s="96"/>
    </row>
    <row r="517" spans="48:48" x14ac:dyDescent="0.3">
      <c r="AV517" s="96"/>
    </row>
    <row r="518" spans="48:48" x14ac:dyDescent="0.3">
      <c r="AV518" s="96"/>
    </row>
    <row r="519" spans="48:48" x14ac:dyDescent="0.3">
      <c r="AV519" s="96"/>
    </row>
    <row r="520" spans="48:48" x14ac:dyDescent="0.3">
      <c r="AV520" s="96"/>
    </row>
    <row r="521" spans="48:48" x14ac:dyDescent="0.3">
      <c r="AV521" s="96"/>
    </row>
    <row r="522" spans="48:48" x14ac:dyDescent="0.3">
      <c r="AV522" s="96"/>
    </row>
    <row r="523" spans="48:48" x14ac:dyDescent="0.3">
      <c r="AV523" s="96"/>
    </row>
    <row r="524" spans="48:48" x14ac:dyDescent="0.3">
      <c r="AV524" s="96"/>
    </row>
    <row r="525" spans="48:48" x14ac:dyDescent="0.3">
      <c r="AV525" s="96"/>
    </row>
    <row r="526" spans="48:48" x14ac:dyDescent="0.3">
      <c r="AV526" s="96"/>
    </row>
    <row r="527" spans="48:48" x14ac:dyDescent="0.3">
      <c r="AV527" s="96"/>
    </row>
    <row r="528" spans="48:48" x14ac:dyDescent="0.3">
      <c r="AV528" s="96"/>
    </row>
    <row r="529" spans="48:48" x14ac:dyDescent="0.3">
      <c r="AV529" s="96"/>
    </row>
    <row r="530" spans="48:48" x14ac:dyDescent="0.3">
      <c r="AV530" s="96"/>
    </row>
    <row r="531" spans="48:48" x14ac:dyDescent="0.3">
      <c r="AV531" s="96"/>
    </row>
    <row r="532" spans="48:48" x14ac:dyDescent="0.3">
      <c r="AV532" s="96"/>
    </row>
    <row r="533" spans="48:48" x14ac:dyDescent="0.3">
      <c r="AV533" s="96"/>
    </row>
    <row r="534" spans="48:48" x14ac:dyDescent="0.3">
      <c r="AV534" s="96"/>
    </row>
    <row r="535" spans="48:48" x14ac:dyDescent="0.3">
      <c r="AV535" s="96"/>
    </row>
    <row r="536" spans="48:48" x14ac:dyDescent="0.3">
      <c r="AV536" s="96"/>
    </row>
    <row r="537" spans="48:48" x14ac:dyDescent="0.3">
      <c r="AV537" s="96"/>
    </row>
    <row r="538" spans="48:48" x14ac:dyDescent="0.3">
      <c r="AV538" s="96"/>
    </row>
    <row r="539" spans="48:48" x14ac:dyDescent="0.3">
      <c r="AV539" s="96"/>
    </row>
    <row r="540" spans="48:48" x14ac:dyDescent="0.3">
      <c r="AV540" s="96"/>
    </row>
    <row r="541" spans="48:48" x14ac:dyDescent="0.3">
      <c r="AV541" s="96"/>
    </row>
    <row r="542" spans="48:48" x14ac:dyDescent="0.3">
      <c r="AV542" s="96"/>
    </row>
    <row r="543" spans="48:48" x14ac:dyDescent="0.3">
      <c r="AV543" s="96"/>
    </row>
    <row r="544" spans="48:48" x14ac:dyDescent="0.3">
      <c r="AV544" s="96"/>
    </row>
    <row r="545" spans="48:48" x14ac:dyDescent="0.3">
      <c r="AV545" s="96"/>
    </row>
    <row r="546" spans="48:48" x14ac:dyDescent="0.3">
      <c r="AV546" s="96"/>
    </row>
    <row r="547" spans="48:48" x14ac:dyDescent="0.3">
      <c r="AV547" s="96"/>
    </row>
    <row r="548" spans="48:48" x14ac:dyDescent="0.3">
      <c r="AV548" s="96"/>
    </row>
    <row r="549" spans="48:48" x14ac:dyDescent="0.3">
      <c r="AV549" s="96"/>
    </row>
    <row r="550" spans="48:48" x14ac:dyDescent="0.3">
      <c r="AV550" s="96"/>
    </row>
    <row r="551" spans="48:48" x14ac:dyDescent="0.3">
      <c r="AV551" s="96"/>
    </row>
    <row r="552" spans="48:48" x14ac:dyDescent="0.3">
      <c r="AV552" s="96"/>
    </row>
    <row r="553" spans="48:48" x14ac:dyDescent="0.3">
      <c r="AV553" s="96"/>
    </row>
    <row r="554" spans="48:48" x14ac:dyDescent="0.3">
      <c r="AV554" s="96"/>
    </row>
    <row r="555" spans="48:48" x14ac:dyDescent="0.3">
      <c r="AV555" s="96"/>
    </row>
    <row r="556" spans="48:48" x14ac:dyDescent="0.3">
      <c r="AV556" s="96"/>
    </row>
    <row r="557" spans="48:48" x14ac:dyDescent="0.3">
      <c r="AV557" s="96"/>
    </row>
    <row r="558" spans="48:48" x14ac:dyDescent="0.3">
      <c r="AV558" s="96"/>
    </row>
    <row r="559" spans="48:48" x14ac:dyDescent="0.3">
      <c r="AV559" s="96"/>
    </row>
    <row r="560" spans="48:48" x14ac:dyDescent="0.3">
      <c r="AV560" s="96"/>
    </row>
    <row r="561" spans="48:48" x14ac:dyDescent="0.3">
      <c r="AV561" s="96"/>
    </row>
    <row r="562" spans="48:48" x14ac:dyDescent="0.3">
      <c r="AV562" s="96"/>
    </row>
    <row r="563" spans="48:48" x14ac:dyDescent="0.3">
      <c r="AV563" s="96"/>
    </row>
    <row r="564" spans="48:48" x14ac:dyDescent="0.3">
      <c r="AV564" s="96"/>
    </row>
    <row r="565" spans="48:48" x14ac:dyDescent="0.3">
      <c r="AV565" s="96"/>
    </row>
    <row r="566" spans="48:48" x14ac:dyDescent="0.3">
      <c r="AV566" s="96"/>
    </row>
    <row r="567" spans="48:48" x14ac:dyDescent="0.3">
      <c r="AV567" s="96"/>
    </row>
    <row r="568" spans="48:48" x14ac:dyDescent="0.3">
      <c r="AV568" s="96"/>
    </row>
    <row r="569" spans="48:48" x14ac:dyDescent="0.3">
      <c r="AV569" s="96"/>
    </row>
    <row r="570" spans="48:48" x14ac:dyDescent="0.3">
      <c r="AV570" s="96"/>
    </row>
    <row r="571" spans="48:48" x14ac:dyDescent="0.3">
      <c r="AV571" s="96"/>
    </row>
    <row r="572" spans="48:48" x14ac:dyDescent="0.3">
      <c r="AV572" s="96"/>
    </row>
    <row r="573" spans="48:48" x14ac:dyDescent="0.3">
      <c r="AV573" s="96"/>
    </row>
    <row r="574" spans="48:48" x14ac:dyDescent="0.3">
      <c r="AV574" s="96"/>
    </row>
    <row r="575" spans="48:48" x14ac:dyDescent="0.3">
      <c r="AV575" s="96"/>
    </row>
    <row r="576" spans="48:48" x14ac:dyDescent="0.3">
      <c r="AV576" s="96"/>
    </row>
    <row r="577" spans="48:48" x14ac:dyDescent="0.3">
      <c r="AV577" s="96"/>
    </row>
    <row r="578" spans="48:48" x14ac:dyDescent="0.3">
      <c r="AV578" s="96"/>
    </row>
    <row r="579" spans="48:48" x14ac:dyDescent="0.3">
      <c r="AV579" s="96"/>
    </row>
    <row r="580" spans="48:48" x14ac:dyDescent="0.3">
      <c r="AV580" s="96"/>
    </row>
    <row r="581" spans="48:48" x14ac:dyDescent="0.3">
      <c r="AV581" s="96"/>
    </row>
    <row r="582" spans="48:48" x14ac:dyDescent="0.3">
      <c r="AV582" s="96"/>
    </row>
    <row r="583" spans="48:48" x14ac:dyDescent="0.3">
      <c r="AV583" s="96"/>
    </row>
    <row r="584" spans="48:48" x14ac:dyDescent="0.3">
      <c r="AV584" s="96"/>
    </row>
    <row r="585" spans="48:48" x14ac:dyDescent="0.3">
      <c r="AV585" s="96"/>
    </row>
    <row r="586" spans="48:48" x14ac:dyDescent="0.3">
      <c r="AV586" s="96"/>
    </row>
    <row r="587" spans="48:48" x14ac:dyDescent="0.3">
      <c r="AV587" s="96"/>
    </row>
    <row r="588" spans="48:48" x14ac:dyDescent="0.3">
      <c r="AV588" s="96"/>
    </row>
    <row r="589" spans="48:48" x14ac:dyDescent="0.3">
      <c r="AV589" s="96"/>
    </row>
    <row r="590" spans="48:48" x14ac:dyDescent="0.3">
      <c r="AV590" s="96"/>
    </row>
    <row r="591" spans="48:48" x14ac:dyDescent="0.3">
      <c r="AV591" s="96"/>
    </row>
    <row r="592" spans="48:48" x14ac:dyDescent="0.3">
      <c r="AV592" s="96"/>
    </row>
    <row r="593" spans="48:48" x14ac:dyDescent="0.3">
      <c r="AV593" s="96"/>
    </row>
    <row r="594" spans="48:48" x14ac:dyDescent="0.3">
      <c r="AV594" s="96"/>
    </row>
    <row r="595" spans="48:48" x14ac:dyDescent="0.3">
      <c r="AV595" s="96"/>
    </row>
    <row r="596" spans="48:48" x14ac:dyDescent="0.3">
      <c r="AV596" s="96"/>
    </row>
    <row r="597" spans="48:48" x14ac:dyDescent="0.3">
      <c r="AV597" s="96"/>
    </row>
    <row r="598" spans="48:48" x14ac:dyDescent="0.3">
      <c r="AV598" s="96"/>
    </row>
    <row r="599" spans="48:48" x14ac:dyDescent="0.3">
      <c r="AV599" s="96"/>
    </row>
    <row r="600" spans="48:48" x14ac:dyDescent="0.3">
      <c r="AV600" s="96"/>
    </row>
    <row r="601" spans="48:48" x14ac:dyDescent="0.3">
      <c r="AV601" s="96"/>
    </row>
    <row r="602" spans="48:48" x14ac:dyDescent="0.3">
      <c r="AV602" s="96"/>
    </row>
    <row r="603" spans="48:48" x14ac:dyDescent="0.3">
      <c r="AV603" s="96"/>
    </row>
    <row r="604" spans="48:48" x14ac:dyDescent="0.3">
      <c r="AV604" s="96"/>
    </row>
    <row r="605" spans="48:48" x14ac:dyDescent="0.3">
      <c r="AV605" s="96"/>
    </row>
    <row r="606" spans="48:48" x14ac:dyDescent="0.3">
      <c r="AV606" s="96"/>
    </row>
    <row r="607" spans="48:48" x14ac:dyDescent="0.3">
      <c r="AV607" s="96"/>
    </row>
    <row r="608" spans="48:48" x14ac:dyDescent="0.3">
      <c r="AV608" s="96"/>
    </row>
    <row r="609" spans="48:48" x14ac:dyDescent="0.3">
      <c r="AV609" s="96"/>
    </row>
    <row r="610" spans="48:48" x14ac:dyDescent="0.3">
      <c r="AV610" s="96"/>
    </row>
    <row r="611" spans="48:48" x14ac:dyDescent="0.3">
      <c r="AV611" s="96"/>
    </row>
    <row r="612" spans="48:48" x14ac:dyDescent="0.3">
      <c r="AV612" s="96"/>
    </row>
    <row r="613" spans="48:48" x14ac:dyDescent="0.3">
      <c r="AV613" s="96"/>
    </row>
    <row r="614" spans="48:48" x14ac:dyDescent="0.3">
      <c r="AV614" s="96"/>
    </row>
    <row r="615" spans="48:48" x14ac:dyDescent="0.3">
      <c r="AV615" s="96"/>
    </row>
    <row r="616" spans="48:48" x14ac:dyDescent="0.3">
      <c r="AV616" s="96"/>
    </row>
    <row r="617" spans="48:48" x14ac:dyDescent="0.3">
      <c r="AV617" s="96"/>
    </row>
    <row r="618" spans="48:48" x14ac:dyDescent="0.3">
      <c r="AV618" s="96"/>
    </row>
    <row r="619" spans="48:48" x14ac:dyDescent="0.3">
      <c r="AV619" s="96"/>
    </row>
    <row r="620" spans="48:48" x14ac:dyDescent="0.3">
      <c r="AV620" s="96"/>
    </row>
    <row r="621" spans="48:48" x14ac:dyDescent="0.3">
      <c r="AV621" s="96"/>
    </row>
    <row r="622" spans="48:48" x14ac:dyDescent="0.3">
      <c r="AV622" s="96"/>
    </row>
    <row r="623" spans="48:48" x14ac:dyDescent="0.3">
      <c r="AV623" s="96"/>
    </row>
    <row r="624" spans="48:48" x14ac:dyDescent="0.3">
      <c r="AV624" s="96"/>
    </row>
    <row r="625" spans="48:48" x14ac:dyDescent="0.3">
      <c r="AV625" s="96"/>
    </row>
    <row r="626" spans="48:48" x14ac:dyDescent="0.3">
      <c r="AV626" s="96"/>
    </row>
    <row r="627" spans="48:48" x14ac:dyDescent="0.3">
      <c r="AV627" s="96"/>
    </row>
    <row r="628" spans="48:48" x14ac:dyDescent="0.3">
      <c r="AV628" s="96"/>
    </row>
    <row r="629" spans="48:48" x14ac:dyDescent="0.3">
      <c r="AV629" s="96"/>
    </row>
    <row r="630" spans="48:48" x14ac:dyDescent="0.3">
      <c r="AV630" s="96"/>
    </row>
    <row r="631" spans="48:48" x14ac:dyDescent="0.3">
      <c r="AV631" s="96"/>
    </row>
    <row r="632" spans="48:48" x14ac:dyDescent="0.3">
      <c r="AV632" s="96"/>
    </row>
    <row r="633" spans="48:48" x14ac:dyDescent="0.3">
      <c r="AV633" s="96"/>
    </row>
    <row r="634" spans="48:48" x14ac:dyDescent="0.3">
      <c r="AV634" s="96"/>
    </row>
    <row r="635" spans="48:48" x14ac:dyDescent="0.3">
      <c r="AV635" s="96"/>
    </row>
    <row r="636" spans="48:48" x14ac:dyDescent="0.3">
      <c r="AV636" s="96"/>
    </row>
    <row r="637" spans="48:48" x14ac:dyDescent="0.3">
      <c r="AV637" s="96"/>
    </row>
    <row r="638" spans="48:48" x14ac:dyDescent="0.3">
      <c r="AV638" s="96"/>
    </row>
    <row r="639" spans="48:48" x14ac:dyDescent="0.3">
      <c r="AV639" s="96"/>
    </row>
    <row r="640" spans="48:48" x14ac:dyDescent="0.3">
      <c r="AV640" s="96"/>
    </row>
    <row r="641" spans="48:48" x14ac:dyDescent="0.3">
      <c r="AV641" s="96"/>
    </row>
    <row r="642" spans="48:48" x14ac:dyDescent="0.3">
      <c r="AV642" s="96"/>
    </row>
    <row r="643" spans="48:48" x14ac:dyDescent="0.3">
      <c r="AV643" s="96"/>
    </row>
    <row r="644" spans="48:48" x14ac:dyDescent="0.3">
      <c r="AV644" s="96"/>
    </row>
    <row r="645" spans="48:48" x14ac:dyDescent="0.3">
      <c r="AV645" s="96"/>
    </row>
    <row r="646" spans="48:48" x14ac:dyDescent="0.3">
      <c r="AV646" s="96"/>
    </row>
    <row r="647" spans="48:48" x14ac:dyDescent="0.3">
      <c r="AV647" s="96"/>
    </row>
    <row r="648" spans="48:48" x14ac:dyDescent="0.3">
      <c r="AV648" s="96"/>
    </row>
    <row r="649" spans="48:48" x14ac:dyDescent="0.3">
      <c r="AV649" s="96"/>
    </row>
    <row r="650" spans="48:48" x14ac:dyDescent="0.3">
      <c r="AV650" s="96"/>
    </row>
    <row r="651" spans="48:48" x14ac:dyDescent="0.3">
      <c r="AV651" s="96"/>
    </row>
    <row r="652" spans="48:48" x14ac:dyDescent="0.3">
      <c r="AV652" s="96"/>
    </row>
    <row r="653" spans="48:48" x14ac:dyDescent="0.3">
      <c r="AV653" s="96"/>
    </row>
    <row r="654" spans="48:48" x14ac:dyDescent="0.3">
      <c r="AV654" s="96"/>
    </row>
    <row r="655" spans="48:48" x14ac:dyDescent="0.3">
      <c r="AV655" s="96"/>
    </row>
    <row r="656" spans="48:48" x14ac:dyDescent="0.3">
      <c r="AV656" s="96"/>
    </row>
    <row r="657" spans="48:48" x14ac:dyDescent="0.3">
      <c r="AV657" s="96"/>
    </row>
    <row r="658" spans="48:48" x14ac:dyDescent="0.3">
      <c r="AV658" s="96"/>
    </row>
    <row r="659" spans="48:48" x14ac:dyDescent="0.3">
      <c r="AV659" s="96"/>
    </row>
    <row r="660" spans="48:48" x14ac:dyDescent="0.3">
      <c r="AV660" s="96"/>
    </row>
    <row r="661" spans="48:48" x14ac:dyDescent="0.3">
      <c r="AV661" s="96"/>
    </row>
    <row r="662" spans="48:48" x14ac:dyDescent="0.3">
      <c r="AV662" s="96"/>
    </row>
    <row r="663" spans="48:48" x14ac:dyDescent="0.3">
      <c r="AV663" s="96"/>
    </row>
    <row r="664" spans="48:48" x14ac:dyDescent="0.3">
      <c r="AV664" s="96"/>
    </row>
    <row r="665" spans="48:48" x14ac:dyDescent="0.3">
      <c r="AV665" s="96"/>
    </row>
    <row r="666" spans="48:48" x14ac:dyDescent="0.3">
      <c r="AV666" s="96"/>
    </row>
    <row r="667" spans="48:48" x14ac:dyDescent="0.3">
      <c r="AV667" s="96"/>
    </row>
    <row r="668" spans="48:48" x14ac:dyDescent="0.3">
      <c r="AV668" s="96"/>
    </row>
    <row r="669" spans="48:48" x14ac:dyDescent="0.3">
      <c r="AV669" s="96"/>
    </row>
    <row r="670" spans="48:48" x14ac:dyDescent="0.3">
      <c r="AV670" s="96"/>
    </row>
    <row r="671" spans="48:48" x14ac:dyDescent="0.3">
      <c r="AV671" s="96"/>
    </row>
    <row r="672" spans="48:48" x14ac:dyDescent="0.3">
      <c r="AV672" s="96"/>
    </row>
    <row r="673" spans="48:48" x14ac:dyDescent="0.3">
      <c r="AV673" s="96"/>
    </row>
    <row r="674" spans="48:48" x14ac:dyDescent="0.3">
      <c r="AV674" s="96"/>
    </row>
    <row r="675" spans="48:48" x14ac:dyDescent="0.3">
      <c r="AV675" s="96"/>
    </row>
    <row r="676" spans="48:48" x14ac:dyDescent="0.3">
      <c r="AV676" s="96"/>
    </row>
    <row r="677" spans="48:48" x14ac:dyDescent="0.3">
      <c r="AV677" s="96"/>
    </row>
    <row r="678" spans="48:48" x14ac:dyDescent="0.3">
      <c r="AV678" s="96"/>
    </row>
    <row r="679" spans="48:48" x14ac:dyDescent="0.3">
      <c r="AV679" s="96"/>
    </row>
    <row r="680" spans="48:48" x14ac:dyDescent="0.3">
      <c r="AV680" s="96"/>
    </row>
    <row r="681" spans="48:48" x14ac:dyDescent="0.3">
      <c r="AV681" s="96"/>
    </row>
    <row r="682" spans="48:48" x14ac:dyDescent="0.3">
      <c r="AV682" s="96"/>
    </row>
    <row r="683" spans="48:48" x14ac:dyDescent="0.3">
      <c r="AV683" s="96"/>
    </row>
    <row r="684" spans="48:48" x14ac:dyDescent="0.3">
      <c r="AV684" s="96"/>
    </row>
    <row r="685" spans="48:48" x14ac:dyDescent="0.3">
      <c r="AV685" s="96"/>
    </row>
    <row r="686" spans="48:48" x14ac:dyDescent="0.3">
      <c r="AV686" s="96"/>
    </row>
    <row r="687" spans="48:48" x14ac:dyDescent="0.3">
      <c r="AV687" s="96"/>
    </row>
    <row r="688" spans="48:48" x14ac:dyDescent="0.3">
      <c r="AV688" s="96"/>
    </row>
    <row r="689" spans="48:48" x14ac:dyDescent="0.3">
      <c r="AV689" s="96"/>
    </row>
    <row r="690" spans="48:48" x14ac:dyDescent="0.3">
      <c r="AV690" s="96"/>
    </row>
    <row r="691" spans="48:48" x14ac:dyDescent="0.3">
      <c r="AV691" s="96"/>
    </row>
    <row r="692" spans="48:48" x14ac:dyDescent="0.3">
      <c r="AV692" s="96"/>
    </row>
    <row r="693" spans="48:48" x14ac:dyDescent="0.3">
      <c r="AV693" s="96"/>
    </row>
    <row r="694" spans="48:48" x14ac:dyDescent="0.3">
      <c r="AV694" s="96"/>
    </row>
    <row r="695" spans="48:48" x14ac:dyDescent="0.3">
      <c r="AV695" s="96"/>
    </row>
    <row r="696" spans="48:48" x14ac:dyDescent="0.3">
      <c r="AV696" s="96"/>
    </row>
    <row r="697" spans="48:48" x14ac:dyDescent="0.3">
      <c r="AV697" s="96"/>
    </row>
    <row r="698" spans="48:48" x14ac:dyDescent="0.3">
      <c r="AV698" s="96"/>
    </row>
    <row r="699" spans="48:48" x14ac:dyDescent="0.3">
      <c r="AV699" s="96"/>
    </row>
    <row r="700" spans="48:48" x14ac:dyDescent="0.3">
      <c r="AV700" s="96"/>
    </row>
    <row r="701" spans="48:48" x14ac:dyDescent="0.3">
      <c r="AV701" s="96"/>
    </row>
    <row r="702" spans="48:48" x14ac:dyDescent="0.3">
      <c r="AV702" s="96"/>
    </row>
    <row r="703" spans="48:48" x14ac:dyDescent="0.3">
      <c r="AV703" s="96"/>
    </row>
    <row r="704" spans="48:48" x14ac:dyDescent="0.3">
      <c r="AV704" s="96"/>
    </row>
    <row r="705" spans="48:48" x14ac:dyDescent="0.3">
      <c r="AV705" s="96"/>
    </row>
    <row r="706" spans="48:48" x14ac:dyDescent="0.3">
      <c r="AV706" s="96"/>
    </row>
    <row r="707" spans="48:48" x14ac:dyDescent="0.3">
      <c r="AV707" s="96"/>
    </row>
    <row r="708" spans="48:48" x14ac:dyDescent="0.3">
      <c r="AV708" s="96"/>
    </row>
    <row r="709" spans="48:48" x14ac:dyDescent="0.3">
      <c r="AV709" s="96"/>
    </row>
    <row r="710" spans="48:48" x14ac:dyDescent="0.3">
      <c r="AV710" s="96"/>
    </row>
    <row r="711" spans="48:48" x14ac:dyDescent="0.3">
      <c r="AV711" s="96"/>
    </row>
    <row r="712" spans="48:48" x14ac:dyDescent="0.3">
      <c r="AV712" s="96"/>
    </row>
    <row r="713" spans="48:48" x14ac:dyDescent="0.3">
      <c r="AV713" s="96"/>
    </row>
    <row r="714" spans="48:48" x14ac:dyDescent="0.3">
      <c r="AV714" s="96"/>
    </row>
    <row r="715" spans="48:48" x14ac:dyDescent="0.3">
      <c r="AV715" s="96"/>
    </row>
    <row r="716" spans="48:48" x14ac:dyDescent="0.3">
      <c r="AV716" s="96"/>
    </row>
    <row r="717" spans="48:48" x14ac:dyDescent="0.3">
      <c r="AV717" s="96"/>
    </row>
    <row r="718" spans="48:48" x14ac:dyDescent="0.3">
      <c r="AV718" s="96"/>
    </row>
    <row r="719" spans="48:48" x14ac:dyDescent="0.3">
      <c r="AV719" s="96"/>
    </row>
    <row r="720" spans="48:48" x14ac:dyDescent="0.3">
      <c r="AV720" s="96"/>
    </row>
    <row r="721" spans="48:48" x14ac:dyDescent="0.3">
      <c r="AV721" s="96"/>
    </row>
    <row r="722" spans="48:48" x14ac:dyDescent="0.3">
      <c r="AV722" s="96"/>
    </row>
    <row r="723" spans="48:48" x14ac:dyDescent="0.3">
      <c r="AV723" s="96"/>
    </row>
    <row r="724" spans="48:48" x14ac:dyDescent="0.3">
      <c r="AV724" s="96"/>
    </row>
    <row r="725" spans="48:48" x14ac:dyDescent="0.3">
      <c r="AV725" s="96"/>
    </row>
    <row r="726" spans="48:48" x14ac:dyDescent="0.3">
      <c r="AV726" s="96"/>
    </row>
    <row r="727" spans="48:48" x14ac:dyDescent="0.3">
      <c r="AV727" s="96"/>
    </row>
    <row r="728" spans="48:48" x14ac:dyDescent="0.3">
      <c r="AV728" s="96"/>
    </row>
    <row r="729" spans="48:48" x14ac:dyDescent="0.3">
      <c r="AV729" s="96"/>
    </row>
    <row r="730" spans="48:48" x14ac:dyDescent="0.3">
      <c r="AV730" s="96"/>
    </row>
    <row r="731" spans="48:48" x14ac:dyDescent="0.3">
      <c r="AV731" s="96"/>
    </row>
    <row r="732" spans="48:48" x14ac:dyDescent="0.3">
      <c r="AV732" s="96"/>
    </row>
    <row r="733" spans="48:48" x14ac:dyDescent="0.3">
      <c r="AV733" s="96"/>
    </row>
    <row r="734" spans="48:48" x14ac:dyDescent="0.3">
      <c r="AV734" s="96"/>
    </row>
    <row r="735" spans="48:48" x14ac:dyDescent="0.3">
      <c r="AV735" s="96"/>
    </row>
    <row r="736" spans="48:48" x14ac:dyDescent="0.3">
      <c r="AV736" s="96"/>
    </row>
    <row r="737" spans="48:48" x14ac:dyDescent="0.3">
      <c r="AV737" s="96"/>
    </row>
    <row r="738" spans="48:48" x14ac:dyDescent="0.3">
      <c r="AV738" s="96"/>
    </row>
    <row r="739" spans="48:48" x14ac:dyDescent="0.3">
      <c r="AV739" s="96"/>
    </row>
    <row r="740" spans="48:48" x14ac:dyDescent="0.3">
      <c r="AV740" s="96"/>
    </row>
    <row r="741" spans="48:48" x14ac:dyDescent="0.3">
      <c r="AV741" s="96"/>
    </row>
    <row r="742" spans="48:48" x14ac:dyDescent="0.3">
      <c r="AV742" s="96"/>
    </row>
    <row r="743" spans="48:48" x14ac:dyDescent="0.3">
      <c r="AV743" s="96"/>
    </row>
    <row r="744" spans="48:48" x14ac:dyDescent="0.3">
      <c r="AV744" s="96"/>
    </row>
    <row r="745" spans="48:48" x14ac:dyDescent="0.3">
      <c r="AV745" s="96"/>
    </row>
    <row r="746" spans="48:48" x14ac:dyDescent="0.3">
      <c r="AV746" s="96"/>
    </row>
    <row r="747" spans="48:48" x14ac:dyDescent="0.3">
      <c r="AV747" s="96"/>
    </row>
    <row r="748" spans="48:48" x14ac:dyDescent="0.3">
      <c r="AV748" s="96"/>
    </row>
    <row r="749" spans="48:48" x14ac:dyDescent="0.3">
      <c r="AV749" s="96"/>
    </row>
    <row r="750" spans="48:48" x14ac:dyDescent="0.3">
      <c r="AV750" s="96"/>
    </row>
    <row r="751" spans="48:48" x14ac:dyDescent="0.3">
      <c r="AV751" s="96"/>
    </row>
    <row r="752" spans="48:48" x14ac:dyDescent="0.3">
      <c r="AV752" s="96"/>
    </row>
    <row r="753" spans="48:48" x14ac:dyDescent="0.3">
      <c r="AV753" s="96"/>
    </row>
    <row r="754" spans="48:48" x14ac:dyDescent="0.3">
      <c r="AV754" s="96"/>
    </row>
    <row r="755" spans="48:48" x14ac:dyDescent="0.3">
      <c r="AV755" s="96"/>
    </row>
    <row r="756" spans="48:48" x14ac:dyDescent="0.3">
      <c r="AV756" s="96"/>
    </row>
    <row r="757" spans="48:48" x14ac:dyDescent="0.3">
      <c r="AV757" s="96"/>
    </row>
    <row r="758" spans="48:48" x14ac:dyDescent="0.3">
      <c r="AV758" s="96"/>
    </row>
    <row r="759" spans="48:48" x14ac:dyDescent="0.3">
      <c r="AV759" s="96"/>
    </row>
    <row r="760" spans="48:48" x14ac:dyDescent="0.3">
      <c r="AV760" s="96"/>
    </row>
    <row r="761" spans="48:48" x14ac:dyDescent="0.3">
      <c r="AV761" s="96"/>
    </row>
    <row r="762" spans="48:48" x14ac:dyDescent="0.3">
      <c r="AV762" s="96"/>
    </row>
    <row r="763" spans="48:48" x14ac:dyDescent="0.3">
      <c r="AV763" s="96"/>
    </row>
    <row r="764" spans="48:48" x14ac:dyDescent="0.3">
      <c r="AV764" s="96"/>
    </row>
    <row r="765" spans="48:48" x14ac:dyDescent="0.3">
      <c r="AV765" s="96"/>
    </row>
    <row r="766" spans="48:48" x14ac:dyDescent="0.3">
      <c r="AV766" s="96"/>
    </row>
    <row r="767" spans="48:48" x14ac:dyDescent="0.3">
      <c r="AV767" s="96"/>
    </row>
    <row r="768" spans="48:48" x14ac:dyDescent="0.3">
      <c r="AV768" s="96"/>
    </row>
    <row r="769" spans="48:48" x14ac:dyDescent="0.3">
      <c r="AV769" s="96"/>
    </row>
    <row r="770" spans="48:48" x14ac:dyDescent="0.3">
      <c r="AV770" s="96"/>
    </row>
    <row r="771" spans="48:48" x14ac:dyDescent="0.3">
      <c r="AV771" s="96"/>
    </row>
    <row r="772" spans="48:48" x14ac:dyDescent="0.3">
      <c r="AV772" s="96"/>
    </row>
    <row r="773" spans="48:48" x14ac:dyDescent="0.3">
      <c r="AV773" s="96"/>
    </row>
    <row r="774" spans="48:48" x14ac:dyDescent="0.3">
      <c r="AV774" s="96"/>
    </row>
    <row r="775" spans="48:48" x14ac:dyDescent="0.3">
      <c r="AV775" s="96"/>
    </row>
    <row r="776" spans="48:48" x14ac:dyDescent="0.3">
      <c r="AV776" s="96"/>
    </row>
    <row r="777" spans="48:48" x14ac:dyDescent="0.3">
      <c r="AV777" s="96"/>
    </row>
    <row r="778" spans="48:48" x14ac:dyDescent="0.3">
      <c r="AV778" s="96"/>
    </row>
    <row r="779" spans="48:48" x14ac:dyDescent="0.3">
      <c r="AV779" s="9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227D-6A68-48D8-B35E-316B003EDA70}">
  <dimension ref="B2:T14"/>
  <sheetViews>
    <sheetView topLeftCell="H1" workbookViewId="0">
      <selection activeCell="Q4" sqref="Q4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5.21875" customWidth="1"/>
    <col min="8" max="8" width="17.77734375" customWidth="1"/>
    <col min="9" max="9" width="14.6640625" customWidth="1"/>
    <col min="10" max="10" width="11" customWidth="1"/>
    <col min="11" max="11" width="11.6640625" customWidth="1"/>
    <col min="16" max="16" width="32.44140625" bestFit="1" customWidth="1"/>
    <col min="17" max="17" width="23.5546875" bestFit="1" customWidth="1"/>
    <col min="18" max="18" width="21" bestFit="1" customWidth="1"/>
    <col min="19" max="19" width="22.6640625" bestFit="1" customWidth="1"/>
    <col min="20" max="20" width="28.33203125" bestFit="1" customWidth="1"/>
  </cols>
  <sheetData>
    <row r="2" spans="2:20" x14ac:dyDescent="0.3">
      <c r="B2" s="91" t="s">
        <v>138</v>
      </c>
      <c r="C2" s="91" t="s">
        <v>123</v>
      </c>
      <c r="D2" s="91" t="s">
        <v>124</v>
      </c>
      <c r="E2" s="92" t="s">
        <v>283</v>
      </c>
      <c r="F2" s="92" t="s">
        <v>186</v>
      </c>
      <c r="G2" s="91" t="s">
        <v>284</v>
      </c>
      <c r="H2" s="91" t="s">
        <v>204</v>
      </c>
      <c r="I2" s="91" t="s">
        <v>205</v>
      </c>
      <c r="J2" s="91" t="s">
        <v>285</v>
      </c>
    </row>
    <row r="3" spans="2:20" x14ac:dyDescent="0.3">
      <c r="B3" t="s">
        <v>271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94"/>
      <c r="K3" s="33"/>
      <c r="P3" s="16" t="s">
        <v>134</v>
      </c>
      <c r="Q3" t="s">
        <v>319</v>
      </c>
    </row>
    <row r="4" spans="2:20" x14ac:dyDescent="0.3">
      <c r="B4" t="s">
        <v>272</v>
      </c>
      <c r="C4" s="25">
        <f>D3+1</f>
        <v>44083</v>
      </c>
      <c r="D4" s="25">
        <f>D3+14</f>
        <v>44096</v>
      </c>
      <c r="E4" s="33">
        <v>0</v>
      </c>
      <c r="F4" s="94">
        <v>0</v>
      </c>
      <c r="G4" s="94">
        <v>0</v>
      </c>
      <c r="H4" s="94">
        <v>0</v>
      </c>
      <c r="I4" s="94">
        <f>F4-J4</f>
        <v>0</v>
      </c>
      <c r="J4" s="94">
        <v>0</v>
      </c>
      <c r="K4" s="33"/>
      <c r="P4" s="16" t="s">
        <v>9</v>
      </c>
      <c r="Q4" t="s">
        <v>64</v>
      </c>
    </row>
    <row r="5" spans="2:20" x14ac:dyDescent="0.3">
      <c r="B5" t="s">
        <v>279</v>
      </c>
      <c r="C5" s="25">
        <f t="shared" ref="C5:C8" si="0">D4+1</f>
        <v>44097</v>
      </c>
      <c r="D5" s="25">
        <f t="shared" ref="D5:D8" si="1">D4+14</f>
        <v>44110</v>
      </c>
      <c r="E5" s="33">
        <f>100%-GETPIVOTDATA("Epic Remaining Estimate",$P$7)/GETPIVOTDATA("Epic Total Estimate",$P$7)</f>
        <v>0.625</v>
      </c>
      <c r="F5" s="94" t="e">
        <f>GETPIVOTDATA("Epic Total Estimate", $P$7, "Type", "Epic")</f>
        <v>#REF!</v>
      </c>
      <c r="G5" s="94" t="e">
        <f>GETPIVOTDATA("Stories Estimate", $P$7, "Type", "Epic")</f>
        <v>#REF!</v>
      </c>
      <c r="H5" s="94" t="e">
        <f>GETPIVOTDATA("Epic Decomposed", $P$7, "Type", "Epic")</f>
        <v>#REF!</v>
      </c>
      <c r="I5" s="94" t="e">
        <f>F5-J5</f>
        <v>#REF!</v>
      </c>
      <c r="J5" s="94" t="e">
        <f>GETPIVOTDATA("Epic Remaining Estimate", $P$7, "Type", "Epic")</f>
        <v>#REF!</v>
      </c>
      <c r="K5" s="33"/>
      <c r="P5" s="16" t="s">
        <v>245</v>
      </c>
      <c r="Q5" t="s">
        <v>217</v>
      </c>
    </row>
    <row r="6" spans="2:20" x14ac:dyDescent="0.3">
      <c r="B6" t="s">
        <v>280</v>
      </c>
      <c r="C6" s="25">
        <f t="shared" si="0"/>
        <v>44111</v>
      </c>
      <c r="D6" s="25">
        <f t="shared" si="1"/>
        <v>44124</v>
      </c>
      <c r="E6" s="33"/>
      <c r="F6" s="94"/>
      <c r="G6" s="94"/>
      <c r="H6" s="94"/>
      <c r="I6" s="94"/>
      <c r="J6" s="94"/>
      <c r="K6" s="33"/>
    </row>
    <row r="7" spans="2:20" x14ac:dyDescent="0.3">
      <c r="B7" t="s">
        <v>281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94"/>
      <c r="K7" s="33"/>
      <c r="P7" s="16" t="s">
        <v>139</v>
      </c>
      <c r="Q7" t="s">
        <v>111</v>
      </c>
      <c r="R7" t="s">
        <v>251</v>
      </c>
      <c r="S7" t="s">
        <v>252</v>
      </c>
      <c r="T7" t="s">
        <v>110</v>
      </c>
    </row>
    <row r="8" spans="2:20" x14ac:dyDescent="0.3">
      <c r="B8" t="s">
        <v>282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94"/>
      <c r="K8" s="33"/>
      <c r="P8" s="17" t="s">
        <v>261</v>
      </c>
      <c r="Q8" s="20">
        <v>800</v>
      </c>
      <c r="R8" s="20"/>
      <c r="S8" s="20"/>
      <c r="T8" s="20">
        <v>300</v>
      </c>
    </row>
    <row r="9" spans="2:20" x14ac:dyDescent="0.3">
      <c r="P9" s="93" t="s">
        <v>183</v>
      </c>
      <c r="Q9" s="20">
        <v>800</v>
      </c>
      <c r="R9" s="20"/>
      <c r="S9" s="20"/>
      <c r="T9" s="20">
        <v>300</v>
      </c>
    </row>
    <row r="10" spans="2:20" x14ac:dyDescent="0.3">
      <c r="P10" s="17" t="s">
        <v>183</v>
      </c>
      <c r="Q10" s="20"/>
      <c r="R10" s="20"/>
      <c r="S10" s="20"/>
      <c r="T10" s="20"/>
    </row>
    <row r="11" spans="2:20" x14ac:dyDescent="0.3">
      <c r="P11" s="93" t="s">
        <v>183</v>
      </c>
      <c r="Q11" s="20"/>
      <c r="R11" s="20"/>
      <c r="S11" s="20"/>
      <c r="T11" s="20"/>
    </row>
    <row r="12" spans="2:20" x14ac:dyDescent="0.3">
      <c r="P12" s="17" t="s">
        <v>303</v>
      </c>
      <c r="Q12" s="20"/>
      <c r="R12" s="20"/>
      <c r="S12" s="20"/>
      <c r="T12" s="20"/>
    </row>
    <row r="13" spans="2:20" x14ac:dyDescent="0.3">
      <c r="P13" s="93" t="s">
        <v>183</v>
      </c>
      <c r="Q13" s="20"/>
      <c r="R13" s="20"/>
      <c r="S13" s="20"/>
      <c r="T13" s="20"/>
    </row>
    <row r="14" spans="2:20" x14ac:dyDescent="0.3">
      <c r="P14" s="17" t="s">
        <v>50</v>
      </c>
      <c r="Q14" s="20">
        <v>800</v>
      </c>
      <c r="R14" s="20"/>
      <c r="S14" s="20"/>
      <c r="T14" s="20">
        <v>300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847E-F455-4246-9B7C-B6952F3B27DB}">
  <dimension ref="B2:R15"/>
  <sheetViews>
    <sheetView tabSelected="1" topLeftCell="F1" workbookViewId="0">
      <selection activeCell="R15" sqref="R15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7.77734375" customWidth="1"/>
    <col min="8" max="8" width="14.6640625" customWidth="1"/>
    <col min="9" max="9" width="11" customWidth="1"/>
    <col min="10" max="10" width="11.6640625" customWidth="1"/>
    <col min="15" max="15" width="25.44140625" bestFit="1" customWidth="1"/>
    <col min="16" max="16" width="17.77734375" bestFit="1" customWidth="1"/>
    <col min="17" max="17" width="26.33203125" bestFit="1" customWidth="1"/>
    <col min="18" max="18" width="24.109375" bestFit="1" customWidth="1"/>
    <col min="19" max="19" width="28.33203125" bestFit="1" customWidth="1"/>
  </cols>
  <sheetData>
    <row r="2" spans="2:18" x14ac:dyDescent="0.3">
      <c r="B2" s="91" t="s">
        <v>138</v>
      </c>
      <c r="C2" s="91" t="s">
        <v>123</v>
      </c>
      <c r="D2" s="91" t="s">
        <v>124</v>
      </c>
      <c r="E2" s="92" t="s">
        <v>283</v>
      </c>
      <c r="F2" s="92" t="s">
        <v>186</v>
      </c>
      <c r="G2" s="91" t="s">
        <v>300</v>
      </c>
      <c r="H2" s="91" t="s">
        <v>205</v>
      </c>
      <c r="I2" s="91" t="s">
        <v>285</v>
      </c>
    </row>
    <row r="3" spans="2:18" x14ac:dyDescent="0.3">
      <c r="B3" t="s">
        <v>271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33"/>
      <c r="O3" s="16" t="s">
        <v>134</v>
      </c>
      <c r="P3" t="s">
        <v>319</v>
      </c>
    </row>
    <row r="4" spans="2:18" x14ac:dyDescent="0.3">
      <c r="B4" t="s">
        <v>272</v>
      </c>
      <c r="C4" s="25">
        <f>D3+1</f>
        <v>44083</v>
      </c>
      <c r="D4" s="25">
        <f>D3+14</f>
        <v>44096</v>
      </c>
      <c r="E4" s="33"/>
      <c r="F4" s="94"/>
      <c r="G4" s="94"/>
      <c r="H4" s="94"/>
      <c r="I4" s="94"/>
      <c r="J4" s="33"/>
      <c r="O4" s="16" t="s">
        <v>9</v>
      </c>
      <c r="P4" t="s">
        <v>64</v>
      </c>
    </row>
    <row r="5" spans="2:18" x14ac:dyDescent="0.3">
      <c r="B5" t="s">
        <v>279</v>
      </c>
      <c r="C5" s="25">
        <f t="shared" ref="C5:C8" si="0">D4+1</f>
        <v>44097</v>
      </c>
      <c r="D5" s="25">
        <f t="shared" ref="D5:D8" si="1">D4+14</f>
        <v>44110</v>
      </c>
      <c r="E5" s="33">
        <v>0</v>
      </c>
      <c r="F5" s="94">
        <v>0</v>
      </c>
      <c r="G5" s="94">
        <v>0</v>
      </c>
      <c r="H5" s="94">
        <f>F5-I5</f>
        <v>0</v>
      </c>
      <c r="I5" s="94">
        <v>0</v>
      </c>
      <c r="J5" s="33"/>
      <c r="O5" s="16" t="s">
        <v>245</v>
      </c>
      <c r="P5" t="s">
        <v>217</v>
      </c>
    </row>
    <row r="6" spans="2:18" x14ac:dyDescent="0.3">
      <c r="B6" t="s">
        <v>280</v>
      </c>
      <c r="C6" s="25">
        <f t="shared" si="0"/>
        <v>44111</v>
      </c>
      <c r="D6" s="25">
        <f t="shared" si="1"/>
        <v>44124</v>
      </c>
      <c r="E6" s="33">
        <f>IFERROR(100%-GETPIVOTDATA("Story Remaining SP",O7)/GETPIVOTDATA("Story Points",O7), 100%)</f>
        <v>1</v>
      </c>
      <c r="F6" s="94">
        <f>GETPIVOTDATA("Story Points", O7)</f>
        <v>520</v>
      </c>
      <c r="G6" s="94">
        <f>GETPIVOTDATA("Story Decomposed SP", O7)</f>
        <v>0</v>
      </c>
      <c r="H6" s="94">
        <f>F6-I6</f>
        <v>520</v>
      </c>
      <c r="I6" s="94">
        <f>GETPIVOTDATA("Story Remaining SP", O7)</f>
        <v>0</v>
      </c>
      <c r="J6" s="33"/>
    </row>
    <row r="7" spans="2:18" x14ac:dyDescent="0.3">
      <c r="B7" t="s">
        <v>281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33"/>
      <c r="O7" s="16" t="s">
        <v>139</v>
      </c>
      <c r="P7" t="s">
        <v>143</v>
      </c>
      <c r="Q7" t="s">
        <v>301</v>
      </c>
      <c r="R7" t="s">
        <v>302</v>
      </c>
    </row>
    <row r="8" spans="2:18" x14ac:dyDescent="0.3">
      <c r="B8" t="s">
        <v>282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33"/>
      <c r="O8" s="17" t="s">
        <v>183</v>
      </c>
      <c r="P8" s="20">
        <v>520</v>
      </c>
      <c r="Q8" s="20">
        <v>0</v>
      </c>
      <c r="R8" s="20">
        <v>0</v>
      </c>
    </row>
    <row r="9" spans="2:18" x14ac:dyDescent="0.3">
      <c r="O9" s="93" t="s">
        <v>183</v>
      </c>
      <c r="P9" s="20">
        <v>520</v>
      </c>
      <c r="Q9" s="20">
        <v>0</v>
      </c>
      <c r="R9" s="20">
        <v>0</v>
      </c>
    </row>
    <row r="10" spans="2:18" x14ac:dyDescent="0.3">
      <c r="O10" s="97" t="s">
        <v>99</v>
      </c>
      <c r="P10" s="20">
        <v>130</v>
      </c>
      <c r="Q10" s="20">
        <v>0</v>
      </c>
      <c r="R10" s="20">
        <v>0</v>
      </c>
    </row>
    <row r="11" spans="2:18" x14ac:dyDescent="0.3">
      <c r="O11" s="97" t="s">
        <v>96</v>
      </c>
      <c r="P11" s="20">
        <v>100</v>
      </c>
      <c r="Q11" s="20">
        <v>0</v>
      </c>
      <c r="R11" s="20">
        <v>0</v>
      </c>
    </row>
    <row r="12" spans="2:18" x14ac:dyDescent="0.3">
      <c r="O12" s="97" t="s">
        <v>93</v>
      </c>
      <c r="P12" s="20">
        <v>90</v>
      </c>
      <c r="Q12" s="20">
        <v>0</v>
      </c>
      <c r="R12" s="20">
        <v>0</v>
      </c>
    </row>
    <row r="13" spans="2:18" x14ac:dyDescent="0.3">
      <c r="O13" s="97" t="s">
        <v>95</v>
      </c>
      <c r="P13" s="20">
        <v>100</v>
      </c>
      <c r="Q13" s="20">
        <v>0</v>
      </c>
      <c r="R13" s="20">
        <v>0</v>
      </c>
    </row>
    <row r="14" spans="2:18" x14ac:dyDescent="0.3">
      <c r="O14" s="97" t="s">
        <v>97</v>
      </c>
      <c r="P14" s="20">
        <v>100</v>
      </c>
      <c r="Q14" s="20">
        <v>0</v>
      </c>
      <c r="R14" s="20">
        <v>0</v>
      </c>
    </row>
    <row r="15" spans="2:18" x14ac:dyDescent="0.3">
      <c r="O15" s="17" t="s">
        <v>50</v>
      </c>
      <c r="P15" s="20">
        <v>520</v>
      </c>
      <c r="Q15" s="20">
        <v>0</v>
      </c>
      <c r="R15" s="20">
        <v>0</v>
      </c>
    </row>
  </sheetData>
  <conditionalFormatting pivot="1" sqref="P9">
    <cfRule type="cellIs" dxfId="0" priority="1" operator="equal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268</v>
      </c>
    </row>
    <row r="13" spans="1:2" x14ac:dyDescent="0.3">
      <c r="B13" t="s">
        <v>199</v>
      </c>
    </row>
    <row r="14" spans="1:2" x14ac:dyDescent="0.3">
      <c r="B14" t="s">
        <v>200</v>
      </c>
    </row>
    <row r="15" spans="1:2" x14ac:dyDescent="0.3">
      <c r="A15" t="s">
        <v>214</v>
      </c>
    </row>
    <row r="16" spans="1:2" x14ac:dyDescent="0.3">
      <c r="B16" t="s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24.44140625" bestFit="1" customWidth="1"/>
    <col min="2" max="2" width="13.88671875" bestFit="1" customWidth="1"/>
    <col min="3" max="3" width="10.21875" bestFit="1" customWidth="1"/>
    <col min="4" max="4" width="16" bestFit="1" customWidth="1"/>
    <col min="5" max="5" width="13.88671875" bestFit="1" customWidth="1"/>
    <col min="6" max="6" width="18.21875" bestFit="1" customWidth="1"/>
    <col min="7" max="7" width="24.44140625" bestFit="1" customWidth="1"/>
    <col min="8" max="8" width="22.44140625" bestFit="1" customWidth="1"/>
    <col min="9" max="9" width="12" customWidth="1"/>
    <col min="10" max="10" width="24.44140625" bestFit="1" customWidth="1"/>
    <col min="11" max="11" width="33.5546875" bestFit="1" customWidth="1"/>
    <col min="12" max="12" width="14.5546875" customWidth="1"/>
    <col min="13" max="13" width="16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3.4414062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263</v>
      </c>
      <c r="L1" t="s">
        <v>261</v>
      </c>
      <c r="M1" t="s">
        <v>134</v>
      </c>
      <c r="N1" t="s">
        <v>253</v>
      </c>
      <c r="O1" t="s">
        <v>260</v>
      </c>
      <c r="P1" t="s">
        <v>261</v>
      </c>
      <c r="Q1" s="98" t="s">
        <v>134</v>
      </c>
      <c r="R1" s="98"/>
      <c r="S1" s="98" t="s">
        <v>253</v>
      </c>
      <c r="T1" s="98"/>
      <c r="U1" s="98" t="s">
        <v>260</v>
      </c>
      <c r="V1" s="98"/>
      <c r="W1" s="98" t="s">
        <v>261</v>
      </c>
      <c r="X1" s="98"/>
      <c r="AB1" s="16" t="s">
        <v>134</v>
      </c>
      <c r="AC1" t="s">
        <v>152</v>
      </c>
      <c r="AF1" s="98" t="s">
        <v>262</v>
      </c>
      <c r="AG1" s="98"/>
      <c r="AH1" s="98"/>
      <c r="AI1" s="98"/>
    </row>
    <row r="2" spans="1:35" x14ac:dyDescent="0.3">
      <c r="A2" t="s">
        <v>136</v>
      </c>
      <c r="B2" s="44">
        <f ca="1">MAX(NETWORKDAYS($D$3,$E$6,$Z$3:$Z$9)/NETWORKDAYS($D$3,$E$3,$Z$3:$Z$9),0%)</f>
        <v>6.2241379310344831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245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255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256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 t="e">
        <f>100%-GETPIVOTDATA("Epic Remaining Estimate",$AB$4)/GETPIVOTDATA("Epic Total Estimate",$AB$4)</f>
        <v>#DIV/0!</v>
      </c>
      <c r="C6" s="21"/>
      <c r="D6" s="21" t="s">
        <v>181</v>
      </c>
      <c r="E6" s="25">
        <f ca="1">TODAY()</f>
        <v>44495</v>
      </c>
      <c r="G6" s="23" t="s">
        <v>257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v>0.63</v>
      </c>
      <c r="N6" s="76">
        <v>0.87</v>
      </c>
      <c r="O6" s="76">
        <v>1</v>
      </c>
      <c r="P6" s="76">
        <v>0.79</v>
      </c>
      <c r="Q6" s="40">
        <f t="shared" ref="Q6" si="6">$Q$25*(100%-K6)</f>
        <v>210</v>
      </c>
      <c r="R6" s="42">
        <v>173.3</v>
      </c>
      <c r="S6" s="42">
        <f t="shared" ref="S6" si="7">$Q$26*(100%-K6)</f>
        <v>25</v>
      </c>
      <c r="T6" s="42">
        <v>14</v>
      </c>
      <c r="U6" s="40">
        <f t="shared" ref="U6" si="8">$Q$27*(100%-L6)</f>
        <v>25</v>
      </c>
      <c r="V6" s="42">
        <v>0</v>
      </c>
      <c r="W6" s="40">
        <f t="shared" ref="W6" si="9">$Q$28*(100%-K6)</f>
        <v>40</v>
      </c>
      <c r="X6" s="42">
        <v>22</v>
      </c>
      <c r="Z6" s="32">
        <v>44116</v>
      </c>
      <c r="AB6" s="17" t="s">
        <v>50</v>
      </c>
      <c r="AC6" s="20"/>
      <c r="AD6" s="20"/>
      <c r="AF6" s="36">
        <f>SUM($J$4:J6)/SUM($J$4:$J$9)</f>
        <v>0.5</v>
      </c>
      <c r="AG6" s="76">
        <v>0.88</v>
      </c>
      <c r="AH6" s="40">
        <f t="shared" si="0"/>
        <v>50</v>
      </c>
      <c r="AI6" s="42">
        <v>5</v>
      </c>
    </row>
    <row r="7" spans="1:35" x14ac:dyDescent="0.3">
      <c r="A7" t="s">
        <v>137</v>
      </c>
      <c r="B7" s="30" t="e">
        <f>MAX(100%,B6)-B6</f>
        <v>#DIV/0!</v>
      </c>
      <c r="D7" s="21"/>
      <c r="E7" s="20"/>
      <c r="G7" s="23" t="s">
        <v>258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0.75</v>
      </c>
      <c r="N7" s="76">
        <v>0.97</v>
      </c>
      <c r="O7" s="76">
        <v>0.79</v>
      </c>
      <c r="P7" s="76">
        <v>1</v>
      </c>
      <c r="Q7" s="40">
        <f t="shared" si="2"/>
        <v>137.58620689655172</v>
      </c>
      <c r="R7" s="42">
        <v>124</v>
      </c>
      <c r="S7" s="42">
        <f t="shared" si="3"/>
        <v>16.379310344827587</v>
      </c>
      <c r="T7" s="42">
        <v>3.5</v>
      </c>
      <c r="U7" s="40">
        <f t="shared" si="4"/>
        <v>16.379310344827587</v>
      </c>
      <c r="V7" s="42">
        <v>10</v>
      </c>
      <c r="W7" s="40">
        <f t="shared" si="5"/>
        <v>26.206896551724135</v>
      </c>
      <c r="X7" s="42">
        <v>0</v>
      </c>
      <c r="Z7" s="32"/>
      <c r="AF7" s="36">
        <f>SUM($J$4:J7)/SUM($J$4:$J$9)</f>
        <v>0.67241379310344829</v>
      </c>
      <c r="AG7" s="76">
        <v>1</v>
      </c>
      <c r="AH7" s="40">
        <f t="shared" si="0"/>
        <v>32.758620689655174</v>
      </c>
      <c r="AI7" s="42">
        <v>0</v>
      </c>
    </row>
    <row r="8" spans="1:35" x14ac:dyDescent="0.3">
      <c r="B8" s="21"/>
      <c r="C8" s="21"/>
      <c r="G8" s="23" t="s">
        <v>259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>
        <v>0.89</v>
      </c>
      <c r="N8" s="76">
        <v>0.98</v>
      </c>
      <c r="O8" s="76">
        <v>1</v>
      </c>
      <c r="P8" s="76">
        <v>1</v>
      </c>
      <c r="Q8" s="40">
        <f t="shared" si="2"/>
        <v>72.413793103448285</v>
      </c>
      <c r="R8" s="42">
        <v>51.5</v>
      </c>
      <c r="S8" s="42">
        <f t="shared" si="3"/>
        <v>8.6206896551724146</v>
      </c>
      <c r="T8" s="42">
        <v>2</v>
      </c>
      <c r="U8" s="40">
        <f t="shared" si="4"/>
        <v>8.6206896551724146</v>
      </c>
      <c r="V8" s="42">
        <v>0</v>
      </c>
      <c r="W8" s="40">
        <f t="shared" si="5"/>
        <v>13.793103448275863</v>
      </c>
      <c r="X8" s="42">
        <v>0</v>
      </c>
      <c r="Z8" s="32"/>
      <c r="AF8" s="36">
        <f>SUM($J$4:J8)/SUM($J$4:$J$9)</f>
        <v>0.82758620689655171</v>
      </c>
      <c r="AG8" s="76">
        <v>1</v>
      </c>
      <c r="AH8" s="40">
        <f t="shared" ref="AH8:AH9" si="12">$Q$29*(100%-AF8)</f>
        <v>17.241379310344829</v>
      </c>
      <c r="AI8" s="42">
        <v>0</v>
      </c>
    </row>
    <row r="9" spans="1:35" x14ac:dyDescent="0.3">
      <c r="A9" s="39" t="s">
        <v>253</v>
      </c>
      <c r="B9" s="21"/>
      <c r="C9" s="21"/>
      <c r="D9" s="21"/>
      <c r="G9" s="67" t="s">
        <v>267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 t="e">
        <f>100%-GETPIVOTDATA("Epic Remaining Estimate",$AB$4)/GETPIVOTDATA("Epic Total Estimate",$AB$4)</f>
        <v>#DIV/0!</v>
      </c>
      <c r="N9" s="76" t="e">
        <f>100%-GETPIVOTDATA("Epic Remaining Estimate",$AB$4,"ST:Components","Admin")/GETPIVOTDATA("Epic Total Estimate",$AB$4,"ST:Components","Admin")</f>
        <v>#REF!</v>
      </c>
      <c r="O9" s="76" t="e">
        <f>100%-GETPIVOTDATA("Epic Remaining Estimate",$AB$4,"ST:Components","BluePrism Integration")/GETPIVOTDATA("Epic Total Estimate",$AB$4,"ST:Components","BluePrism Integration")</f>
        <v>#REF!</v>
      </c>
      <c r="P9" s="76" t="e">
        <f>100%-GETPIVOTDATA("Epic Remaining Estimate",$AB$4,"ST:Components","Automation Anywhere Integration")/GETPIVOTDATA("Epic Total Estimate",$AB$4,"ST:Components","Automation Anywhere Integration")</f>
        <v>#REF!</v>
      </c>
      <c r="Q9" s="40">
        <f t="shared" si="2"/>
        <v>0</v>
      </c>
      <c r="R9" s="42">
        <f>GETPIVOTDATA("Epic Remaining Estimate",$AB$4)</f>
        <v>0</v>
      </c>
      <c r="S9" s="42">
        <f t="shared" si="3"/>
        <v>0</v>
      </c>
      <c r="T9" s="42" t="e">
        <f>GETPIVOTDATA("Epic Remaining Estimate",$AB$4,"ST:Components","Admin")</f>
        <v>#REF!</v>
      </c>
      <c r="U9" s="40">
        <f t="shared" si="4"/>
        <v>0</v>
      </c>
      <c r="V9" s="42" t="e">
        <f>GETPIVOTDATA("Epic Remaining Estimate",$AB$4,"ST:Components","BluePrism Integration")</f>
        <v>#REF!</v>
      </c>
      <c r="W9" s="40">
        <f t="shared" si="5"/>
        <v>0</v>
      </c>
      <c r="X9" s="42" t="e">
        <f>GETPIVOTDATA("Epic Remaining Estimate",$AB$4,"ST:Components","Automation Anywhere Integration")</f>
        <v>#REF!</v>
      </c>
      <c r="Z9" s="32"/>
      <c r="AF9" s="36">
        <f>SUM($J$4:J9)/SUM($J$4:$J$9)</f>
        <v>1</v>
      </c>
      <c r="AG9" s="76" t="e">
        <f>100%-GETPIVOTDATA("Epic Remaining Estimate",$AB$4,"ST:Components","Microsoft Power Automate Integration")/GETPIVOTDATA("Epic Total Estimate",$AB$4,"ST:Components","Microsoft Power Automate Integration")</f>
        <v>#REF!</v>
      </c>
      <c r="AH9" s="40">
        <f t="shared" si="12"/>
        <v>0</v>
      </c>
      <c r="AI9" s="42" t="e">
        <f>GETPIVOTDATA("Epic Remaining Estimate",$AB$4,"ST:Components","Microsoft Power Automate Integration")</f>
        <v>#REF!</v>
      </c>
    </row>
    <row r="10" spans="1:35" x14ac:dyDescent="0.3">
      <c r="A10" t="s">
        <v>136</v>
      </c>
      <c r="B10" s="44" t="e">
        <f>100%-GETPIVOTDATA("Epic Remaining Estimate",$AB$4,"ST:Components","Admin")/GETPIVOTDATA("Epic Total Estimate",$AB$4,"ST:Components","Admin")</f>
        <v>#REF!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F10" s="75"/>
      <c r="AG10" s="77"/>
      <c r="AH10" s="71"/>
      <c r="AI10" s="71"/>
    </row>
    <row r="11" spans="1:35" x14ac:dyDescent="0.3">
      <c r="A11" t="s">
        <v>137</v>
      </c>
      <c r="B11" s="30" t="e">
        <f>MAX(100%,B10)-B10</f>
        <v>#REF!</v>
      </c>
      <c r="G11" s="81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F11" s="70"/>
      <c r="AG11" s="63"/>
      <c r="AH11" s="42"/>
      <c r="AI11" s="63"/>
    </row>
    <row r="12" spans="1:35" x14ac:dyDescent="0.3">
      <c r="G12" s="81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 t="e">
        <f>100%-GETPIVOTDATA("Epic Remaining Estimate",$AB$4,"ST:Components","BluePrism Integration")/GETPIVOTDATA("Epic Total Estimate",$AB$4,"ST:Components","BluePrism Integration")</f>
        <v>#REF!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 t="e">
        <f>MAX(100%,B14)-B14</f>
        <v>#REF!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6.2241379310344831</v>
      </c>
    </row>
    <row r="18" spans="1:33" x14ac:dyDescent="0.3">
      <c r="A18" t="s">
        <v>136</v>
      </c>
      <c r="B18" s="44" t="e">
        <f>100%-GETPIVOTDATA("Epic Remaining Estimate",$AB$4,"ST:Components","Automation Anywhere Integration")/GETPIVOTDATA("Epic Total Estimate",$AB$4,"ST:Components","Automation Anywhere Integration")</f>
        <v>#REF!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</v>
      </c>
    </row>
    <row r="19" spans="1:33" x14ac:dyDescent="0.3">
      <c r="A19" t="s">
        <v>137</v>
      </c>
      <c r="B19" s="30" t="e">
        <f>MAX(100%,B18)-B18</f>
        <v>#REF!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262</v>
      </c>
      <c r="AG20" s="21"/>
    </row>
    <row r="21" spans="1:33" x14ac:dyDescent="0.3">
      <c r="A21" s="39" t="s">
        <v>266</v>
      </c>
      <c r="B21" s="39"/>
      <c r="AF21" t="s">
        <v>136</v>
      </c>
      <c r="AG21" s="44" t="e">
        <f>100%-GETPIVOTDATA("Epic Remaining Estimate",$AB$4,"ST:Components","Microsoft Power Automate Integration")/GETPIVOTDATA("Epic Total Estimate",$AB$4,"ST:Components","Microsoft Power Automate Integration")</f>
        <v>#REF!</v>
      </c>
    </row>
    <row r="22" spans="1:33" x14ac:dyDescent="0.3">
      <c r="A22" t="s">
        <v>136</v>
      </c>
      <c r="B22" s="44">
        <f ca="1">MAX(NETWORKDAYS($D$3,$E$6,$Z$3:$Z$9)/NETWORKDAYS($D$3,$E$3,$Z$3:$Z$9),0%)</f>
        <v>6.2241379310344831</v>
      </c>
      <c r="AF22" t="s">
        <v>137</v>
      </c>
      <c r="AG22" s="30" t="e">
        <f>MAX(100%,AG21)-AG21</f>
        <v>#REF!</v>
      </c>
    </row>
    <row r="23" spans="1:33" x14ac:dyDescent="0.3">
      <c r="A23" t="s">
        <v>137</v>
      </c>
      <c r="B23" s="30">
        <f ca="1">MAX(100%,B22)-B22</f>
        <v>0</v>
      </c>
    </row>
    <row r="24" spans="1:33" x14ac:dyDescent="0.3">
      <c r="D24" s="16" t="s">
        <v>134</v>
      </c>
      <c r="E24" t="s">
        <v>317</v>
      </c>
      <c r="G24" s="16" t="s">
        <v>134</v>
      </c>
      <c r="H24" t="s">
        <v>317</v>
      </c>
      <c r="J24" s="16" t="s">
        <v>134</v>
      </c>
      <c r="K24" t="s">
        <v>317</v>
      </c>
      <c r="M24" s="16" t="s">
        <v>134</v>
      </c>
      <c r="N24" t="s">
        <v>317</v>
      </c>
      <c r="P24" t="s">
        <v>219</v>
      </c>
      <c r="Q24" t="s">
        <v>220</v>
      </c>
    </row>
    <row r="25" spans="1:33" x14ac:dyDescent="0.3">
      <c r="A25" s="16" t="s">
        <v>134</v>
      </c>
      <c r="B25" t="s">
        <v>317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253</v>
      </c>
      <c r="G26" s="16" t="s">
        <v>20</v>
      </c>
      <c r="H26" t="s">
        <v>264</v>
      </c>
      <c r="J26" s="16" t="s">
        <v>20</v>
      </c>
      <c r="K26" t="s">
        <v>261</v>
      </c>
      <c r="M26" s="16" t="s">
        <v>20</v>
      </c>
      <c r="N26" t="s">
        <v>265</v>
      </c>
      <c r="P26" t="s">
        <v>253</v>
      </c>
      <c r="Q26">
        <v>50</v>
      </c>
    </row>
    <row r="27" spans="1:33" x14ac:dyDescent="0.3">
      <c r="A27" s="16" t="s">
        <v>245</v>
      </c>
      <c r="B27" t="s">
        <v>217</v>
      </c>
      <c r="D27" s="16" t="s">
        <v>245</v>
      </c>
      <c r="E27" t="s">
        <v>217</v>
      </c>
      <c r="G27" s="16" t="s">
        <v>245</v>
      </c>
      <c r="H27" t="s">
        <v>217</v>
      </c>
      <c r="J27" s="16" t="s">
        <v>245</v>
      </c>
      <c r="K27" t="s">
        <v>217</v>
      </c>
      <c r="M27" s="16" t="s">
        <v>245</v>
      </c>
      <c r="N27" t="s">
        <v>217</v>
      </c>
      <c r="P27" t="s">
        <v>260</v>
      </c>
      <c r="Q27">
        <v>50</v>
      </c>
    </row>
    <row r="28" spans="1:33" x14ac:dyDescent="0.3">
      <c r="L28" s="16"/>
      <c r="O28" s="16"/>
      <c r="P28" t="s">
        <v>261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262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0</v>
      </c>
      <c r="D30" s="17" t="s">
        <v>172</v>
      </c>
      <c r="E30" s="20">
        <v>0</v>
      </c>
      <c r="G30" s="17" t="s">
        <v>172</v>
      </c>
      <c r="H30" s="20">
        <v>0</v>
      </c>
      <c r="J30" s="17" t="s">
        <v>172</v>
      </c>
      <c r="K30" s="20">
        <v>0</v>
      </c>
      <c r="M30" s="17" t="s">
        <v>172</v>
      </c>
      <c r="N30" s="20">
        <v>0</v>
      </c>
    </row>
    <row r="31" spans="1:33" x14ac:dyDescent="0.3">
      <c r="A31" s="17" t="s">
        <v>173</v>
      </c>
      <c r="B31" s="20"/>
      <c r="D31" s="17" t="s">
        <v>173</v>
      </c>
      <c r="E31" s="20"/>
      <c r="G31" s="17" t="s">
        <v>173</v>
      </c>
      <c r="H31" s="20"/>
      <c r="J31" s="17" t="s">
        <v>173</v>
      </c>
      <c r="K31" s="20"/>
      <c r="M31" s="17" t="s">
        <v>173</v>
      </c>
      <c r="N31" s="20"/>
    </row>
    <row r="32" spans="1:33" x14ac:dyDescent="0.3">
      <c r="A32" s="17" t="s">
        <v>147</v>
      </c>
      <c r="B32" s="20"/>
      <c r="D32" s="17" t="s">
        <v>147</v>
      </c>
      <c r="E32" s="20"/>
      <c r="G32" s="17" t="s">
        <v>147</v>
      </c>
      <c r="H32" s="20"/>
      <c r="J32" s="17" t="s">
        <v>147</v>
      </c>
      <c r="K32" s="20"/>
      <c r="M32" s="17" t="s">
        <v>147</v>
      </c>
      <c r="N32" s="20"/>
    </row>
    <row r="33" spans="1:14" x14ac:dyDescent="0.3">
      <c r="A33" s="17" t="s">
        <v>174</v>
      </c>
      <c r="B33" s="20"/>
      <c r="D33" s="17" t="s">
        <v>174</v>
      </c>
      <c r="E33" s="20"/>
      <c r="G33" s="17" t="s">
        <v>174</v>
      </c>
      <c r="H33" s="20"/>
      <c r="J33" s="17" t="s">
        <v>174</v>
      </c>
      <c r="K33" s="20"/>
      <c r="M33" s="17" t="s">
        <v>174</v>
      </c>
      <c r="N33" s="20"/>
    </row>
    <row r="34" spans="1:14" x14ac:dyDescent="0.3">
      <c r="A34" s="17" t="s">
        <v>175</v>
      </c>
      <c r="B34" s="20">
        <v>0</v>
      </c>
      <c r="D34" s="17" t="s">
        <v>175</v>
      </c>
      <c r="E34" s="20">
        <v>0</v>
      </c>
      <c r="G34" s="17" t="s">
        <v>175</v>
      </c>
      <c r="H34" s="20">
        <v>0</v>
      </c>
      <c r="J34" s="17" t="s">
        <v>175</v>
      </c>
      <c r="K34" s="20">
        <v>0</v>
      </c>
      <c r="M34" s="17" t="s">
        <v>175</v>
      </c>
      <c r="N34" s="20">
        <v>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317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317</v>
      </c>
      <c r="G37" s="16" t="s">
        <v>134</v>
      </c>
      <c r="H37" t="s">
        <v>317</v>
      </c>
      <c r="J37" s="16" t="s">
        <v>134</v>
      </c>
      <c r="K37" t="s">
        <v>317</v>
      </c>
      <c r="M37" s="16" t="s">
        <v>134</v>
      </c>
      <c r="N37" t="s">
        <v>317</v>
      </c>
    </row>
    <row r="38" spans="1:14" x14ac:dyDescent="0.3">
      <c r="A38" s="16" t="s">
        <v>245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253</v>
      </c>
      <c r="G39" s="16" t="s">
        <v>20</v>
      </c>
      <c r="H39" t="s">
        <v>264</v>
      </c>
      <c r="J39" s="16" t="s">
        <v>20</v>
      </c>
      <c r="K39" t="s">
        <v>261</v>
      </c>
      <c r="M39" s="16" t="s">
        <v>20</v>
      </c>
      <c r="N39" t="s">
        <v>265</v>
      </c>
    </row>
    <row r="40" spans="1:14" x14ac:dyDescent="0.3">
      <c r="A40" t="s">
        <v>111</v>
      </c>
    </row>
    <row r="41" spans="1:14" x14ac:dyDescent="0.3">
      <c r="A41" s="20"/>
      <c r="B41">
        <f>SUM(B30:B34)</f>
        <v>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/>
      <c r="E42">
        <f>SUM(E30:E34)</f>
        <v>0</v>
      </c>
      <c r="G42" s="20"/>
      <c r="H42">
        <f>SUM(H30:H34)</f>
        <v>0</v>
      </c>
      <c r="J42" s="20"/>
      <c r="K42">
        <f>SUM(K30:K34)</f>
        <v>0</v>
      </c>
      <c r="M42" s="20"/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317</v>
      </c>
      <c r="E51" s="16" t="s">
        <v>139</v>
      </c>
      <c r="F51" t="s">
        <v>143</v>
      </c>
    </row>
    <row r="52" spans="1:7" x14ac:dyDescent="0.3">
      <c r="A52" s="16" t="s">
        <v>245</v>
      </c>
      <c r="B52" t="s">
        <v>217</v>
      </c>
      <c r="E52" s="17" t="s">
        <v>238</v>
      </c>
      <c r="F52" s="20">
        <v>10</v>
      </c>
    </row>
    <row r="53" spans="1:7" x14ac:dyDescent="0.3">
      <c r="E53" s="17" t="s">
        <v>240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241</v>
      </c>
      <c r="F54" s="20">
        <v>10</v>
      </c>
    </row>
    <row r="55" spans="1:7" x14ac:dyDescent="0.3">
      <c r="A55" s="17" t="s">
        <v>260</v>
      </c>
      <c r="B55" s="20"/>
      <c r="E55" s="17" t="s">
        <v>242</v>
      </c>
      <c r="F55" s="20">
        <v>10</v>
      </c>
    </row>
    <row r="56" spans="1:7" x14ac:dyDescent="0.3">
      <c r="A56" s="17" t="s">
        <v>50</v>
      </c>
      <c r="B56" s="20"/>
      <c r="E56" s="17" t="s">
        <v>243</v>
      </c>
      <c r="F56" s="20">
        <v>10</v>
      </c>
    </row>
    <row r="57" spans="1:7" x14ac:dyDescent="0.3">
      <c r="E57" s="17" t="s">
        <v>239</v>
      </c>
      <c r="F57" s="20">
        <v>10</v>
      </c>
    </row>
    <row r="58" spans="1:7" x14ac:dyDescent="0.3">
      <c r="E58" s="17" t="s">
        <v>244</v>
      </c>
      <c r="F58" s="20">
        <v>10</v>
      </c>
    </row>
    <row r="59" spans="1:7" x14ac:dyDescent="0.3">
      <c r="E59" s="17" t="s">
        <v>183</v>
      </c>
      <c r="F59" s="20"/>
    </row>
    <row r="60" spans="1:7" x14ac:dyDescent="0.3">
      <c r="E60" s="17" t="s">
        <v>50</v>
      </c>
      <c r="F60" s="20">
        <v>70</v>
      </c>
    </row>
    <row r="66" spans="2:6" x14ac:dyDescent="0.3">
      <c r="B66">
        <f>GETPIVOTDATA("Epic Total Estimate",$A$54)</f>
        <v>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17" priority="6" operator="notEqual">
      <formula>$A$41</formula>
    </cfRule>
  </conditionalFormatting>
  <conditionalFormatting sqref="E42">
    <cfRule type="cellIs" dxfId="16" priority="5" operator="notEqual">
      <formula>$D$42</formula>
    </cfRule>
  </conditionalFormatting>
  <conditionalFormatting sqref="H42">
    <cfRule type="cellIs" dxfId="15" priority="4" operator="notEqual">
      <formula>$G$42</formula>
    </cfRule>
  </conditionalFormatting>
  <conditionalFormatting sqref="K42">
    <cfRule type="cellIs" dxfId="14" priority="3" operator="notEqual">
      <formula>$J$42</formula>
    </cfRule>
  </conditionalFormatting>
  <conditionalFormatting sqref="N42">
    <cfRule type="cellIs" dxfId="13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2.5546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100"/>
      <c r="B1" s="100"/>
      <c r="C1" s="100"/>
      <c r="D1" s="99" t="s">
        <v>134</v>
      </c>
      <c r="E1" s="99"/>
      <c r="F1" s="99"/>
      <c r="G1" s="99"/>
      <c r="H1" s="99"/>
      <c r="I1" s="99"/>
      <c r="J1" s="99"/>
      <c r="K1" s="99"/>
      <c r="L1" s="99" t="s">
        <v>253</v>
      </c>
      <c r="M1" s="99"/>
      <c r="N1" s="99"/>
      <c r="O1" s="99"/>
      <c r="P1" s="99"/>
      <c r="Q1" s="99"/>
      <c r="R1" s="99"/>
      <c r="S1" s="99"/>
      <c r="T1" s="99" t="s">
        <v>260</v>
      </c>
      <c r="U1" s="99"/>
      <c r="V1" s="99"/>
      <c r="W1" s="99"/>
      <c r="X1" s="99"/>
      <c r="Y1" s="99"/>
      <c r="Z1" s="99"/>
      <c r="AA1" s="99"/>
      <c r="AB1" s="99" t="s">
        <v>261</v>
      </c>
      <c r="AC1" s="99"/>
      <c r="AD1" s="99"/>
      <c r="AE1" s="99"/>
      <c r="AF1" s="99"/>
      <c r="AG1" s="99"/>
      <c r="AH1" s="99"/>
      <c r="AI1" s="99"/>
      <c r="AR1" s="99" t="s">
        <v>262</v>
      </c>
      <c r="AS1" s="99"/>
      <c r="AT1" s="99"/>
      <c r="AU1" s="99"/>
      <c r="AV1" s="99"/>
      <c r="AW1" s="99"/>
      <c r="AX1" s="99"/>
      <c r="AY1" s="99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255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256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257</v>
      </c>
      <c r="B6" s="60">
        <v>44013</v>
      </c>
      <c r="C6" s="60">
        <v>44026</v>
      </c>
      <c r="D6" s="57">
        <v>472.9</v>
      </c>
      <c r="E6" s="58">
        <f>_ReleaseData!$Q$25</f>
        <v>420</v>
      </c>
      <c r="F6" s="40">
        <v>472.9</v>
      </c>
      <c r="G6" s="40">
        <v>447.4</v>
      </c>
      <c r="H6" s="40">
        <f t="shared" ref="H6" si="31">D6-I6</f>
        <v>299.59999999999997</v>
      </c>
      <c r="I6" s="40">
        <v>173.3</v>
      </c>
      <c r="J6" s="33">
        <f t="shared" ref="J6" si="32" xml:space="preserve"> G6/D6</f>
        <v>0.94607739479805453</v>
      </c>
      <c r="K6" s="33">
        <f t="shared" ref="K6" si="33" xml:space="preserve"> H6/D6</f>
        <v>0.63353774582364131</v>
      </c>
      <c r="L6" s="59">
        <v>109.5</v>
      </c>
      <c r="M6" s="58">
        <f>_ReleaseData!$Q$26</f>
        <v>50</v>
      </c>
      <c r="N6" s="40">
        <v>109.5</v>
      </c>
      <c r="O6" s="40">
        <v>109</v>
      </c>
      <c r="P6" s="40">
        <f t="shared" ref="P6" si="34">L6-Q6</f>
        <v>95.5</v>
      </c>
      <c r="Q6" s="40">
        <v>14</v>
      </c>
      <c r="R6" s="33">
        <f t="shared" ref="R6" si="35" xml:space="preserve"> O6/L6</f>
        <v>0.99543378995433784</v>
      </c>
      <c r="S6" s="33">
        <f t="shared" ref="S6" si="36" xml:space="preserve"> P6/L6</f>
        <v>0.87214611872146119</v>
      </c>
      <c r="T6" s="57">
        <v>37.6</v>
      </c>
      <c r="U6" s="58">
        <f>_ReleaseData!$Q$27</f>
        <v>50</v>
      </c>
      <c r="V6" s="40">
        <v>37.6</v>
      </c>
      <c r="W6" s="40">
        <v>37.6</v>
      </c>
      <c r="X6" s="40">
        <f t="shared" ref="X6" si="37">T6-Y6</f>
        <v>37.6</v>
      </c>
      <c r="Y6" s="40">
        <v>0</v>
      </c>
      <c r="Z6" s="33">
        <f t="shared" ref="Z6" si="38" xml:space="preserve"> W6/T6</f>
        <v>1</v>
      </c>
      <c r="AA6" s="33">
        <f t="shared" ref="AA6" si="39">X6/T6</f>
        <v>1</v>
      </c>
      <c r="AB6" s="57">
        <v>106.5</v>
      </c>
      <c r="AC6" s="58">
        <f>_ReleaseData!$Q$28</f>
        <v>80</v>
      </c>
      <c r="AD6" s="40">
        <v>106.6</v>
      </c>
      <c r="AE6" s="40">
        <v>106.5</v>
      </c>
      <c r="AF6" s="40">
        <f t="shared" ref="AF6" si="40">AB6-AG6</f>
        <v>84.5</v>
      </c>
      <c r="AG6" s="40">
        <v>22</v>
      </c>
      <c r="AH6" s="33">
        <f t="shared" ref="AH6" si="41" xml:space="preserve"> AE6/AB6</f>
        <v>1</v>
      </c>
      <c r="AI6" s="33">
        <f t="shared" ref="AI6" si="42">AF6/AB6</f>
        <v>0.79342723004694837</v>
      </c>
      <c r="AR6" s="57">
        <v>41</v>
      </c>
      <c r="AS6" s="58">
        <f>_ReleaseData!$Q$29</f>
        <v>100</v>
      </c>
      <c r="AT6" s="40">
        <v>41</v>
      </c>
      <c r="AU6" s="40">
        <v>41</v>
      </c>
      <c r="AV6" s="40">
        <f t="shared" ref="AV6" si="43">AR6-AW6</f>
        <v>36</v>
      </c>
      <c r="AW6" s="40">
        <v>5</v>
      </c>
      <c r="AX6" s="33">
        <f t="shared" ref="AX6" si="44" xml:space="preserve"> AU6/AR6</f>
        <v>1</v>
      </c>
      <c r="AY6" s="33">
        <f t="shared" ref="AY6" si="45">AV6/AR6</f>
        <v>0.87804878048780488</v>
      </c>
    </row>
    <row r="7" spans="1:51" x14ac:dyDescent="0.3">
      <c r="A7" t="s">
        <v>258</v>
      </c>
      <c r="B7" s="60">
        <v>44027</v>
      </c>
      <c r="C7" s="60">
        <v>44040</v>
      </c>
      <c r="D7" s="57">
        <v>500.9</v>
      </c>
      <c r="E7" s="58">
        <f>_ReleaseData!$Q$25</f>
        <v>420</v>
      </c>
      <c r="F7" s="40">
        <v>509</v>
      </c>
      <c r="G7" s="40">
        <v>489.9</v>
      </c>
      <c r="H7" s="40">
        <f t="shared" ref="H7:H8" si="46">D7-I7</f>
        <v>376.9</v>
      </c>
      <c r="I7" s="40">
        <v>124</v>
      </c>
      <c r="J7" s="33">
        <f t="shared" ref="J7:J8" si="47" xml:space="preserve"> G7/D7</f>
        <v>0.97803952884807344</v>
      </c>
      <c r="K7" s="33">
        <f t="shared" ref="K7:K8" si="48" xml:space="preserve"> H7/D7</f>
        <v>0.75244559792373722</v>
      </c>
      <c r="L7" s="59">
        <v>113.5</v>
      </c>
      <c r="M7" s="58">
        <f>_ReleaseData!$Q$26</f>
        <v>50</v>
      </c>
      <c r="N7" s="40">
        <v>113.5</v>
      </c>
      <c r="O7" s="40">
        <v>113.5</v>
      </c>
      <c r="P7" s="40">
        <f t="shared" ref="P7:P8" si="49">L7-Q7</f>
        <v>110</v>
      </c>
      <c r="Q7" s="40">
        <v>3.5</v>
      </c>
      <c r="R7" s="33">
        <f t="shared" ref="R7:R8" si="50" xml:space="preserve"> O7/L7</f>
        <v>1</v>
      </c>
      <c r="S7" s="33">
        <f t="shared" ref="S7:S8" si="51" xml:space="preserve"> P7/L7</f>
        <v>0.96916299559471364</v>
      </c>
      <c r="T7" s="57">
        <v>47.6</v>
      </c>
      <c r="U7" s="58">
        <f>_ReleaseData!$Q$27</f>
        <v>50</v>
      </c>
      <c r="V7" s="40">
        <v>47.6</v>
      </c>
      <c r="W7" s="40">
        <v>47.6</v>
      </c>
      <c r="X7" s="40">
        <f t="shared" ref="X7:X8" si="52">T7-Y7</f>
        <v>47.6</v>
      </c>
      <c r="Y7" s="40">
        <v>0</v>
      </c>
      <c r="Z7" s="33">
        <f t="shared" ref="Z7:Z8" si="53" xml:space="preserve"> W7/T7</f>
        <v>1</v>
      </c>
      <c r="AA7" s="33">
        <f t="shared" ref="AA7:AA8" si="54">X7/T7</f>
        <v>1</v>
      </c>
      <c r="AB7" s="57">
        <v>106.5</v>
      </c>
      <c r="AC7" s="58">
        <f>_ReleaseData!$Q$28</f>
        <v>80</v>
      </c>
      <c r="AD7" s="40">
        <v>106.5</v>
      </c>
      <c r="AE7" s="40">
        <v>106.5</v>
      </c>
      <c r="AF7" s="40">
        <f t="shared" ref="AF7:AF8" si="55">AB7-AG7</f>
        <v>106.5</v>
      </c>
      <c r="AG7" s="40">
        <v>0</v>
      </c>
      <c r="AH7" s="33">
        <f t="shared" ref="AH7:AH8" si="56" xml:space="preserve"> AE7/AB7</f>
        <v>1</v>
      </c>
      <c r="AI7" s="33">
        <f t="shared" ref="AI7:AI8" si="57">AF7/AB7</f>
        <v>1</v>
      </c>
      <c r="AL7" s="16" t="s">
        <v>134</v>
      </c>
      <c r="AM7" t="s">
        <v>317</v>
      </c>
      <c r="AR7" s="57">
        <v>42.5</v>
      </c>
      <c r="AS7" s="58">
        <f>_ReleaseData!$Q$29</f>
        <v>100</v>
      </c>
      <c r="AT7" s="40">
        <v>42.5</v>
      </c>
      <c r="AU7" s="40">
        <v>42.5</v>
      </c>
      <c r="AV7" s="40">
        <f t="shared" ref="AV7" si="58">AR7-AW7</f>
        <v>37.5</v>
      </c>
      <c r="AW7" s="40">
        <v>5</v>
      </c>
      <c r="AX7" s="33">
        <f t="shared" ref="AX7" si="59" xml:space="preserve"> AU7/AR7</f>
        <v>1</v>
      </c>
      <c r="AY7" s="33">
        <f t="shared" ref="AY7" si="60">AV7/AR7</f>
        <v>0.88235294117647056</v>
      </c>
    </row>
    <row r="8" spans="1:51" x14ac:dyDescent="0.3">
      <c r="A8" t="s">
        <v>259</v>
      </c>
      <c r="B8" s="60">
        <v>44041</v>
      </c>
      <c r="C8" s="60">
        <v>44054</v>
      </c>
      <c r="D8" s="57">
        <v>452.9</v>
      </c>
      <c r="E8" s="34">
        <f>_ReleaseData!$Q$25</f>
        <v>420</v>
      </c>
      <c r="F8" s="40">
        <v>452.9</v>
      </c>
      <c r="G8" s="40">
        <v>452.9</v>
      </c>
      <c r="H8" s="40">
        <f t="shared" si="46"/>
        <v>401.4</v>
      </c>
      <c r="I8" s="40">
        <v>51.5</v>
      </c>
      <c r="J8" s="33">
        <f t="shared" si="47"/>
        <v>1</v>
      </c>
      <c r="K8" s="33">
        <f t="shared" si="48"/>
        <v>0.88628836387723564</v>
      </c>
      <c r="L8" s="59">
        <v>96.5</v>
      </c>
      <c r="M8" s="58">
        <f>_ReleaseData!$Q$26</f>
        <v>50</v>
      </c>
      <c r="N8" s="40">
        <v>96.5</v>
      </c>
      <c r="O8" s="40">
        <v>96.5</v>
      </c>
      <c r="P8" s="40">
        <f t="shared" si="49"/>
        <v>94.5</v>
      </c>
      <c r="Q8" s="40">
        <v>2</v>
      </c>
      <c r="R8" s="33">
        <f t="shared" si="50"/>
        <v>1</v>
      </c>
      <c r="S8" s="33">
        <f t="shared" si="51"/>
        <v>0.97927461139896377</v>
      </c>
      <c r="T8" s="57">
        <v>47.6</v>
      </c>
      <c r="U8" s="58">
        <f>_ReleaseData!$Q$27</f>
        <v>50</v>
      </c>
      <c r="V8" s="40">
        <v>47.6</v>
      </c>
      <c r="W8" s="40">
        <v>47.6</v>
      </c>
      <c r="X8" s="40">
        <f t="shared" si="52"/>
        <v>47.6</v>
      </c>
      <c r="Y8" s="40">
        <v>0</v>
      </c>
      <c r="Z8" s="33">
        <f t="shared" si="53"/>
        <v>1</v>
      </c>
      <c r="AA8" s="33">
        <f t="shared" si="54"/>
        <v>1</v>
      </c>
      <c r="AB8" s="57">
        <v>106.5</v>
      </c>
      <c r="AC8" s="58">
        <f>_ReleaseData!$Q$28</f>
        <v>80</v>
      </c>
      <c r="AD8" s="40">
        <v>106.5</v>
      </c>
      <c r="AE8" s="40">
        <v>106.5</v>
      </c>
      <c r="AF8" s="40">
        <f t="shared" si="55"/>
        <v>106.5</v>
      </c>
      <c r="AG8" s="40">
        <v>0</v>
      </c>
      <c r="AH8" s="33">
        <f t="shared" si="56"/>
        <v>1</v>
      </c>
      <c r="AI8" s="33">
        <f t="shared" si="57"/>
        <v>1</v>
      </c>
      <c r="AL8" s="16" t="s">
        <v>245</v>
      </c>
      <c r="AM8" t="s">
        <v>217</v>
      </c>
      <c r="AR8" s="57">
        <v>42.5</v>
      </c>
      <c r="AS8" s="58">
        <f>_ReleaseData!$Q$29</f>
        <v>100</v>
      </c>
      <c r="AT8" s="40">
        <v>42.5</v>
      </c>
      <c r="AU8" s="40">
        <v>42.5</v>
      </c>
      <c r="AV8" s="40">
        <f t="shared" ref="AV8" si="61">AR8-AW8</f>
        <v>42.5</v>
      </c>
      <c r="AW8" s="40">
        <v>0</v>
      </c>
      <c r="AX8" s="33">
        <f t="shared" ref="AX8" si="62" xml:space="preserve"> AU8/AR8</f>
        <v>1</v>
      </c>
      <c r="AY8" s="33">
        <f t="shared" ref="AY8" si="63">AV8/AR8</f>
        <v>1</v>
      </c>
    </row>
    <row r="9" spans="1:51" x14ac:dyDescent="0.3">
      <c r="A9" t="s">
        <v>267</v>
      </c>
      <c r="B9" s="60">
        <v>44055</v>
      </c>
      <c r="C9" s="60">
        <v>44068</v>
      </c>
      <c r="D9" s="57">
        <f>GETPIVOTDATA("Epic Total Estimate", $AL$8, "Type", "Epic")</f>
        <v>0</v>
      </c>
      <c r="E9" s="34">
        <f>_ReleaseData!$Q$25</f>
        <v>420</v>
      </c>
      <c r="F9" s="40">
        <f>GETPIVOTDATA("Stories Estimate", $AL$8, "Type", "Epic")</f>
        <v>0</v>
      </c>
      <c r="G9" s="40">
        <f>GETPIVOTDATA("Epic Decomposed", $AL$8, "Type", "Epic")</f>
        <v>0</v>
      </c>
      <c r="H9" s="40">
        <f t="shared" ref="H9" si="64">D9-I9</f>
        <v>0</v>
      </c>
      <c r="I9" s="40">
        <f>GETPIVOTDATA("Epic Remaining Estimate", $AL$8, "Type", "Epic")</f>
        <v>0</v>
      </c>
      <c r="J9" s="33" t="e">
        <f t="shared" ref="J9" si="65" xml:space="preserve"> G9/D9</f>
        <v>#DIV/0!</v>
      </c>
      <c r="K9" s="33" t="e">
        <f t="shared" ref="K9" si="66" xml:space="preserve"> H9/D9</f>
        <v>#DIV/0!</v>
      </c>
      <c r="L9" s="59" t="e">
        <f>GETPIVOTDATA("Epic Total Estimate", $AL$8, "Type", "Epic", "ST:Components", "Admin")</f>
        <v>#REF!</v>
      </c>
      <c r="M9" s="58">
        <f>_ReleaseData!$Q$26</f>
        <v>50</v>
      </c>
      <c r="N9" s="40" t="e">
        <f>GETPIVOTDATA("Stories Estimate", $AL$8, "Type", "Epic", "ST:Components", "Admin")</f>
        <v>#REF!</v>
      </c>
      <c r="O9" s="40" t="e">
        <f>GETPIVOTDATA("Epic Decomposed", $AL$8, "Type", "Epic", "ST:Components", "Admin")</f>
        <v>#REF!</v>
      </c>
      <c r="P9" s="40" t="e">
        <f t="shared" ref="P9" si="67">L9-Q9</f>
        <v>#REF!</v>
      </c>
      <c r="Q9" s="40" t="e">
        <f>GETPIVOTDATA("Epic Remaining Estimate", $AL$8, "Type", "Epic", "ST:Components", "Admin")</f>
        <v>#REF!</v>
      </c>
      <c r="R9" s="33" t="e">
        <f t="shared" ref="R9" si="68" xml:space="preserve"> O9/L9</f>
        <v>#REF!</v>
      </c>
      <c r="S9" s="33" t="e">
        <f t="shared" ref="S9" si="69" xml:space="preserve"> P9/L9</f>
        <v>#REF!</v>
      </c>
      <c r="T9" s="57" t="e">
        <f>GETPIVOTDATA("Epic Total Estimate", $AL$8, "Type", "Epic", "ST:Components", "BluePrism Integration")</f>
        <v>#REF!</v>
      </c>
      <c r="U9" s="58">
        <f>_ReleaseData!$Q$27</f>
        <v>50</v>
      </c>
      <c r="V9" s="40" t="e">
        <f>GETPIVOTDATA("Stories Estimate", $AL$8, "Type", "Epic", "ST:Components", "BluePrism Integration")</f>
        <v>#REF!</v>
      </c>
      <c r="W9" s="40" t="e">
        <f>GETPIVOTDATA("Epic Decomposed", $AL$8, "Type", "Epic", "ST:Components", "BluePrism Integration")</f>
        <v>#REF!</v>
      </c>
      <c r="X9" s="40" t="e">
        <f t="shared" ref="X9" si="70">T9-Y9</f>
        <v>#REF!</v>
      </c>
      <c r="Y9" s="40" t="e">
        <f>GETPIVOTDATA("Epic Remaining Estimate", $AL$8, "Type", "Epic", "ST:Components", "BluePrism Integration")</f>
        <v>#REF!</v>
      </c>
      <c r="Z9" s="33" t="e">
        <f t="shared" ref="Z9" si="71" xml:space="preserve"> W9/T9</f>
        <v>#REF!</v>
      </c>
      <c r="AA9" s="33" t="e">
        <f t="shared" ref="AA9" si="72">X9/T9</f>
        <v>#REF!</v>
      </c>
      <c r="AB9" s="57" t="e">
        <f>GETPIVOTDATA("Epic Total Estimate", $AL$8, "Type", "Epic", "ST:Components", "Automation Anywhere Integration")</f>
        <v>#REF!</v>
      </c>
      <c r="AC9" s="58">
        <f>_ReleaseData!$Q$28</f>
        <v>80</v>
      </c>
      <c r="AD9" s="40" t="e">
        <f>GETPIVOTDATA("Stories Estimate", $AL$8, "Type", "Epic", "ST:Components", "Automation Anywhere Integration")</f>
        <v>#REF!</v>
      </c>
      <c r="AE9" s="40" t="e">
        <f>GETPIVOTDATA("Epic Decomposed", $AL$8, "Type", "Epic", "ST:Components", "Automation Anywhere Integration")</f>
        <v>#REF!</v>
      </c>
      <c r="AF9" s="40" t="e">
        <f t="shared" ref="AF9" si="73">AB9-AG9</f>
        <v>#REF!</v>
      </c>
      <c r="AG9" s="40" t="e">
        <f>GETPIVOTDATA("Epic Remaining Estimate", $AL$8, "Type", "Epic", "ST:Components", "Automation Anywhere Integration")</f>
        <v>#REF!</v>
      </c>
      <c r="AH9" s="33" t="e">
        <f t="shared" ref="AH9" si="74" xml:space="preserve"> AE9/AB9</f>
        <v>#REF!</v>
      </c>
      <c r="AI9" s="33" t="e">
        <f t="shared" ref="AI9" si="75">AF9/AB9</f>
        <v>#REF!</v>
      </c>
      <c r="AR9" s="57" t="e">
        <f>GETPIVOTDATA("Epic Total Estimate", $AL$8, "Type", "Epic", "ST:Components", "Microsoft Power Automate Integration")</f>
        <v>#REF!</v>
      </c>
      <c r="AS9" s="58">
        <f>_ReleaseData!$Q$29</f>
        <v>100</v>
      </c>
      <c r="AT9" s="40" t="e">
        <f>GETPIVOTDATA("Stories Estimate", $AL$8, "Type", "Epic", "ST:Components", "Microsoft Power Automate Integration")</f>
        <v>#REF!</v>
      </c>
      <c r="AU9" s="40" t="e">
        <f>GETPIVOTDATA("Epic Decomposed", $AL$8, "Type", "Epic", "ST:Components", "Microsoft Power Automate Integration")</f>
        <v>#REF!</v>
      </c>
      <c r="AV9" s="40" t="e">
        <f t="shared" ref="AV9" si="76">AR9-AW9</f>
        <v>#REF!</v>
      </c>
      <c r="AW9" s="40" t="e">
        <f>GETPIVOTDATA("Epic Remaining Estimate", $AL$8, "Type", "Epic", "ST:Components", "Microsoft Power Automate Integration")</f>
        <v>#REF!</v>
      </c>
      <c r="AX9" s="33" t="e">
        <f t="shared" ref="AX9" si="77" xml:space="preserve"> AU9/AR9</f>
        <v>#REF!</v>
      </c>
      <c r="AY9" s="33" t="e">
        <f t="shared" ref="AY9" si="78">AV9/AR9</f>
        <v>#REF!</v>
      </c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2"/>
      <c r="B11" s="83"/>
      <c r="C11" s="83"/>
      <c r="D11" s="84"/>
      <c r="E11" s="85"/>
      <c r="F11" s="86"/>
      <c r="G11" s="86"/>
      <c r="H11" s="86"/>
      <c r="I11" s="86"/>
      <c r="J11" s="87"/>
      <c r="K11" s="87"/>
      <c r="L11" s="88"/>
      <c r="M11" s="85"/>
      <c r="N11" s="86"/>
      <c r="O11" s="86"/>
      <c r="P11" s="86"/>
      <c r="Q11" s="86"/>
      <c r="R11" s="87"/>
      <c r="S11" s="87"/>
      <c r="T11" s="84"/>
      <c r="U11" s="85"/>
      <c r="V11" s="86"/>
      <c r="W11" s="86"/>
      <c r="X11" s="86"/>
      <c r="Y11" s="86"/>
      <c r="Z11" s="87"/>
      <c r="AA11" s="87"/>
      <c r="AB11" s="84"/>
      <c r="AC11" s="85"/>
      <c r="AD11" s="86"/>
      <c r="AE11" s="86"/>
      <c r="AF11" s="86"/>
      <c r="AG11" s="86"/>
      <c r="AH11" s="87"/>
      <c r="AI11" s="89"/>
      <c r="AM11" t="s">
        <v>61</v>
      </c>
      <c r="AR11" s="84"/>
      <c r="AS11" s="85"/>
      <c r="AT11" s="86"/>
      <c r="AU11" s="86"/>
      <c r="AV11" s="86"/>
      <c r="AW11" s="86"/>
      <c r="AX11" s="87"/>
      <c r="AY11" s="87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251</v>
      </c>
      <c r="AO12" t="s">
        <v>252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/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50</v>
      </c>
      <c r="AM14" s="20"/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245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245</v>
      </c>
      <c r="H3" t="s">
        <v>217</v>
      </c>
    </row>
    <row r="4" spans="2:8" x14ac:dyDescent="0.3">
      <c r="B4" s="17" t="s">
        <v>61</v>
      </c>
      <c r="C4" s="20">
        <v>140</v>
      </c>
    </row>
    <row r="5" spans="2:8" x14ac:dyDescent="0.3">
      <c r="B5" s="17" t="s">
        <v>50</v>
      </c>
      <c r="C5" s="20">
        <v>140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0</v>
      </c>
    </row>
    <row r="7" spans="2:8" x14ac:dyDescent="0.3">
      <c r="G7" s="17" t="s">
        <v>221</v>
      </c>
      <c r="H7" s="20">
        <v>15</v>
      </c>
    </row>
    <row r="8" spans="2:8" x14ac:dyDescent="0.3">
      <c r="G8" s="17" t="s">
        <v>50</v>
      </c>
      <c r="H8" s="20">
        <v>15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255</v>
      </c>
      <c r="C16" s="20">
        <v>114.5</v>
      </c>
      <c r="D16" s="20">
        <v>157.5</v>
      </c>
    </row>
    <row r="17" spans="2:4" x14ac:dyDescent="0.3">
      <c r="B17" t="s">
        <v>256</v>
      </c>
      <c r="C17" s="20">
        <v>31</v>
      </c>
      <c r="D17" s="20">
        <v>86</v>
      </c>
    </row>
    <row r="18" spans="2:4" x14ac:dyDescent="0.3">
      <c r="B18" t="s">
        <v>257</v>
      </c>
      <c r="C18" s="20">
        <v>89.5</v>
      </c>
      <c r="D18" s="20">
        <v>107</v>
      </c>
    </row>
    <row r="19" spans="2:4" x14ac:dyDescent="0.3">
      <c r="B19" t="s">
        <v>258</v>
      </c>
      <c r="C19" s="20">
        <v>128</v>
      </c>
      <c r="D19" s="20">
        <v>144</v>
      </c>
    </row>
    <row r="20" spans="2:4" x14ac:dyDescent="0.3">
      <c r="B20" t="s">
        <v>259</v>
      </c>
      <c r="C20" s="20">
        <v>122</v>
      </c>
      <c r="D20" s="20">
        <v>145.5</v>
      </c>
    </row>
    <row r="21" spans="2:4" x14ac:dyDescent="0.3">
      <c r="B21" t="s">
        <v>267</v>
      </c>
      <c r="C21" s="20">
        <f>GETPIVOTDATA("Epic Not Decomposed Estimate",$B$3)</f>
        <v>140</v>
      </c>
      <c r="D21" s="20">
        <f>GETPIVOTDATA("Story Points",$G$5)</f>
        <v>15</v>
      </c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Sheet (Epic)</vt:lpstr>
      <vt:lpstr>Sheet (Story)</vt:lpstr>
      <vt:lpstr>Notes</vt:lpstr>
      <vt:lpstr>'AA Integration'!Table10</vt:lpstr>
      <vt:lpstr>'MS PA Integration'!Table10</vt:lpstr>
      <vt:lpstr>'Sheet (Story)'!Table10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2021-10-27T02:32:46Z</dcterms:modified>
</cp:coreProperties>
</file>