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B88364F3-D71B-460E-BD59-EB5152920A3F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46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26" l="1"/>
  <c r="U5" i="26"/>
  <c r="M5" i="26"/>
  <c r="E5" i="26"/>
  <c r="D17" i="24"/>
  <c r="C17" i="24"/>
  <c r="AE5" i="26"/>
  <c r="G5" i="26"/>
  <c r="F5" i="26"/>
  <c r="Q5" i="26"/>
  <c r="AB5" i="26"/>
  <c r="D5" i="26"/>
  <c r="W5" i="26"/>
  <c r="AG5" i="26"/>
  <c r="T5" i="26"/>
  <c r="AD5" i="26"/>
  <c r="O5" i="26"/>
  <c r="V5" i="26"/>
  <c r="I5" i="26"/>
  <c r="N5" i="26"/>
  <c r="Y5" i="26"/>
  <c r="L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AC7" i="26"/>
  <c r="AC6" i="26"/>
  <c r="U10" i="26"/>
  <c r="U9" i="26"/>
  <c r="U8" i="26"/>
  <c r="U7" i="26"/>
  <c r="U6" i="26"/>
  <c r="M10" i="26"/>
  <c r="M9" i="26"/>
  <c r="M8" i="26"/>
  <c r="M7" i="26"/>
  <c r="M6" i="26"/>
  <c r="E10" i="26"/>
  <c r="E9" i="26"/>
  <c r="E8" i="26"/>
  <c r="E7" i="26"/>
  <c r="E6" i="26"/>
  <c r="X5" i="9"/>
  <c r="V5" i="9"/>
  <c r="T5" i="9"/>
  <c r="R5" i="9"/>
  <c r="P5" i="9"/>
  <c r="M5" i="9"/>
  <c r="O5" i="9"/>
  <c r="N5" i="9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<sst xmlns="http://schemas.openxmlformats.org/spreadsheetml/2006/main" count="1191" uniqueCount="283">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</sst>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  <c:pt idx="2">
                  <c:v>470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7.324144675928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70"/>
        <item h="1" m="1" x="59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70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59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  <c r="L7">
        <v>77.7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77.7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Wavelength2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272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6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/>
    </row>
    <row r="13" spans="1:5" x14ac:dyDescent="0.3">
      <c r="D13" s="17" t="s">
        <v>50</v>
      </c>
      <c r="E13" s="20">
        <v>11</v>
      </c>
    </row>
    <row r="15" spans="1:5" x14ac:dyDescent="0.3">
      <c r="D15" t="s">
        <v>50</v>
      </c>
      <c r="E15">
        <f>GETPIVOTDATA("Story Points", $D$5)</f>
        <v>11</v>
      </c>
    </row>
    <row r="16" spans="1:5" x14ac:dyDescent="0.3">
      <c r="D16" t="s">
        <v>252</v>
      </c>
      <c r="E16" t="str">
        <f>"Sprint " &amp; SUBSTITUTE($B$1,"Venus", "") &amp; " Progress"</f>
        <v>Sprint Wavelength2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Wavelength2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Wavelength2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Wavelength2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Wavelength2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Wavelength2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Wavelength2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Wavelength2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24.44140625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0.14925373134328357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0.85074626865671643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470</v>
      </c>
      <c r="R3" s="42">
        <v>465</v>
      </c>
      <c r="S3" s="40">
        <f>$Q$26*(100%-K3)</f>
        <v>200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406.8656716417911</v>
      </c>
      <c r="R4" s="42">
        <v>442.3</v>
      </c>
      <c r="S4" s="42">
        <f>$Q$26*(100%-K4)</f>
        <v>173.13432835820896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f>100%-GETPIVOTDATA("Epic Remaining Estimate",$AB$4)/GETPIVOTDATA("Epic Total Estimate",$AB$4)</f>
        <v>0.25</v>
      </c>
      <c r="N5" s="76">
        <f>100%-GETPIVOTDATA("Epic Remaining Estimate",$AB$4,"ST:Components","Admin")/GETPIVOTDATA("Epic Total Estimate",$AB$4,"ST:Components","Admin")</f>
        <v>-0.5</v>
      </c>
      <c r="O5" s="76">
        <f>100%-GETPIVOTDATA("Epic Remaining Estimate",$AB$4,"ST:Components","Visio Import/Export")/GETPIVOTDATA("Epic Total Estimate",$AB$4,"ST:Components","Visio Import/Export")</f>
        <v>-2</v>
      </c>
      <c r="P5" s="76">
        <f>100%-GETPIVOTDATA("Epic Remaining Estimate",$AB$4,"ST:Components","Logging and Audit")/GETPIVOTDATA("Epic Total Estimate",$AB$4,"ST:Components","Logging and Audit")</f>
        <v>-2</v>
      </c>
      <c r="Q5" s="40">
        <f t="shared" ref="Q5:Q9" si="1">$Q$25*(100%-K5)</f>
        <v>336.71641791044777</v>
      </c>
      <c r="R5" s="42">
        <f>GETPIVOTDATA("Epic Remaining Estimate",$AB$4)</f>
        <v>450</v>
      </c>
      <c r="S5" s="42">
        <f t="shared" ref="S5:S9" si="2">$Q$26*(100%-K5)</f>
        <v>143.28358208955225</v>
      </c>
      <c r="T5" s="42">
        <f>GETPIVOTDATA("Epic Remaining Estimate",$AB$4,"ST:Components","Admin")</f>
        <v>150</v>
      </c>
      <c r="U5" s="40">
        <f t="shared" ref="U5:U9" si="3">$Q$27*(100%-L5)</f>
        <v>143.28358208955225</v>
      </c>
      <c r="V5" s="42">
        <f>GETPIVOTDATA("Epic Remaining Estimate",$AB$4,"ST:Components","Visio Import/Export")</f>
        <v>150</v>
      </c>
      <c r="W5" s="40">
        <f t="shared" ref="W5:W9" si="4">$Q$28*(100%-K5)</f>
        <v>42.985074626865675</v>
      </c>
      <c r="X5" s="42">
        <f>GETPIVOTDATA("Epic Remaining Estimate",$AB$4,"ST:Components","Logging and Audit")</f>
        <v>150</v>
      </c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43887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0.14925373134328357</v>
      </c>
    </row>
    <row r="23" spans="1:24" x14ac:dyDescent="0.3">
      <c r="A23" t="s">
        <v>138</v>
      </c>
      <c r="B23" s="30">
        <f ca="1">MAX(100%,B22)-B22</f>
        <v>0.85074626865671643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470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200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v>573</v>
      </c>
      <c r="E4" s="58">
        <f>_ReleaseData!$Q$25</f>
        <v>470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200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</row>
    <row r="5" spans="1:42" x14ac:dyDescent="0.3">
      <c r="A5" t="s">
        <v>264</v>
      </c>
      <c r="B5" s="60">
        <v>43887</v>
      </c>
      <c r="C5" s="60">
        <v>43900</v>
      </c>
      <c r="D5" s="57">
        <f>GETPIVOTDATA("Epic Total Estimate", $AL$8, "Type", "Epic")</f>
        <v>600</v>
      </c>
      <c r="E5" s="58">
        <f>_ReleaseData!$Q$25</f>
        <v>470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12">D5-I5</f>
        <v>150</v>
      </c>
      <c r="I5" s="40">
        <f>GETPIVOTDATA("Epic Remaining Estimate", $AL$8, "Type", "Epic")</f>
        <v>450</v>
      </c>
      <c r="J5" s="33">
        <f t="shared" ref="J5" si="13" xml:space="preserve"> G5/D5</f>
        <v>0.9</v>
      </c>
      <c r="K5" s="33">
        <f t="shared" ref="K5" si="14" xml:space="preserve"> H5/D5</f>
        <v>0.25</v>
      </c>
      <c r="L5" s="59">
        <f>GETPIVOTDATA("Epic Total Estimate", $AL$8, "Type", "Epic", "ST:Components", "Admin")</f>
        <v>100</v>
      </c>
      <c r="M5" s="58">
        <f>_ReleaseData!$Q$26</f>
        <v>200</v>
      </c>
      <c r="N5" s="40">
        <f>GETPIVOTDATA("Stories Estimate", $AL$8, "Type", "Epic", "ST:Components", "Admin")</f>
        <v>0</v>
      </c>
      <c r="O5" s="40">
        <f>GETPIVOTDATA("Epic Decomposed", $AL$8, "Type", "Epic", "ST:Components", "Admin")</f>
        <v>180</v>
      </c>
      <c r="P5" s="40">
        <f t="shared" ref="P5" si="15">L5-Q5</f>
        <v>-50</v>
      </c>
      <c r="Q5" s="40">
        <f>GETPIVOTDATA("Epic Remaining Estimate", $AL$8, "Type", "Epic", "ST:Components", "Admin")</f>
        <v>150</v>
      </c>
      <c r="R5" s="33">
        <f t="shared" ref="R5" si="16" xml:space="preserve"> O5/L5</f>
        <v>1.8</v>
      </c>
      <c r="S5" s="33">
        <f t="shared" ref="S5" si="17" xml:space="preserve"> P5/L5</f>
        <v>-0.5</v>
      </c>
      <c r="T5" s="57">
        <f>GETPIVOTDATA("Epic Total Estimate", $AL$8, "Type", "Epic", "ST:Components", "Visio Import/Export")</f>
        <v>50</v>
      </c>
      <c r="U5" s="58">
        <f>_ReleaseData!$Q$27</f>
        <v>200</v>
      </c>
      <c r="V5" s="40">
        <f>GETPIVOTDATA("Stories Estimate", $AL$8, "Type", "Epic", "ST:Components", "Visio Import/Export")</f>
        <v>0</v>
      </c>
      <c r="W5" s="40">
        <f>GETPIVOTDATA("Epic Decomposed", $AL$8, "Type", "Epic", "ST:Components", "Visio Import/Export")</f>
        <v>180</v>
      </c>
      <c r="X5" s="40">
        <f t="shared" ref="X5" si="18">T5-Y5</f>
        <v>-100</v>
      </c>
      <c r="Y5" s="40">
        <f>GETPIVOTDATA("Epic Remaining Estimate", $AL$8, "Type", "Epic", "ST:Components", "Visio Import/Export")</f>
        <v>150</v>
      </c>
      <c r="Z5" s="33">
        <f t="shared" ref="Z5" si="19" xml:space="preserve"> W5/T5</f>
        <v>3.6</v>
      </c>
      <c r="AA5" s="33">
        <f t="shared" ref="AA5" si="20">X5/T5</f>
        <v>-2</v>
      </c>
      <c r="AB5" s="57">
        <f>GETPIVOTDATA("Epic Total Estimate", $AL$8, "Type", "Epic", "ST:Components", "Logging and Audit")</f>
        <v>50</v>
      </c>
      <c r="AC5" s="58">
        <f>_ReleaseData!$Q$28</f>
        <v>60</v>
      </c>
      <c r="AD5" s="40">
        <f>GETPIVOTDATA("Stories Estimate", $AL$8, "Type", "Epic", "ST:Components", "Logging and Audit")</f>
        <v>0</v>
      </c>
      <c r="AE5" s="40">
        <f>GETPIVOTDATA("Epic Decomposed", $AL$8, "Type", "Epic", "ST:Components", "Logging and Audit")</f>
        <v>180</v>
      </c>
      <c r="AF5" s="40">
        <f t="shared" ref="AF5" si="21">AB5-AG5</f>
        <v>-100</v>
      </c>
      <c r="AG5" s="40">
        <f>GETPIVOTDATA("Epic Remaining Estimate", $AL$8, "Type", "Epic", "ST:Components", "Logging and Audit")</f>
        <v>150</v>
      </c>
      <c r="AH5" s="33">
        <f t="shared" ref="AH5" si="22" xml:space="preserve"> AE5/AB5</f>
        <v>3.6</v>
      </c>
      <c r="AI5" s="33">
        <f t="shared" ref="AI5" si="23">AF5/AB5</f>
        <v>-2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>
        <f>_ReleaseData!$Q$25</f>
        <v>470</v>
      </c>
      <c r="F6" s="40"/>
      <c r="G6" s="40"/>
      <c r="H6" s="40"/>
      <c r="I6" s="40"/>
      <c r="J6" s="33" t="e">
        <f t="shared" ref="J6" si="24" xml:space="preserve"> G6/D6</f>
        <v>#DIV/0!</v>
      </c>
      <c r="K6" s="33" t="e">
        <f t="shared" ref="K6" si="25" xml:space="preserve"> H6/D6</f>
        <v>#DIV/0!</v>
      </c>
      <c r="L6" s="59"/>
      <c r="M6" s="58">
        <f>_ReleaseData!$Q$26</f>
        <v>200</v>
      </c>
      <c r="N6" s="40"/>
      <c r="O6" s="40"/>
      <c r="P6" s="40"/>
      <c r="Q6" s="40"/>
      <c r="R6" s="33" t="e">
        <f t="shared" ref="R6" si="26" xml:space="preserve"> O6/L6</f>
        <v>#DIV/0!</v>
      </c>
      <c r="S6" s="33" t="e">
        <f t="shared" ref="S6" si="27" xml:space="preserve"> P6/L6</f>
        <v>#DIV/0!</v>
      </c>
      <c r="T6" s="57"/>
      <c r="U6" s="58">
        <f>_ReleaseData!$Q$27</f>
        <v>200</v>
      </c>
      <c r="V6" s="40"/>
      <c r="W6" s="40"/>
      <c r="X6" s="40"/>
      <c r="Y6" s="40"/>
      <c r="Z6" s="33" t="e">
        <f t="shared" ref="Z6" si="28" xml:space="preserve"> W6/T6</f>
        <v>#DIV/0!</v>
      </c>
      <c r="AA6" s="33" t="e">
        <f t="shared" ref="AA6" si="29">X6/T6</f>
        <v>#DIV/0!</v>
      </c>
      <c r="AB6" s="57"/>
      <c r="AC6" s="58">
        <f>_ReleaseData!$Q$28</f>
        <v>60</v>
      </c>
      <c r="AD6" s="40"/>
      <c r="AE6" s="40"/>
      <c r="AF6" s="40"/>
      <c r="AG6" s="40"/>
      <c r="AH6" s="33" t="e">
        <f t="shared" ref="AH6" si="30" xml:space="preserve"> AE6/AB6</f>
        <v>#DIV/0!</v>
      </c>
      <c r="AI6" s="33" t="e">
        <f t="shared" ref="AI6" si="31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>
        <f>_ReleaseData!$Q$25</f>
        <v>470</v>
      </c>
      <c r="F7" s="40"/>
      <c r="G7" s="40"/>
      <c r="H7" s="40"/>
      <c r="I7" s="40"/>
      <c r="J7" s="33" t="e">
        <f t="shared" ref="J7:J8" si="32" xml:space="preserve"> G7/D7</f>
        <v>#DIV/0!</v>
      </c>
      <c r="K7" s="33" t="e">
        <f t="shared" ref="K7:K8" si="33" xml:space="preserve"> H7/D7</f>
        <v>#DIV/0!</v>
      </c>
      <c r="L7" s="59"/>
      <c r="M7" s="58">
        <f>_ReleaseData!$Q$26</f>
        <v>200</v>
      </c>
      <c r="N7" s="40"/>
      <c r="O7" s="40"/>
      <c r="P7" s="40"/>
      <c r="Q7" s="40"/>
      <c r="R7" s="33" t="e">
        <f t="shared" ref="R7:R8" si="34" xml:space="preserve"> O7/L7</f>
        <v>#DIV/0!</v>
      </c>
      <c r="S7" s="33" t="e">
        <f t="shared" ref="S7:S8" si="35" xml:space="preserve"> P7/L7</f>
        <v>#DIV/0!</v>
      </c>
      <c r="T7" s="57"/>
      <c r="U7" s="58">
        <f>_ReleaseData!$Q$27</f>
        <v>200</v>
      </c>
      <c r="V7" s="40"/>
      <c r="W7" s="40"/>
      <c r="X7" s="40"/>
      <c r="Y7" s="40"/>
      <c r="Z7" s="33" t="e">
        <f t="shared" ref="Z7:Z8" si="36" xml:space="preserve"> W7/T7</f>
        <v>#DIV/0!</v>
      </c>
      <c r="AA7" s="33" t="e">
        <f t="shared" ref="AA7:AA8" si="37">X7/T7</f>
        <v>#DIV/0!</v>
      </c>
      <c r="AB7" s="57"/>
      <c r="AC7" s="58">
        <f>_ReleaseData!$Q$28</f>
        <v>60</v>
      </c>
      <c r="AD7" s="40"/>
      <c r="AE7" s="40"/>
      <c r="AF7" s="40"/>
      <c r="AG7" s="40"/>
      <c r="AH7" s="33" t="e">
        <f t="shared" ref="AH7:AH8" si="38" xml:space="preserve"> AE7/AB7</f>
        <v>#DIV/0!</v>
      </c>
      <c r="AI7" s="33" t="e">
        <f t="shared" ref="AI7:AI8" si="39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470</v>
      </c>
      <c r="F8" s="40"/>
      <c r="G8" s="40"/>
      <c r="H8" s="40"/>
      <c r="I8" s="40"/>
      <c r="J8" s="33" t="e">
        <f t="shared" si="32"/>
        <v>#DIV/0!</v>
      </c>
      <c r="K8" s="33" t="e">
        <f t="shared" si="33"/>
        <v>#DIV/0!</v>
      </c>
      <c r="L8" s="59"/>
      <c r="M8" s="58">
        <f>_ReleaseData!$Q$26</f>
        <v>200</v>
      </c>
      <c r="N8" s="40"/>
      <c r="O8" s="40"/>
      <c r="P8" s="40"/>
      <c r="Q8" s="40"/>
      <c r="R8" s="33" t="e">
        <f t="shared" si="34"/>
        <v>#DIV/0!</v>
      </c>
      <c r="S8" s="33" t="e">
        <f t="shared" si="35"/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si="36"/>
        <v>#DIV/0!</v>
      </c>
      <c r="AA8" s="33" t="e">
        <f t="shared" si="37"/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si="38"/>
        <v>#DIV/0!</v>
      </c>
      <c r="AI8" s="33" t="e">
        <f t="shared" si="39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470</v>
      </c>
      <c r="F9" s="40"/>
      <c r="G9" s="40"/>
      <c r="H9" s="40"/>
      <c r="I9" s="40"/>
      <c r="J9" s="33" t="e">
        <f t="shared" ref="J9" si="40" xml:space="preserve"> G9/D9</f>
        <v>#DIV/0!</v>
      </c>
      <c r="K9" s="33" t="e">
        <f t="shared" ref="K9" si="41" xml:space="preserve"> H9/D9</f>
        <v>#DIV/0!</v>
      </c>
      <c r="L9" s="59"/>
      <c r="M9" s="58">
        <f>_ReleaseData!$Q$26</f>
        <v>200</v>
      </c>
      <c r="N9" s="40"/>
      <c r="O9" s="40"/>
      <c r="P9" s="40"/>
      <c r="Q9" s="40"/>
      <c r="R9" s="33" t="e">
        <f t="shared" ref="R9" si="42" xml:space="preserve"> O9/L9</f>
        <v>#DIV/0!</v>
      </c>
      <c r="S9" s="33" t="e">
        <f t="shared" ref="S9" si="43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44" xml:space="preserve"> W9/T9</f>
        <v>#DIV/0!</v>
      </c>
      <c r="AA9" s="33" t="e">
        <f t="shared" ref="AA9" si="45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46" xml:space="preserve"> AE9/AB9</f>
        <v>#DIV/0!</v>
      </c>
      <c r="AI9" s="33" t="e">
        <f t="shared" ref="AI9" si="47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470</v>
      </c>
      <c r="F10" s="40"/>
      <c r="G10" s="40"/>
      <c r="H10" s="40"/>
      <c r="I10" s="40"/>
      <c r="J10" s="33" t="e">
        <f t="shared" ref="J10" si="48" xml:space="preserve"> G10/D10</f>
        <v>#DIV/0!</v>
      </c>
      <c r="K10" s="33" t="e">
        <f t="shared" ref="K10" si="49" xml:space="preserve"> H10/D10</f>
        <v>#DIV/0!</v>
      </c>
      <c r="L10" s="59"/>
      <c r="M10" s="58">
        <f>_ReleaseData!$Q$26</f>
        <v>200</v>
      </c>
      <c r="N10" s="40"/>
      <c r="O10" s="40"/>
      <c r="P10" s="40"/>
      <c r="Q10" s="40"/>
      <c r="R10" s="33" t="e">
        <f t="shared" ref="R10" si="50" xml:space="preserve"> O10/L10</f>
        <v>#DIV/0!</v>
      </c>
      <c r="S10" s="33" t="e">
        <f t="shared" ref="S10" si="51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52" xml:space="preserve"> W10/T10</f>
        <v>#DIV/0!</v>
      </c>
      <c r="AA10" s="33" t="e">
        <f t="shared" ref="AA10" si="53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54" xml:space="preserve"> AE10/AB10</f>
        <v>#DIV/0!</v>
      </c>
      <c r="AI10" s="33" t="e">
        <f t="shared" ref="AI10" si="55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v>112</v>
      </c>
      <c r="D16" s="20">
        <v>241.5</v>
      </c>
    </row>
    <row r="17" spans="2:4" x14ac:dyDescent="0.3">
      <c r="B17" t="s">
        <v>264</v>
      </c>
      <c r="C17" s="20">
        <f>GETPIVOTDATA("Epic Not Decomposed Estimate",$B$3)</f>
        <v>60</v>
      </c>
      <c r="D17" s="20">
        <f>GETPIVOTDATA("Story Points",$G$5)</f>
        <v>35</v>
      </c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2020-02-26T12:47:06Z</dcterms:modified>
</cp:coreProperties>
</file>