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2.xml" ContentType="application/vnd.openxmlformats-officedocument.spreadsheetml.pivotTab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4.xml" ContentType="application/vnd.openxmlformats-officedocument.spreadsheetml.tab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pivotTables/pivotTable15.xml" ContentType="application/vnd.openxmlformats-officedocument.spreadsheetml.pivotTab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pivotTables/pivotTable16.xml" ContentType="application/vnd.openxmlformats-officedocument.spreadsheetml.pivotTable+xml"/>
  <Override PartName="/xl/tables/table5.xml" ContentType="application/vnd.openxmlformats-officedocument.spreadsheetml.table+xml"/>
  <Override PartName="/xl/drawings/drawing1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pivotTables/pivotTable17.xml" ContentType="application/vnd.openxmlformats-officedocument.spreadsheetml.pivotTable+xml"/>
  <Override PartName="/xl/tables/table6.xml" ContentType="application/vnd.openxmlformats-officedocument.spreadsheetml.table+xml"/>
  <Override PartName="/xl/drawings/drawing1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9.xml" ContentType="application/vnd.openxmlformats-officedocument.drawingml.chartshapes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6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E9912612-C09F-4FF6-9080-2FBA6B375F28}" xr6:coauthVersionLast="45" xr6:coauthVersionMax="45" xr10:uidLastSave="{00000000-0000-0000-0000-000000000000}"/>
  <bookViews>
    <workbookView xWindow="-108" yWindow="-108" windowWidth="23256" windowHeight="12576" tabRatio="650" xr2:uid="{00000000-000D-0000-FFFF-FFFF00000000}"/>
  </bookViews>
  <sheets>
    <sheet name="Release" sheetId="10" r:id="rId1"/>
    <sheet name="Admin" sheetId="19" r:id="rId2"/>
    <sheet name="Visio Import" sheetId="20" r:id="rId3"/>
    <sheet name="BoA Audit" sheetId="27" r:id="rId4"/>
    <sheet name="_ReleaseData" sheetId="9" state="hidden" r:id="rId5"/>
    <sheet name="_CumulativeFlowData " sheetId="26" state="hidden" r:id="rId6"/>
    <sheet name="Readiness" sheetId="23" r:id="rId7"/>
    <sheet name="_ReadinessData" sheetId="24" state="hidden" r:id="rId8"/>
    <sheet name="Team Backlog" sheetId="16" r:id="rId9"/>
    <sheet name="_TeamBacklogData" sheetId="15" state="hidden" r:id="rId10"/>
    <sheet name="Team Velocity" sheetId="21" r:id="rId11"/>
    <sheet name="_TeamVelocityData" sheetId="22" state="hidden" r:id="rId12"/>
    <sheet name="Active Sprint" sheetId="11" r:id="rId13"/>
    <sheet name="_ActiveSprintData" sheetId="12" state="hidden" r:id="rId14"/>
    <sheet name="Bugs" sheetId="13" r:id="rId15"/>
    <sheet name="_BugsData" sheetId="14" state="hidden" r:id="rId16"/>
    <sheet name="Issues" sheetId="2" state="hidden" r:id="rId17"/>
    <sheet name="Notes" sheetId="25" state="hidden" r:id="rId18"/>
  </sheets>
  <definedNames>
    <definedName name="_xlnm._FilterDatabase" localSheetId="16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>Table15[Stabilization and Holidays]</definedName>
  </definedNames>
  <calcPr calcId="191029"/>
  <pivotCaches>
    <pivotCache cacheId="255" r:id="rId19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0" i="26" l="1"/>
  <c r="AC9" i="26"/>
  <c r="AC8" i="26"/>
  <c r="AC7" i="26"/>
  <c r="AC6" i="26"/>
  <c r="AC5" i="26"/>
  <c r="U10" i="26"/>
  <c r="U9" i="26"/>
  <c r="U8" i="26"/>
  <c r="U7" i="26"/>
  <c r="U6" i="26"/>
  <c r="U5" i="26"/>
  <c r="M10" i="26"/>
  <c r="M9" i="26"/>
  <c r="M8" i="26"/>
  <c r="M7" i="26"/>
  <c r="M6" i="26"/>
  <c r="M5" i="26"/>
  <c r="E10" i="26"/>
  <c r="E9" i="26"/>
  <c r="E8" i="26"/>
  <c r="E7" i="26"/>
  <c r="E6" i="26"/>
  <c r="E5" i="26"/>
  <c r="G49" i="14" l="1"/>
  <c r="F49" i="14"/>
  <c r="E49" i="14"/>
  <c r="D49" i="14"/>
  <c r="C49" i="14"/>
  <c r="H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H42" i="14"/>
  <c r="G42" i="14"/>
  <c r="F42" i="14"/>
  <c r="E42" i="14"/>
  <c r="D42" i="14"/>
  <c r="C48" i="14"/>
  <c r="C47" i="14"/>
  <c r="C46" i="14"/>
  <c r="C45" i="14"/>
  <c r="C44" i="14"/>
  <c r="C43" i="14"/>
  <c r="C42" i="14"/>
  <c r="B48" i="14"/>
  <c r="B47" i="14"/>
  <c r="B46" i="14"/>
  <c r="B45" i="14"/>
  <c r="B44" i="14"/>
  <c r="B43" i="14"/>
  <c r="B42" i="14"/>
  <c r="Z10" i="26" l="1"/>
  <c r="K10" i="26"/>
  <c r="AA10" i="26"/>
  <c r="S10" i="26"/>
  <c r="R10" i="26"/>
  <c r="AI10" i="26"/>
  <c r="AH10" i="26"/>
  <c r="J10" i="26"/>
  <c r="G4" i="26"/>
  <c r="T4" i="9"/>
  <c r="AE4" i="26"/>
  <c r="AG4" i="26"/>
  <c r="L4" i="26"/>
  <c r="I4" i="26"/>
  <c r="C16" i="24"/>
  <c r="N4" i="9"/>
  <c r="T4" i="26"/>
  <c r="R4" i="9"/>
  <c r="Y4" i="26"/>
  <c r="P4" i="9"/>
  <c r="D4" i="26"/>
  <c r="D16" i="24"/>
  <c r="O4" i="9"/>
  <c r="X4" i="9"/>
  <c r="Q4" i="26"/>
  <c r="N4" i="26"/>
  <c r="B18" i="9"/>
  <c r="O4" i="26"/>
  <c r="W4" i="26"/>
  <c r="F4" i="26"/>
  <c r="V4" i="26"/>
  <c r="B14" i="9"/>
  <c r="V4" i="9"/>
  <c r="AD4" i="26"/>
  <c r="AB4" i="26"/>
  <c r="M4" i="9"/>
  <c r="AI9" i="26" l="1"/>
  <c r="R9" i="26"/>
  <c r="S9" i="26"/>
  <c r="AH9" i="26"/>
  <c r="K9" i="26"/>
  <c r="Z9" i="26"/>
  <c r="J9" i="26"/>
  <c r="AA9" i="26"/>
  <c r="AA8" i="26"/>
  <c r="R8" i="26"/>
  <c r="AH8" i="26"/>
  <c r="S8" i="26"/>
  <c r="K8" i="26"/>
  <c r="Z8" i="26"/>
  <c r="AI8" i="26"/>
  <c r="J8" i="26"/>
  <c r="J7" i="26"/>
  <c r="AH7" i="26"/>
  <c r="S7" i="26"/>
  <c r="R7" i="26"/>
  <c r="AA7" i="26"/>
  <c r="K7" i="26"/>
  <c r="AI7" i="26"/>
  <c r="Z7" i="26"/>
  <c r="K6" i="26" l="1"/>
  <c r="AH6" i="26"/>
  <c r="S6" i="26"/>
  <c r="J6" i="26"/>
  <c r="R6" i="26"/>
  <c r="AA6" i="26"/>
  <c r="AI6" i="26"/>
  <c r="Z6" i="26"/>
  <c r="AI5" i="26" l="1"/>
  <c r="AA5" i="26"/>
  <c r="R5" i="26"/>
  <c r="AH5" i="26"/>
  <c r="S5" i="26"/>
  <c r="K5" i="26"/>
  <c r="Z5" i="26"/>
  <c r="J5" i="26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AE31" i="2" l="1"/>
  <c r="AE30" i="2"/>
  <c r="K42" i="9"/>
  <c r="B19" i="9" l="1"/>
  <c r="I4" i="9" l="1"/>
  <c r="J4" i="9" s="1"/>
  <c r="M14" i="22" l="1"/>
  <c r="L14" i="22"/>
  <c r="E6" i="9" l="1"/>
  <c r="B22" i="9" s="1"/>
  <c r="B23" i="9" l="1"/>
  <c r="B2" i="9"/>
  <c r="AE35" i="2" l="1"/>
  <c r="AE34" i="2"/>
  <c r="AE36" i="2"/>
  <c r="AE33" i="2"/>
  <c r="AE32" i="2"/>
  <c r="H42" i="9"/>
  <c r="B13" i="15"/>
  <c r="B15" i="9" l="1"/>
  <c r="B11" i="9"/>
  <c r="E42" i="9"/>
  <c r="B41" i="9" l="1"/>
  <c r="B6" i="9"/>
  <c r="E15" i="12"/>
  <c r="C18" i="14"/>
  <c r="B3" i="9" l="1"/>
  <c r="I5" i="9"/>
  <c r="H6" i="9" s="1"/>
  <c r="H5" i="9"/>
  <c r="J5" i="9" l="1"/>
  <c r="I6" i="9"/>
  <c r="J6" i="9" s="1"/>
  <c r="I7" i="9" l="1"/>
  <c r="H7" i="9"/>
  <c r="J7" i="9" l="1"/>
  <c r="I8" i="9"/>
  <c r="H8" i="9"/>
  <c r="J8" i="9" l="1"/>
  <c r="H9" i="9"/>
  <c r="I9" i="9"/>
  <c r="I10" i="9" l="1"/>
  <c r="H10" i="9"/>
  <c r="J9" i="9"/>
  <c r="B7" i="9"/>
  <c r="J10" i="9" l="1"/>
  <c r="K6" i="9" s="1"/>
  <c r="L10" i="9" l="1"/>
  <c r="U10" i="9" s="1"/>
  <c r="K10" i="9"/>
  <c r="W10" i="9" s="1"/>
  <c r="L4" i="9"/>
  <c r="U4" i="9" s="1"/>
  <c r="L8" i="9"/>
  <c r="U8" i="9" s="1"/>
  <c r="K7" i="9"/>
  <c r="S7" i="9" s="1"/>
  <c r="L6" i="9"/>
  <c r="U6" i="9" s="1"/>
  <c r="K9" i="9"/>
  <c r="W9" i="9" s="1"/>
  <c r="L7" i="9"/>
  <c r="U7" i="9" s="1"/>
  <c r="L9" i="9"/>
  <c r="U9" i="9" s="1"/>
  <c r="K8" i="9"/>
  <c r="W8" i="9" s="1"/>
  <c r="K4" i="9"/>
  <c r="Q4" i="9" s="1"/>
  <c r="K5" i="9"/>
  <c r="W5" i="9" s="1"/>
  <c r="L5" i="9"/>
  <c r="U5" i="9" s="1"/>
  <c r="W6" i="9"/>
  <c r="S6" i="9"/>
  <c r="Q6" i="9"/>
  <c r="W7" i="9" l="1"/>
  <c r="Q7" i="9"/>
  <c r="Q10" i="9"/>
  <c r="S10" i="9"/>
  <c r="S8" i="9"/>
  <c r="S5" i="9"/>
  <c r="Q5" i="9"/>
  <c r="S4" i="9"/>
  <c r="Q9" i="9"/>
  <c r="Q8" i="9"/>
  <c r="S9" i="9"/>
  <c r="W4" i="9"/>
</calcChain>
</file>

<file path=xl/sharedStrings.xml><?xml version="1.0" encoding="utf-8"?>
<sst xmlns="http://schemas.openxmlformats.org/spreadsheetml/2006/main" count="1191" uniqueCount="283">
  <si>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</si>
  <si>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</si>
  <si>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</si>
  <si>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</si>
  <si>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</si>
  <si>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</si>
  <si>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</si>
  <si>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</si>
  <si>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</si>
  <si>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</si>
  <si>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</si>
  <si>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</si>
  <si>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</si>
  <si>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</si>
  <si>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</si>
  <si>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</si>
  <si>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</si>
  <si>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</si>
  <si>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</si>
  <si>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</si>
  <si>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</si>
  <si>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</si>
  <si>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</si>
  <si>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</si>
  <si>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</si>
  <si>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</si>
  <si>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</si>
  <si>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</si>
  <si>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</si>
  <si>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</si>
  <si>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</si>
  <si>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</si>
  <si>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</si>
  <si>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</si>
  <si>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</si>
  <si>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</si>
  <si>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</si>
  <si>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</si>
  <si>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</si>
  <si>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</si>
  <si>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</si>
  <si>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</si>
  <si>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</si>
  <si>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</si>
  <si>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</si>
  <si>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</si>
  <si>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</si>
  <si>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</si>
  <si>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</si>
  <si>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</si>
  <si>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</si>
  <si>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</si>
  <si>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</si>
  <si>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</si>
  <si>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</si>
  <si>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</si>
  <si>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</si>
  <si>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</si>
  <si>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</si>
  <si>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</si>
  <si>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</si>
  <si>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</si>
  <si>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</si>
  <si>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</si>
  <si>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</si>
  <si>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</si>
  <si>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</si>
  <si>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</si>
  <si>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</si>
  <si>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</si>
  <si>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</si>
  <si>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</si>
  <si>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</si>
  <si>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</si>
  <si>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</si>
  <si>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</si>
  <si>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</si>
  <si>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</si>
  <si>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</si>
  <si>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</si>
  <si>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</si>
  <si>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</si>
  <si>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</si>
  <si>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</si>
  <si>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</si>
  <si>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</si>
  <si>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</si>
  <si>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</si>
  <si>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</si>
  <si>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</si>
  <si>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</si>
  <si>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</si>
  <si>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</si>
  <si>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</si>
  <si>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</si>
  <si>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</si>
  <si>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</si>
  <si>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</si>
  <si>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</si>
  <si>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</si>
  <si>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</si>
  <si>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</si>
  <si>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</si>
  <si>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</si>
  <si>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</si>
  <si>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</si>
  <si>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</si>
  <si>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</si>
  <si>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</si>
  <si>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</si>
  <si>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</si>
  <si>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</si>
  <si>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</si>
  <si>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</si>
  <si>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</si>
  <si>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</si>
  <si>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</si>
  <si>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</si>
  <si>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</si>
  <si>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</si>
  <si>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</si>
  <si>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</si>
  <si>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</si>
  <si>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</si>
  <si>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</si>
  <si>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</si>
  <si>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</si>
  <si>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</si>
  <si>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</si>
  <si>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</si>
  <si>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</si>
  <si>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</si>
  <si>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</si>
  <si>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</si>
  <si>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</si>
  <si>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</si>
  <si>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</si>
  <si>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</si>
  <si>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</si>
  <si>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</si>
  <si>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</si>
  <si>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</si>
  <si>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</si>
  <si>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</si>
  <si>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</si>
  <si>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</si>
  <si>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</si>
  <si>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</si>
  <si>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</si>
  <si>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</si>
  <si>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</si>
  <si>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</si>
  <si>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</si>
  <si>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</si>
  <si>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</si>
  <si>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</si>
  <si>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</si>
  <si>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</si>
  <si>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</si>
  <si>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</si>
  <si>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</si>
  <si>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</si>
  <si>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</si>
  <si>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</si>
  <si>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</si>
  <si>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</si>
  <si>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</si>
  <si>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</si>
  <si>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</si>
  <si>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</si>
  <si>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</si>
  <si>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</si>
  <si>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</si>
  <si>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</si>
  <si>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</si>
  <si>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</si>
  <si>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</si>
  <si>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</si>
  <si>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</si>
  <si>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</si>
  <si>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</si>
  <si>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</si>
  <si>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</si>
  <si>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</si>
  <si>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</si>
  <si>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</si>
  <si>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</si>
  <si>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</si>
  <si>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</si>
  <si>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</si>
  <si>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</si>
  <si>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</si>
  <si>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</si>
  <si>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</si>
  <si>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</si>
  <si>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</si>
  <si>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</si>
  <si>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</si>
  <si>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</si>
  <si>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</si>
  <si>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</si>
  <si>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</si>
  <si>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</si>
  <si>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</si>
  <si>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</si>
  <si>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</si>
  <si>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</si>
  <si>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</si>
  <si>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</si>
  <si>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</si>
  <si>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</si>
  <si>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</si>
  <si>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</si>
  <si>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</si>
  <si>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</si>
  <si>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</si>
  <si>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</si>
  <si>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</si>
  <si>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</si>
  <si>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</si>
  <si>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</si>
  <si>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</si>
  <si>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</si>
  <si>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</si>
  <si>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</si>
  <si>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</si>
  <si>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</si>
  <si>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</si>
  <si>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</si>
  <si>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</si>
  <si>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</si>
  <si>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</si>
  <si>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</si>
  <si>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</si>
  <si>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</si>
  <si>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</si>
  <si>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</si>
  <si>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</si>
  <si>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</si>
  <si>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</si>
  <si>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</si>
  <si>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</si>
  <si>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</si>
  <si>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</si>
  <si>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</si>
  <si>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</si>
  <si>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</si>
  <si>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</si>
  <si>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</si>
  <si>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</si>
  <si>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</si>
  <si>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</si>
  <si>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</si>
  <si>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</si>
  <si>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</si>
  <si>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</si>
  <si>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Excel Export</t>
  </si>
  <si>
    <t>Venus</t>
  </si>
  <si>
    <t>&lt;mt:execute script="field-helper-tool.groovy"/&gt;&lt;mt:execute script="blueprint-helper.groovy"/&gt;&lt;mt:execute script="blueprint-wavelength-dashboard-helper.groovy"/&gt;</t>
  </si>
  <si>
    <t>${bpHelper.getWavelengthComponent(issue)}</t>
  </si>
  <si>
    <t>Visio Import</t>
  </si>
  <si>
    <t>BoA Audit</t>
  </si>
  <si>
    <t>Wavelength</t>
  </si>
  <si>
    <t>W1</t>
  </si>
  <si>
    <t>W2</t>
  </si>
  <si>
    <t>W3</t>
  </si>
  <si>
    <t>W4</t>
  </si>
  <si>
    <t>W5</t>
  </si>
  <si>
    <t>W6</t>
  </si>
  <si>
    <t>W7</t>
  </si>
  <si>
    <t>$[SUBSTITUTE(SUBSTITUTE(AE2, "avelength", ""), "enus", "")]</t>
  </si>
  <si>
    <t>Wavelength1</t>
  </si>
  <si>
    <t>Wavelength2</t>
  </si>
  <si>
    <t>Wavelength3</t>
  </si>
  <si>
    <t>Wavelength4</t>
  </si>
  <si>
    <t>Wavelength5</t>
  </si>
  <si>
    <t>Wavelength6</t>
  </si>
  <si>
    <t>Wavelength7</t>
  </si>
  <si>
    <t>Time Elapsed BoA Audit</t>
  </si>
  <si>
    <t>Visio Import/Export</t>
  </si>
  <si>
    <t>Logging and Audit</t>
  </si>
  <si>
    <t>Release, Admin, Visio Import</t>
  </si>
  <si>
    <t>Release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</si>
</sst>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87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6" fillId="9" borderId="23" xfId="0" applyFont="1" applyFill="1" applyBorder="1" applyAlignment="1">
      <alignment horizontal="left"/>
    </xf>
    <xf numFmtId="0" fontId="6" fillId="9" borderId="23" xfId="0" applyNumberFormat="1" applyFont="1" applyFill="1" applyBorder="1"/>
    <xf numFmtId="0" fontId="13" fillId="0" borderId="0" xfId="0" applyFont="1"/>
    <xf numFmtId="0" fontId="14" fillId="9" borderId="22" xfId="0" applyFont="1" applyFill="1" applyBorder="1"/>
    <xf numFmtId="0" fontId="0" fillId="0" borderId="4" xfId="0" applyBorder="1"/>
    <xf numFmtId="0" fontId="9" fillId="6" borderId="8" xfId="2"/>
    <xf numFmtId="0" fontId="12" fillId="8" borderId="11" xfId="5" applyAlignment="1">
      <alignment horizontal="center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0000FF"/>
      <color rgb="FFBFBFB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_ReleaseData!$N$3:$N$10</c:f>
              <c:numCache>
                <c:formatCode>0%</c:formatCode>
                <c:ptCount val="8"/>
                <c:pt idx="0">
                  <c:v>0.28999999999999998</c:v>
                </c:pt>
                <c:pt idx="1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_ReleaseData!$S$3:$S$10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_ReleaseData!$T$3:$T$10</c:f>
              <c:numCache>
                <c:formatCode>0.0</c:formatCode>
                <c:ptCount val="8"/>
                <c:pt idx="0">
                  <c:v>136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'!$L$3:$L$10</c:f>
              <c:numCache>
                <c:formatCode>0.0</c:formatCode>
                <c:ptCount val="8"/>
                <c:pt idx="0">
                  <c:v>191.8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'!$N$3:$N$10</c:f>
              <c:numCache>
                <c:formatCode>0.0</c:formatCode>
                <c:ptCount val="8"/>
                <c:pt idx="0">
                  <c:v>124.8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'!$O$3:$O$10</c:f>
              <c:numCache>
                <c:formatCode>0.0</c:formatCode>
                <c:ptCount val="8"/>
                <c:pt idx="0">
                  <c:v>120.8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'!$P$3:$P$10</c:f>
              <c:numCache>
                <c:formatCode>0.0</c:formatCode>
                <c:ptCount val="8"/>
                <c:pt idx="0">
                  <c:v>55.800000000000011</c:v>
                </c:pt>
                <c:pt idx="1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'!$M$3:$M$10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/>
              <a:t>Visio Import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_ReleaseData!$L$3:$L$10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_ReleaseData!$O$3:$O$10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Backlog by State</a:t>
            </a:r>
            <a:endParaRPr lang="en-US"/>
          </a:p>
        </c:rich>
      </c:tx>
      <c:layout>
        <c:manualLayout>
          <c:xMode val="edge"/>
          <c:yMode val="edge"/>
          <c:x val="0.27691219191259592"/>
          <c:y val="4.5977011494252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Visio Import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_ReleaseData!$U$3:$U$10</c:f>
              <c:numCache>
                <c:formatCode>0.0</c:formatCode>
                <c:ptCount val="8"/>
                <c:pt idx="0">
                  <c:v>200</c:v>
                </c:pt>
                <c:pt idx="1">
                  <c:v>173.13432835820896</c:v>
                </c:pt>
                <c:pt idx="2">
                  <c:v>143.28358208955225</c:v>
                </c:pt>
                <c:pt idx="3">
                  <c:v>113.43283582089553</c:v>
                </c:pt>
                <c:pt idx="4">
                  <c:v>83.582089552238799</c:v>
                </c:pt>
                <c:pt idx="5">
                  <c:v>56.716417910447767</c:v>
                </c:pt>
                <c:pt idx="6">
                  <c:v>26.865671641791057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_ReleaseData!$V$3:$V$10</c:f>
              <c:numCache>
                <c:formatCode>0.0</c:formatCode>
                <c:ptCount val="8"/>
                <c:pt idx="0">
                  <c:v>178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Visio Import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'!$T$3:$T$10</c:f>
              <c:numCache>
                <c:formatCode>0.0</c:formatCode>
                <c:ptCount val="8"/>
                <c:pt idx="0">
                  <c:v>178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'!$V$3:$V$10</c:f>
              <c:numCache>
                <c:formatCode>0.0</c:formatCode>
                <c:ptCount val="8"/>
                <c:pt idx="0">
                  <c:v>178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'!$W$3:$W$10</c:f>
              <c:numCache>
                <c:formatCode>0.0</c:formatCode>
                <c:ptCount val="8"/>
                <c:pt idx="0">
                  <c:v>117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'!$X$3:$X$10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8.0128205128205135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'!$U$3:$U$10</c:f>
              <c:numCache>
                <c:formatCode>0</c:formatCode>
                <c:ptCount val="8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baseline="0"/>
              <a:t>BoA Audit Progress</a:t>
            </a:r>
            <a:endParaRPr lang="en-US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_ReleaseData!$P$3:$P$10</c:f>
              <c:numCache>
                <c:formatCode>0%</c:formatCode>
                <c:ptCount val="8"/>
                <c:pt idx="0">
                  <c:v>0</c:v>
                </c:pt>
                <c:pt idx="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_ReleaseData!$W$3:$W$10</c:f>
              <c:numCache>
                <c:formatCode>0.0</c:formatCode>
                <c:ptCount val="8"/>
                <c:pt idx="0">
                  <c:v>60</c:v>
                </c:pt>
                <c:pt idx="1">
                  <c:v>51.940298507462693</c:v>
                </c:pt>
                <c:pt idx="2">
                  <c:v>42.985074626865675</c:v>
                </c:pt>
                <c:pt idx="3">
                  <c:v>34.029850746268664</c:v>
                </c:pt>
                <c:pt idx="4">
                  <c:v>25.07462686567164</c:v>
                </c:pt>
                <c:pt idx="5">
                  <c:v>17.014925373134332</c:v>
                </c:pt>
                <c:pt idx="6">
                  <c:v>8.0597014925373163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_ReleaseData!$X$3:$X$10</c:f>
              <c:numCache>
                <c:formatCode>0.0</c:formatCode>
                <c:ptCount val="8"/>
                <c:pt idx="0">
                  <c:v>59</c:v>
                </c:pt>
                <c:pt idx="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BoA Audit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'!$AB$3:$AB$10</c:f>
              <c:numCache>
                <c:formatCode>0.0</c:formatCode>
                <c:ptCount val="8"/>
                <c:pt idx="0">
                  <c:v>59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'!$AD$3:$AD$10</c:f>
              <c:numCache>
                <c:formatCode>0.0</c:formatCode>
                <c:ptCount val="8"/>
                <c:pt idx="0">
                  <c:v>59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'!$AE$3:$AE$10</c:f>
              <c:numCache>
                <c:formatCode>0.0</c:formatCode>
                <c:ptCount val="8"/>
                <c:pt idx="0">
                  <c:v>59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'!$AF$3:$AF$10</c:f>
              <c:numCache>
                <c:formatCode>0.0</c:formatCode>
                <c:ptCount val="8"/>
                <c:pt idx="0">
                  <c:v>0</c:v>
                </c:pt>
                <c:pt idx="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'!$AC$3:$AC$10</c:f>
              <c:numCache>
                <c:formatCode>0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[Wavelength-Dashboard.xlsx]_ReleaseData!PivotTable6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BoA Audit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_ReadinessData!$C$16:$C$22</c:f>
              <c:numCache>
                <c:formatCode>General</c:formatCode>
                <c:ptCount val="7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_ReadinessData!$B$16:$B$22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_ReadinessData!$D$16:$D$22</c:f>
              <c:numCache>
                <c:formatCode>General</c:formatCode>
                <c:ptCount val="7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_TeamVelocityData!$B$6:$B$13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_TeamVelocityData!$C$6:$C$13</c:f>
              <c:numCache>
                <c:formatCode>General</c:formatCode>
                <c:ptCount val="7"/>
                <c:pt idx="0">
                  <c:v>100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_ReleaseData!$K$3:$K$10</c:f>
              <c:numCache>
                <c:formatCode>0%</c:formatCode>
                <c:ptCount val="8"/>
                <c:pt idx="0">
                  <c:v>0</c:v>
                </c:pt>
                <c:pt idx="1">
                  <c:v>0.13432835820895522</c:v>
                </c:pt>
                <c:pt idx="2">
                  <c:v>0.28358208955223879</c:v>
                </c:pt>
                <c:pt idx="3">
                  <c:v>0.43283582089552236</c:v>
                </c:pt>
                <c:pt idx="4">
                  <c:v>0.58208955223880599</c:v>
                </c:pt>
                <c:pt idx="5">
                  <c:v>0.71641791044776115</c:v>
                </c:pt>
                <c:pt idx="6">
                  <c:v>0.86567164179104472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_ReleaseData!$M$3:$M$10</c:f>
              <c:numCache>
                <c:formatCode>0%</c:formatCode>
                <c:ptCount val="8"/>
                <c:pt idx="0">
                  <c:v>0.11</c:v>
                </c:pt>
                <c:pt idx="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Wavelength1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Wavelength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_BugsData!$C$41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_BugsData!$C$42:$C$48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_BugsData!$D$42:$D$48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_BugsData!$E$42:$E$48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_BugsData!$F$42:$F$48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_BugsData!$G$41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_BugsData!$G$42:$G$48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_BugsData!$H$41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_BugsData!$B$42:$B$48</c:f>
              <c:strCache>
                <c:ptCount val="7"/>
                <c:pt idx="0">
                  <c:v>W1</c:v>
                </c:pt>
                <c:pt idx="1">
                  <c:v>W2</c:v>
                </c:pt>
                <c:pt idx="2">
                  <c:v>W3</c:v>
                </c:pt>
                <c:pt idx="3">
                  <c:v>W4</c:v>
                </c:pt>
                <c:pt idx="4">
                  <c:v>W5</c:v>
                </c:pt>
                <c:pt idx="5">
                  <c:v>W6</c:v>
                </c:pt>
                <c:pt idx="6">
                  <c:v>W7</c:v>
                </c:pt>
              </c:strCache>
            </c:strRef>
          </c:cat>
          <c:val>
            <c:numRef>
              <c:f>_BugsData!$H$42:$H$48</c:f>
              <c:numCache>
                <c:formatCode>General</c:formatCode>
                <c:ptCount val="7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_ReleaseData!$A$55:$A$60</c:f>
              <c:strCache>
                <c:ptCount val="5"/>
                <c:pt idx="0">
                  <c:v>Admin</c:v>
                </c:pt>
                <c:pt idx="1">
                  <c:v>Visio Import</c:v>
                </c:pt>
                <c:pt idx="2">
                  <c:v>BoA Audit</c:v>
                </c:pt>
                <c:pt idx="3">
                  <c:v>R&amp;D Bucket</c:v>
                </c:pt>
                <c:pt idx="4">
                  <c:v>Other</c:v>
                </c:pt>
              </c:strCache>
            </c:strRef>
          </c:cat>
          <c:val>
            <c:numRef>
              <c:f>_ReleaseData!$B$55:$B$60</c:f>
              <c:numCache>
                <c:formatCode>General</c:formatCode>
                <c:ptCount val="5"/>
                <c:pt idx="0">
                  <c:v>250</c:v>
                </c:pt>
                <c:pt idx="1">
                  <c:v>100</c:v>
                </c:pt>
                <c:pt idx="2">
                  <c:v>150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_ReleaseData!$Q$3:$Q$10</c:f>
              <c:numCache>
                <c:formatCode>0.0</c:formatCode>
                <c:ptCount val="8"/>
                <c:pt idx="0">
                  <c:v>470</c:v>
                </c:pt>
                <c:pt idx="1">
                  <c:v>406.8656716417911</c:v>
                </c:pt>
                <c:pt idx="2">
                  <c:v>336.71641791044777</c:v>
                </c:pt>
                <c:pt idx="3">
                  <c:v>266.56716417910451</c:v>
                </c:pt>
                <c:pt idx="4">
                  <c:v>196.41791044776119</c:v>
                </c:pt>
                <c:pt idx="5">
                  <c:v>133.28358208955225</c:v>
                </c:pt>
                <c:pt idx="6">
                  <c:v>63.134328358208982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_ReleaseData!$R$3:$R$10</c:f>
              <c:numCache>
                <c:formatCode>0.0</c:formatCode>
                <c:ptCount val="8"/>
                <c:pt idx="0">
                  <c:v>465</c:v>
                </c:pt>
                <c:pt idx="1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'!$D$3:$D$10</c:f>
              <c:numCache>
                <c:formatCode>0.0</c:formatCode>
                <c:ptCount val="8"/>
                <c:pt idx="0">
                  <c:v>520.79999999999995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'!$F$3:$F$10</c:f>
              <c:numCache>
                <c:formatCode>0.0</c:formatCode>
                <c:ptCount val="8"/>
                <c:pt idx="0">
                  <c:v>443.8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'!$G$3:$G$10</c:f>
              <c:numCache>
                <c:formatCode>0.0</c:formatCode>
                <c:ptCount val="8"/>
                <c:pt idx="0">
                  <c:v>378.3</c:v>
                </c:pt>
                <c:pt idx="1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'!$H$3:$H$10</c:f>
              <c:numCache>
                <c:formatCode>0.0</c:formatCode>
                <c:ptCount val="8"/>
                <c:pt idx="0">
                  <c:v>55.799999999999955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A34-47F5-9992-3718133B131F}"/>
                </c:ext>
              </c:extLst>
            </c:dLbl>
            <c:dLbl>
              <c:idx val="6"/>
              <c:layout>
                <c:manualLayout>
                  <c:x val="8.566978193146417E-2"/>
                  <c:y val="-1.5815322245987568E-16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A34-47F5-9992-3718133B131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D30-4180-A39C-A49E1B8CB681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'!$A$3:$A$10</c:f>
              <c:strCache>
                <c:ptCount val="8"/>
                <c:pt idx="1">
                  <c:v>W1</c:v>
                </c:pt>
                <c:pt idx="2">
                  <c:v>W2</c:v>
                </c:pt>
                <c:pt idx="3">
                  <c:v>W3</c:v>
                </c:pt>
                <c:pt idx="4">
                  <c:v>W4</c:v>
                </c:pt>
                <c:pt idx="5">
                  <c:v>W5</c:v>
                </c:pt>
                <c:pt idx="6">
                  <c:v>W6</c:v>
                </c:pt>
                <c:pt idx="7">
                  <c:v>W7</c:v>
                </c:pt>
              </c:strCache>
            </c:strRef>
          </c:cat>
          <c:val>
            <c:numRef>
              <c:f>'_CumulativeFlowData '!$E$3:$E$10</c:f>
              <c:numCache>
                <c:formatCode>0</c:formatCode>
                <c:ptCount val="8"/>
                <c:pt idx="0">
                  <c:v>470</c:v>
                </c:pt>
                <c:pt idx="1">
                  <c:v>470</c:v>
                </c:pt>
                <c:pt idx="2">
                  <c:v>470</c:v>
                </c:pt>
                <c:pt idx="3">
                  <c:v>470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[Wavelength-Dashboard.xlsx]_ReleaseData!PivotTable11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0.13432835820895522</c:v>
                </c:pt>
                <c:pt idx="1">
                  <c:v>0.86567164179104483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33338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9</xdr:col>
      <xdr:colOff>628663</xdr:colOff>
      <xdr:row>9</xdr:row>
      <xdr:rowOff>64661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438913" y="168391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128586</xdr:colOff>
      <xdr:row>0</xdr:row>
      <xdr:rowOff>152400</xdr:rowOff>
    </xdr:from>
    <xdr:to>
      <xdr:col>20</xdr:col>
      <xdr:colOff>228599</xdr:colOff>
      <xdr:row>19</xdr:row>
      <xdr:rowOff>61913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0.46227</cdr:y>
    </cdr:from>
    <cdr:to>
      <cdr:x>0.6141</cdr:x>
      <cdr:y>0.56465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533536" y="1547682"/>
          <a:ext cx="914397" cy="34277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-50%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3886.875072800925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19">
        <s v="${fieldHelper.getFieldValueByName(issue, &quot;ST:Components&quot;)}"/>
        <m/>
        <s v="Admin"/>
        <s v="Visio Import/Export"/>
        <s v="Logging and Audit"/>
        <s v="Doc Gen" u="1"/>
        <s v="Reuse" u="1"/>
        <s v="Diagram Editor" u="1"/>
        <s v="Traces" u="1"/>
        <s v="Excel Export" u="1"/>
        <s v="DevOps" u="1"/>
        <s v="Artifact List" u="1"/>
        <s v="Glossary" u="1"/>
        <s v="Cross Project Move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66">
        <s v="${bpHelper.getLastSprint(issue)}"/>
        <m/>
        <s v="Wavelength1"/>
        <s v="Wavelength2"/>
        <s v="Wavelength3"/>
        <s v="Wavelength4"/>
        <s v="Wavelength5"/>
        <s v="Wavelength6"/>
        <s v="Wavelength7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Pegasus6" u="1"/>
        <s v="Venus2" u="1"/>
        <s v="Quasar10" u="1"/>
        <s v="Saturn1" u="1"/>
        <s v="Saturn2" u="1"/>
        <s v="Saturn3" u="1"/>
        <s v="Quasar13" u="1"/>
        <s v="Titan2" u="1"/>
        <s v="Saturn4" u="1"/>
        <s v="Saturn5" u="1"/>
        <s v="Saturn6" u="1"/>
        <s v="Saturn7" u="1"/>
        <s v="Venus5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73">
        <s v="$[SUBSTITUTE(SUBSTITUTE(AE2, &quot;avelength&quot;, &quot;&quot;), &quot;enus&quot;, &quot;&quot;)]"/>
        <m/>
        <s v="W1"/>
        <s v="W2"/>
        <s v="W3"/>
        <s v="W4"/>
        <s v="W5"/>
        <s v="W6"/>
        <s v="W7"/>
        <s v="U1" u="1"/>
        <s v="R6" u="1"/>
        <s v="Q1" u="1"/>
        <s v="S4" u="1"/>
        <s v="U7" u="1"/>
        <s v="T2" u="1"/>
        <s v="Q7" u="1"/>
        <s v="P2" u="1"/>
        <s v="V5" u="1"/>
        <s v="R5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Q12" u="1"/>
        <s v="V4" u="1"/>
        <s v="Q13" u="1"/>
        <s v="Q14" u="1"/>
        <s v="R4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V3" u="1"/>
        <s v="R3" u="1"/>
        <s v="T6" u="1"/>
        <s v="S1" u="1"/>
        <s v="P6" u="1"/>
        <s v="U4" u="1"/>
        <s v="$[SUBSTITUTE(AE2, &quot;uasar&quot;, &quot;&quot;)]" u="1"/>
        <s v="Q4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0">
        <s v="${issue.fixVersions.name}"/>
        <m/>
        <s v="Venus"/>
        <s v="Wavelength"/>
        <s v="Titan" u="1"/>
        <s v="Ursa" u="1"/>
        <s v="Rocket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8">
        <s v="${bpHelper.getWavelengthComponent(issue)}"/>
        <m/>
        <s v="Visio Import"/>
        <s v="Admin"/>
        <s v="BoA Audit"/>
        <s v="DevOps"/>
        <s v="R&amp;D Bucket"/>
        <s v="Other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7"/>
    <x v="1"/>
    <x v="1"/>
    <x v="1"/>
    <x v="7"/>
    <x v="7"/>
    <m/>
    <x v="3"/>
    <s v="Unassigned"/>
    <m/>
    <m/>
    <m/>
    <m/>
    <m/>
    <x v="1"/>
    <x v="2"/>
    <x v="3"/>
  </r>
  <r>
    <s v="key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8"/>
    <x v="1"/>
    <x v="1"/>
    <x v="1"/>
    <x v="8"/>
    <x v="1"/>
    <m/>
    <x v="2"/>
    <s v="RD"/>
    <m/>
    <m/>
    <m/>
    <m/>
    <m/>
    <x v="1"/>
    <x v="2"/>
    <x v="3"/>
  </r>
  <r>
    <s v="key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8"/>
    <x v="7"/>
    <x v="1"/>
    <x v="1"/>
    <x v="1"/>
    <x v="1"/>
    <m/>
    <x v="1"/>
    <m/>
    <m/>
    <m/>
    <m/>
    <m/>
    <m/>
    <x v="3"/>
    <x v="2"/>
    <x v="1"/>
  </r>
  <r>
    <s v="key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7"/>
    <x v="5"/>
    <x v="1"/>
    <x v="1"/>
    <x v="1"/>
    <x v="1"/>
    <m/>
    <x v="1"/>
    <m/>
    <m/>
    <m/>
    <m/>
    <m/>
    <m/>
    <x v="7"/>
    <x v="2"/>
    <x v="1"/>
  </r>
  <r>
    <s v="key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3"/>
    <x v="7"/>
    <x v="1"/>
    <x v="1"/>
    <x v="1"/>
    <x v="1"/>
    <m/>
    <x v="1"/>
    <m/>
    <m/>
    <m/>
    <m/>
    <m/>
    <m/>
    <x v="1"/>
    <x v="2"/>
    <x v="1"/>
  </r>
  <r>
    <s v="key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8"/>
    <x v="2"/>
    <x v="1"/>
    <x v="1"/>
    <x v="1"/>
    <x v="1"/>
    <m/>
    <x v="1"/>
    <m/>
    <m/>
    <m/>
    <m/>
    <m/>
    <m/>
    <x v="1"/>
    <x v="2"/>
    <x v="1"/>
  </r>
  <r>
    <s v="key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5"/>
    <x v="2"/>
    <x v="1"/>
    <x v="1"/>
    <x v="1"/>
    <x v="1"/>
    <m/>
    <x v="1"/>
    <m/>
    <m/>
    <m/>
    <m/>
    <m/>
    <m/>
    <x v="1"/>
    <x v="2"/>
    <x v="1"/>
  </r>
  <r>
    <s v="key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2"/>
    <x v="1"/>
    <m/>
    <x v="1"/>
    <m/>
    <m/>
    <m/>
    <m/>
    <m/>
    <m/>
    <x v="1"/>
    <x v="2"/>
    <x v="1"/>
  </r>
  <r>
    <s v="key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3"/>
    <x v="1"/>
    <m/>
    <x v="1"/>
    <m/>
    <m/>
    <m/>
    <m/>
    <m/>
    <m/>
    <x v="1"/>
    <x v="2"/>
    <x v="1"/>
  </r>
  <r>
    <s v="key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4"/>
    <x v="1"/>
    <m/>
    <x v="1"/>
    <m/>
    <m/>
    <m/>
    <m/>
    <m/>
    <m/>
    <x v="1"/>
    <x v="2"/>
    <x v="1"/>
  </r>
  <r>
    <s v="key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5"/>
    <x v="1"/>
    <m/>
    <x v="1"/>
    <m/>
    <m/>
    <m/>
    <m/>
    <m/>
    <m/>
    <x v="1"/>
    <x v="2"/>
    <x v="1"/>
  </r>
  <r>
    <s v="key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6"/>
    <x v="1"/>
    <m/>
    <x v="1"/>
    <m/>
    <m/>
    <m/>
    <m/>
    <m/>
    <m/>
    <x v="1"/>
    <x v="2"/>
    <x v="1"/>
  </r>
  <r>
    <s v="key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7"/>
    <x v="1"/>
    <m/>
    <x v="1"/>
    <m/>
    <m/>
    <m/>
    <m/>
    <m/>
    <m/>
    <x v="1"/>
    <x v="2"/>
    <x v="1"/>
  </r>
  <r>
    <s v="key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2"/>
    <x v="1"/>
    <x v="1"/>
    <x v="1"/>
    <x v="8"/>
    <x v="1"/>
    <m/>
    <x v="1"/>
    <m/>
    <m/>
    <m/>
    <m/>
    <m/>
    <m/>
    <x v="1"/>
    <x v="2"/>
    <x v="1"/>
  </r>
  <r>
    <s v="key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2"/>
    <x v="1"/>
    <x v="1"/>
    <x v="1"/>
    <x v="1"/>
    <x v="1"/>
    <m/>
    <x v="1"/>
    <m/>
    <m/>
    <m/>
    <m/>
    <m/>
    <m/>
    <x v="1"/>
    <x v="2"/>
    <x v="1"/>
  </r>
  <r>
    <s v="key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7"/>
    <x v="3"/>
    <x v="5"/>
    <x v="1"/>
    <x v="1"/>
    <m/>
    <x v="2"/>
    <m/>
    <m/>
    <m/>
    <m/>
    <m/>
    <m/>
    <x v="1"/>
    <x v="2"/>
    <x v="1"/>
  </r>
  <r>
    <s v="key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8"/>
    <x v="3"/>
    <x v="1"/>
    <x v="1"/>
    <x v="1"/>
    <m/>
    <x v="1"/>
    <m/>
    <m/>
    <m/>
    <m/>
    <m/>
    <m/>
    <x v="1"/>
    <x v="2"/>
    <x v="1"/>
  </r>
  <r>
    <s v="key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7"/>
    <x v="1"/>
    <x v="1"/>
    <x v="1"/>
    <x v="1"/>
    <m/>
    <x v="6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0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x="1"/>
        <item m="1" x="11"/>
        <item m="1" x="7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1">
        <item h="1" x="0"/>
        <item m="1" x="8"/>
        <item m="1" x="9"/>
        <item h="1" x="1"/>
        <item m="1" x="6"/>
        <item m="1" x="7"/>
        <item h="1" m="1" x="4"/>
        <item h="1" m="1" x="5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5">
    <i>
      <x v="1"/>
    </i>
    <i>
      <x v="14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7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25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7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5">
    <i>
      <x v="3"/>
    </i>
    <i>
      <x v="14"/>
    </i>
    <i>
      <x v="17"/>
    </i>
    <i>
      <x v="18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9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74">
        <item h="1" m="1" x="52"/>
        <item h="1" m="1" x="46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67">
        <item x="0"/>
        <item m="1" x="56"/>
        <item m="1" x="16"/>
        <item m="1" x="30"/>
        <item m="1" x="57"/>
        <item m="1" x="20"/>
        <item m="1" x="31"/>
        <item m="1" x="59"/>
        <item m="1" x="21"/>
        <item m="1" x="9"/>
        <item m="1" x="33"/>
        <item m="1" x="61"/>
        <item m="1" x="25"/>
        <item m="1" x="37"/>
        <item m="1" x="62"/>
        <item m="1" x="11"/>
        <item m="1" x="12"/>
        <item m="1" x="13"/>
        <item m="1" x="14"/>
        <item m="1" x="15"/>
        <item m="1" x="17"/>
        <item m="1" x="18"/>
        <item m="1" x="19"/>
        <item x="1"/>
        <item m="1" x="47"/>
        <item m="1" x="48"/>
        <item m="1" x="50"/>
        <item m="1" x="51"/>
        <item m="1" x="53"/>
        <item m="1" x="54"/>
        <item m="1" x="55"/>
        <item m="1" x="34"/>
        <item m="1" x="35"/>
        <item m="1" x="36"/>
        <item m="1" x="39"/>
        <item m="1" x="40"/>
        <item m="1" x="41"/>
        <item m="1" x="42"/>
        <item m="1" x="60"/>
        <item m="1" x="38"/>
        <item m="1" x="27"/>
        <item m="1" x="64"/>
        <item m="1" x="44"/>
        <item m="1" x="29"/>
        <item m="1" x="10"/>
        <item m="1" x="52"/>
        <item m="1" x="26"/>
        <item m="1" x="49"/>
        <item m="1" x="23"/>
        <item m="1" x="46"/>
        <item m="1" x="22"/>
        <item m="1" x="45"/>
        <item m="1" x="58"/>
        <item m="1" x="32"/>
        <item m="1" x="24"/>
        <item m="1" x="63"/>
        <item m="1" x="43"/>
        <item m="1" x="28"/>
        <item m="1" x="65"/>
        <item x="2"/>
        <item x="3"/>
        <item x="4"/>
        <item x="5"/>
        <item x="6"/>
        <item x="7"/>
        <item x="8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59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9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8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74">
        <item h="1" m="1" x="52"/>
        <item h="1" m="1" x="11"/>
        <item h="1" m="1" x="66"/>
        <item h="1" m="1" x="56"/>
        <item h="1" m="1" x="47"/>
        <item h="1" m="1" x="39"/>
        <item h="1" m="1" x="24"/>
        <item h="1" m="1" x="15"/>
        <item h="1" m="1" x="70"/>
        <item h="1" m="1" x="61"/>
        <item h="1" x="1"/>
        <item h="1" m="1" x="26"/>
        <item h="1" m="1" x="27"/>
        <item h="1" m="1" x="28"/>
        <item h="1" m="1" x="30"/>
        <item h="1" m="1" x="31"/>
        <item h="1" m="1" x="46"/>
        <item h="1" m="1" x="38"/>
        <item h="1" m="1" x="36"/>
        <item h="1" m="1" x="35"/>
        <item h="1" m="1" x="25"/>
        <item h="1" m="1" x="16"/>
        <item h="1" m="1" x="71"/>
        <item h="1" m="1" x="62"/>
        <item h="1" m="1" x="54"/>
        <item h="1" m="1" x="44"/>
        <item h="1" m="1" x="59"/>
        <item h="1" m="1" x="51"/>
        <item h="1" m="1" x="41"/>
        <item h="1" m="1" x="32"/>
        <item h="1" m="1" x="18"/>
        <item h="1" m="1" x="10"/>
        <item h="1" m="1" x="65"/>
        <item h="1" m="1" x="43"/>
        <item h="1" m="1" x="34"/>
        <item h="1" m="1" x="19"/>
        <item h="1" m="1" x="12"/>
        <item h="1" m="1" x="67"/>
        <item h="1" m="1" x="58"/>
        <item h="1" m="1" x="49"/>
        <item h="1" m="1" x="23"/>
        <item h="1" m="1" x="50"/>
        <item h="1" m="1" x="22"/>
        <item h="1" m="1" x="14"/>
        <item h="1" m="1" x="68"/>
        <item h="1" m="1" x="60"/>
        <item h="1" m="1" x="53"/>
        <item h="1" m="1" x="42"/>
        <item h="1" m="1" x="33"/>
        <item h="1" m="1" x="9"/>
        <item h="1" m="1" x="64"/>
        <item h="1" m="1" x="55"/>
        <item h="1" m="1" x="45"/>
        <item h="1" m="1" x="37"/>
        <item h="1" m="1" x="21"/>
        <item h="1" m="1" x="13"/>
        <item h="1" m="1" x="20"/>
        <item h="1" m="1" x="69"/>
        <item h="1" m="1" x="57"/>
        <item h="1" m="1" x="48"/>
        <item h="1" m="1" x="40"/>
        <item h="1" m="1" x="29"/>
        <item h="1" m="1" x="17"/>
        <item h="1" m="1" x="72"/>
        <item h="1" m="1" x="63"/>
        <item h="1" x="0"/>
        <item x="2"/>
        <item x="3"/>
        <item x="4"/>
        <item x="5"/>
        <item x="6"/>
        <item x="7"/>
        <item x="8"/>
        <item t="default"/>
      </items>
    </pivotField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8"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9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8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9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9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1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8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7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2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0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axis="axisRow" showAll="0">
      <items count="9">
        <item x="0"/>
        <item x="3"/>
        <item x="2"/>
        <item x="4"/>
        <item x="5"/>
        <item x="6"/>
        <item x="7"/>
        <item x="1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6"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3">
    <pageField fld="1" item="2" hier="-1"/>
    <pageField fld="32" item="9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25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0">
        <item x="0"/>
        <item m="1" x="11"/>
        <item m="1" x="7"/>
        <item x="1"/>
        <item m="1" x="13"/>
        <item m="1" x="15"/>
        <item m="1" x="10"/>
        <item m="1" x="6"/>
        <item m="1" x="14"/>
        <item m="1" x="12"/>
        <item m="1" x="5"/>
        <item m="1" x="16"/>
        <item m="1" x="8"/>
        <item m="1" x="18"/>
        <item x="2"/>
        <item m="1" x="17"/>
        <item m="1" x="9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1">
        <item x="0"/>
        <item m="1" x="8"/>
        <item m="1" x="9"/>
        <item x="1"/>
        <item m="1" x="6"/>
        <item m="1" x="7"/>
        <item m="1" x="4"/>
        <item m="1" x="5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9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8" totalsRowShown="0">
  <autoFilter ref="P24:Q28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1:H49" totalsRowShown="0" headerRowDxfId="8" headerRowBorderDxfId="7">
  <autoFilter ref="B41:H49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table" Target="../tables/table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3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135</v>
      </c>
      <c r="B1" t="s">
        <v>262</v>
      </c>
    </row>
    <row r="2" spans="1:2" x14ac:dyDescent="0.3">
      <c r="A2" s="16" t="s">
        <v>9</v>
      </c>
      <c r="B2" t="s">
        <v>153</v>
      </c>
    </row>
    <row r="3" spans="1:2" x14ac:dyDescent="0.3">
      <c r="A3" s="16" t="s">
        <v>113</v>
      </c>
      <c r="B3" t="s">
        <v>177</v>
      </c>
    </row>
    <row r="4" spans="1:2" x14ac:dyDescent="0.3">
      <c r="A4" s="16" t="s">
        <v>247</v>
      </c>
      <c r="B4" t="s">
        <v>218</v>
      </c>
    </row>
    <row r="6" spans="1:2" x14ac:dyDescent="0.3">
      <c r="A6" s="16" t="s">
        <v>140</v>
      </c>
      <c r="B6" t="s">
        <v>144</v>
      </c>
    </row>
    <row r="7" spans="1:2" x14ac:dyDescent="0.3">
      <c r="A7" s="17" t="s">
        <v>151</v>
      </c>
      <c r="B7" s="20">
        <v>100</v>
      </c>
    </row>
    <row r="8" spans="1:2" x14ac:dyDescent="0.3">
      <c r="A8" s="17" t="s">
        <v>149</v>
      </c>
      <c r="B8" s="20">
        <v>100</v>
      </c>
    </row>
    <row r="9" spans="1:2" x14ac:dyDescent="0.3">
      <c r="A9" s="17" t="s">
        <v>148</v>
      </c>
      <c r="B9" s="20">
        <v>100</v>
      </c>
    </row>
    <row r="10" spans="1:2" x14ac:dyDescent="0.3">
      <c r="A10" s="17" t="s">
        <v>175</v>
      </c>
      <c r="B10" s="20">
        <v>100</v>
      </c>
    </row>
    <row r="11" spans="1:2" x14ac:dyDescent="0.3">
      <c r="A11" s="17" t="s">
        <v>147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4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153</v>
      </c>
    </row>
    <row r="2" spans="2:13" x14ac:dyDescent="0.3">
      <c r="B2" s="16" t="s">
        <v>0</v>
      </c>
      <c r="C2" t="s">
        <v>153</v>
      </c>
    </row>
    <row r="3" spans="2:13" x14ac:dyDescent="0.3">
      <c r="B3" s="16" t="s">
        <v>247</v>
      </c>
      <c r="C3" t="s">
        <v>218</v>
      </c>
    </row>
    <row r="5" spans="2:13" x14ac:dyDescent="0.3">
      <c r="B5" s="16" t="s">
        <v>140</v>
      </c>
      <c r="C5" t="s">
        <v>144</v>
      </c>
      <c r="K5" s="39" t="s">
        <v>189</v>
      </c>
    </row>
    <row r="6" spans="2:13" x14ac:dyDescent="0.3">
      <c r="B6" s="17" t="s">
        <v>263</v>
      </c>
      <c r="C6" s="20">
        <v>100</v>
      </c>
      <c r="K6" t="s">
        <v>188</v>
      </c>
      <c r="L6" t="s">
        <v>237</v>
      </c>
      <c r="M6" t="s">
        <v>187</v>
      </c>
    </row>
    <row r="7" spans="2:13" x14ac:dyDescent="0.3">
      <c r="B7" s="17" t="s">
        <v>264</v>
      </c>
      <c r="C7" s="20">
        <v>60</v>
      </c>
      <c r="K7" t="s">
        <v>263</v>
      </c>
    </row>
    <row r="8" spans="2:13" x14ac:dyDescent="0.3">
      <c r="B8" s="17" t="s">
        <v>265</v>
      </c>
      <c r="C8" s="20">
        <v>30</v>
      </c>
      <c r="K8" t="s">
        <v>264</v>
      </c>
    </row>
    <row r="9" spans="2:13" x14ac:dyDescent="0.3">
      <c r="B9" s="17" t="s">
        <v>266</v>
      </c>
      <c r="C9" s="20">
        <v>60</v>
      </c>
      <c r="K9" t="s">
        <v>265</v>
      </c>
    </row>
    <row r="10" spans="2:13" x14ac:dyDescent="0.3">
      <c r="B10" s="17" t="s">
        <v>267</v>
      </c>
      <c r="C10" s="20">
        <v>60</v>
      </c>
      <c r="K10" t="s">
        <v>266</v>
      </c>
    </row>
    <row r="11" spans="2:13" x14ac:dyDescent="0.3">
      <c r="B11" s="17" t="s">
        <v>268</v>
      </c>
      <c r="C11" s="20">
        <v>60</v>
      </c>
      <c r="K11" t="s">
        <v>267</v>
      </c>
    </row>
    <row r="12" spans="2:13" x14ac:dyDescent="0.3">
      <c r="B12" s="17" t="s">
        <v>269</v>
      </c>
      <c r="C12" s="20"/>
      <c r="K12" t="s">
        <v>268</v>
      </c>
    </row>
    <row r="13" spans="2:13" x14ac:dyDescent="0.3">
      <c r="B13" s="17" t="s">
        <v>50</v>
      </c>
      <c r="C13" s="20">
        <v>370</v>
      </c>
      <c r="K13" t="s">
        <v>269</v>
      </c>
      <c r="M13" s="20"/>
    </row>
    <row r="14" spans="2:13" x14ac:dyDescent="0.3">
      <c r="K14" t="s">
        <v>187</v>
      </c>
      <c r="L14">
        <f>SUBTOTAL(109,Table1[R&amp;D])</f>
        <v>0</v>
      </c>
      <c r="M14">
        <f>SUBTOTAL(109,Table1[Total])</f>
        <v>0</v>
      </c>
    </row>
  </sheetData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143</v>
      </c>
      <c r="B1" t="str">
        <f>$E$2</f>
        <v>Wavelength1</v>
      </c>
      <c r="D1" s="16" t="s">
        <v>9</v>
      </c>
      <c r="E1" t="s">
        <v>153</v>
      </c>
    </row>
    <row r="2" spans="1:5" x14ac:dyDescent="0.3">
      <c r="D2" s="16" t="s">
        <v>141</v>
      </c>
      <c r="E2" t="s">
        <v>271</v>
      </c>
    </row>
    <row r="3" spans="1:5" x14ac:dyDescent="0.3">
      <c r="D3" s="16" t="s">
        <v>247</v>
      </c>
      <c r="E3" t="s">
        <v>218</v>
      </c>
    </row>
    <row r="5" spans="1:5" x14ac:dyDescent="0.3">
      <c r="D5" s="16" t="s">
        <v>140</v>
      </c>
      <c r="E5" t="s">
        <v>144</v>
      </c>
    </row>
    <row r="6" spans="1:5" x14ac:dyDescent="0.3">
      <c r="D6" s="17" t="s">
        <v>151</v>
      </c>
      <c r="E6" s="20">
        <v>1</v>
      </c>
    </row>
    <row r="7" spans="1:5" x14ac:dyDescent="0.3">
      <c r="D7" s="17" t="s">
        <v>149</v>
      </c>
      <c r="E7" s="20">
        <v>1</v>
      </c>
    </row>
    <row r="8" spans="1:5" x14ac:dyDescent="0.3">
      <c r="D8" s="17" t="s">
        <v>148</v>
      </c>
      <c r="E8" s="20">
        <v>1</v>
      </c>
    </row>
    <row r="9" spans="1:5" x14ac:dyDescent="0.3">
      <c r="D9" s="17" t="s">
        <v>175</v>
      </c>
      <c r="E9" s="20">
        <v>1</v>
      </c>
    </row>
    <row r="10" spans="1:5" x14ac:dyDescent="0.3">
      <c r="D10" s="17" t="s">
        <v>147</v>
      </c>
      <c r="E10" s="20">
        <v>1</v>
      </c>
    </row>
    <row r="11" spans="1:5" x14ac:dyDescent="0.3">
      <c r="D11" s="17" t="s">
        <v>150</v>
      </c>
      <c r="E11" s="20">
        <v>1</v>
      </c>
    </row>
    <row r="12" spans="1:5" x14ac:dyDescent="0.3">
      <c r="D12" s="17" t="s">
        <v>184</v>
      </c>
      <c r="E12" s="20">
        <v>20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252</v>
      </c>
      <c r="E16" t="str">
        <f>"Sprint " &amp; SUBSTITUTE($B$1,"Venus", "") &amp; " Progress"</f>
        <v>Sprint Wavelength1 Progress</v>
      </c>
    </row>
  </sheetData>
  <pageMargins left="0.7" right="0.7" top="0.75" bottom="0.75" header="0.3" footer="0.3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5.55468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154</v>
      </c>
    </row>
    <row r="2" spans="1:7" x14ac:dyDescent="0.3">
      <c r="A2" t="s">
        <v>161</v>
      </c>
      <c r="G2" t="s">
        <v>251</v>
      </c>
    </row>
    <row r="3" spans="1:7" x14ac:dyDescent="0.3">
      <c r="G3" t="s">
        <v>249</v>
      </c>
    </row>
    <row r="4" spans="1:7" x14ac:dyDescent="0.3">
      <c r="B4" s="16" t="s">
        <v>135</v>
      </c>
      <c r="C4" t="s">
        <v>262</v>
      </c>
    </row>
    <row r="5" spans="1:7" x14ac:dyDescent="0.3">
      <c r="B5" s="16" t="s">
        <v>9</v>
      </c>
      <c r="C5" t="s">
        <v>66</v>
      </c>
    </row>
    <row r="6" spans="1:7" x14ac:dyDescent="0.3">
      <c r="B6" s="16" t="s">
        <v>113</v>
      </c>
      <c r="C6" t="s">
        <v>177</v>
      </c>
    </row>
    <row r="7" spans="1:7" x14ac:dyDescent="0.3">
      <c r="B7" s="16" t="s">
        <v>0</v>
      </c>
      <c r="C7" t="s">
        <v>153</v>
      </c>
    </row>
    <row r="9" spans="1:7" x14ac:dyDescent="0.3">
      <c r="B9" s="16" t="s">
        <v>140</v>
      </c>
      <c r="C9" t="s">
        <v>160</v>
      </c>
    </row>
    <row r="10" spans="1:7" x14ac:dyDescent="0.3">
      <c r="B10" s="17" t="s">
        <v>155</v>
      </c>
      <c r="C10" s="20">
        <v>1</v>
      </c>
    </row>
    <row r="11" spans="1:7" x14ac:dyDescent="0.3">
      <c r="B11" s="17" t="s">
        <v>156</v>
      </c>
      <c r="C11" s="20">
        <v>1</v>
      </c>
    </row>
    <row r="12" spans="1:7" x14ac:dyDescent="0.3">
      <c r="B12" s="17" t="s">
        <v>157</v>
      </c>
      <c r="C12" s="20">
        <v>1</v>
      </c>
    </row>
    <row r="13" spans="1:7" x14ac:dyDescent="0.3">
      <c r="B13" s="17" t="s">
        <v>158</v>
      </c>
      <c r="C13" s="20">
        <v>1</v>
      </c>
    </row>
    <row r="14" spans="1:7" x14ac:dyDescent="0.3">
      <c r="B14" s="17" t="s">
        <v>159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135</v>
      </c>
      <c r="C24" t="s">
        <v>262</v>
      </c>
    </row>
    <row r="25" spans="2:8" x14ac:dyDescent="0.3">
      <c r="B25" s="16" t="s">
        <v>9</v>
      </c>
      <c r="C25" t="s">
        <v>66</v>
      </c>
    </row>
    <row r="26" spans="2:8" x14ac:dyDescent="0.3">
      <c r="B26" s="16" t="s">
        <v>113</v>
      </c>
      <c r="C26" t="s">
        <v>177</v>
      </c>
    </row>
    <row r="27" spans="2:8" x14ac:dyDescent="0.3">
      <c r="B27" s="16" t="s">
        <v>0</v>
      </c>
      <c r="C27" t="s">
        <v>81</v>
      </c>
    </row>
    <row r="29" spans="2:8" x14ac:dyDescent="0.3">
      <c r="B29" s="16" t="s">
        <v>160</v>
      </c>
      <c r="C29" s="16" t="s">
        <v>162</v>
      </c>
    </row>
    <row r="30" spans="2:8" x14ac:dyDescent="0.3">
      <c r="B30" s="16" t="s">
        <v>140</v>
      </c>
      <c r="C30" t="s">
        <v>155</v>
      </c>
      <c r="D30" t="s">
        <v>156</v>
      </c>
      <c r="E30" t="s">
        <v>157</v>
      </c>
      <c r="F30" t="s">
        <v>158</v>
      </c>
      <c r="G30" t="s">
        <v>159</v>
      </c>
      <c r="H30" t="s">
        <v>50</v>
      </c>
    </row>
    <row r="31" spans="2:8" x14ac:dyDescent="0.3">
      <c r="B31" s="17" t="s">
        <v>263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264</v>
      </c>
      <c r="C32" s="20"/>
      <c r="D32" s="20"/>
      <c r="E32" s="20"/>
      <c r="F32" s="20"/>
      <c r="G32" s="20"/>
      <c r="H32" s="20"/>
    </row>
    <row r="33" spans="2:8" x14ac:dyDescent="0.3">
      <c r="B33" s="17" t="s">
        <v>265</v>
      </c>
      <c r="C33" s="20"/>
      <c r="D33" s="20"/>
      <c r="E33" s="20"/>
      <c r="F33" s="20"/>
      <c r="G33" s="20"/>
      <c r="H33" s="20"/>
    </row>
    <row r="34" spans="2:8" x14ac:dyDescent="0.3">
      <c r="B34" s="17" t="s">
        <v>266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267</v>
      </c>
      <c r="C35" s="20"/>
      <c r="D35" s="20"/>
      <c r="E35" s="20"/>
      <c r="F35" s="20"/>
      <c r="G35" s="20"/>
      <c r="H35" s="20"/>
    </row>
    <row r="36" spans="2:8" x14ac:dyDescent="0.3">
      <c r="B36" s="17" t="s">
        <v>268</v>
      </c>
      <c r="C36" s="20"/>
      <c r="D36" s="20"/>
      <c r="E36" s="20"/>
      <c r="F36" s="20"/>
      <c r="G36" s="20"/>
      <c r="H36" s="20"/>
    </row>
    <row r="37" spans="2:8" x14ac:dyDescent="0.3">
      <c r="B37" s="17" t="s">
        <v>269</v>
      </c>
      <c r="C37" s="20"/>
      <c r="D37" s="20"/>
      <c r="E37" s="20"/>
      <c r="F37" s="20"/>
      <c r="G37" s="20"/>
      <c r="H37" s="20"/>
    </row>
    <row r="38" spans="2:8" x14ac:dyDescent="0.3">
      <c r="B38" s="17" t="s">
        <v>50</v>
      </c>
      <c r="C38" s="20">
        <v>2</v>
      </c>
      <c r="D38" s="20">
        <v>1</v>
      </c>
      <c r="E38" s="20">
        <v>1</v>
      </c>
      <c r="F38" s="20">
        <v>2</v>
      </c>
      <c r="G38" s="20">
        <v>1</v>
      </c>
      <c r="H38" s="20">
        <v>7</v>
      </c>
    </row>
    <row r="41" spans="2:8" x14ac:dyDescent="0.3">
      <c r="B41" s="83" t="s">
        <v>140</v>
      </c>
      <c r="C41" s="83" t="s">
        <v>155</v>
      </c>
      <c r="D41" s="83" t="s">
        <v>156</v>
      </c>
      <c r="E41" s="83" t="s">
        <v>157</v>
      </c>
      <c r="F41" s="83" t="s">
        <v>158</v>
      </c>
      <c r="G41" s="83" t="s">
        <v>159</v>
      </c>
      <c r="H41" s="83" t="s">
        <v>50</v>
      </c>
    </row>
    <row r="42" spans="2:8" x14ac:dyDescent="0.3">
      <c r="B42" s="17" t="str">
        <f>B31</f>
        <v>W1</v>
      </c>
      <c r="C42" s="20">
        <f>IF(C31=0,"",C31)</f>
        <v>2</v>
      </c>
      <c r="D42" s="20">
        <f t="shared" ref="D42:H42" si="0">IF(D31=0,"",D31)</f>
        <v>1</v>
      </c>
      <c r="E42" s="20">
        <f t="shared" si="0"/>
        <v>1</v>
      </c>
      <c r="F42" s="20">
        <f t="shared" si="0"/>
        <v>1</v>
      </c>
      <c r="G42" s="20">
        <f t="shared" si="0"/>
        <v>1</v>
      </c>
      <c r="H42" s="20">
        <f t="shared" si="0"/>
        <v>6</v>
      </c>
    </row>
    <row r="43" spans="2:8" x14ac:dyDescent="0.3">
      <c r="B43" s="17" t="str">
        <f t="shared" ref="B43:B48" si="1">B32</f>
        <v>W2</v>
      </c>
      <c r="C43" s="20" t="str">
        <f t="shared" ref="C43:H48" si="2">IF(C32=0,"",C32)</f>
        <v/>
      </c>
      <c r="D43" s="20" t="str">
        <f t="shared" si="2"/>
        <v/>
      </c>
      <c r="E43" s="20" t="str">
        <f t="shared" si="2"/>
        <v/>
      </c>
      <c r="F43" s="20" t="str">
        <f t="shared" si="2"/>
        <v/>
      </c>
      <c r="G43" s="20" t="str">
        <f t="shared" si="2"/>
        <v/>
      </c>
      <c r="H43" s="20" t="str">
        <f t="shared" si="2"/>
        <v/>
      </c>
    </row>
    <row r="44" spans="2:8" x14ac:dyDescent="0.3">
      <c r="B44" s="17" t="str">
        <f t="shared" si="1"/>
        <v>W3</v>
      </c>
      <c r="C44" s="20" t="str">
        <f t="shared" si="2"/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W4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>
        <f t="shared" si="2"/>
        <v>1</v>
      </c>
      <c r="G45" s="20" t="str">
        <f t="shared" si="2"/>
        <v/>
      </c>
      <c r="H45" s="20">
        <f t="shared" si="2"/>
        <v>1</v>
      </c>
    </row>
    <row r="46" spans="2:8" x14ac:dyDescent="0.3">
      <c r="B46" s="17" t="str">
        <f t="shared" si="1"/>
        <v>W5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 t="str">
        <f t="shared" si="2"/>
        <v/>
      </c>
      <c r="G46" s="20" t="str">
        <f t="shared" si="2"/>
        <v/>
      </c>
      <c r="H46" s="20" t="str">
        <f t="shared" si="2"/>
        <v/>
      </c>
    </row>
    <row r="47" spans="2:8" x14ac:dyDescent="0.3">
      <c r="B47" s="17" t="str">
        <f t="shared" si="1"/>
        <v>W6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W7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80" t="s">
        <v>50</v>
      </c>
      <c r="C49" s="81">
        <f t="shared" ref="C49:G49" si="3">C38</f>
        <v>2</v>
      </c>
      <c r="D49" s="81">
        <f t="shared" si="3"/>
        <v>1</v>
      </c>
      <c r="E49" s="81">
        <f t="shared" si="3"/>
        <v>1</v>
      </c>
      <c r="F49" s="81">
        <f t="shared" si="3"/>
        <v>2</v>
      </c>
      <c r="G49" s="81">
        <f t="shared" si="3"/>
        <v>1</v>
      </c>
      <c r="H49" s="81">
        <f>H38</f>
        <v>7</v>
      </c>
    </row>
    <row r="52" spans="2:11" x14ac:dyDescent="0.3">
      <c r="K52" s="82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117</v>
      </c>
      <c r="X1" s="1" t="s">
        <v>21</v>
      </c>
      <c r="Y1" s="1" t="s">
        <v>120</v>
      </c>
      <c r="Z1" s="1" t="s">
        <v>126</v>
      </c>
      <c r="AA1" s="1" t="s">
        <v>128</v>
      </c>
      <c r="AB1" s="1" t="s">
        <v>130</v>
      </c>
      <c r="AC1" s="1" t="s">
        <v>132</v>
      </c>
      <c r="AD1" s="1" t="s">
        <v>134</v>
      </c>
      <c r="AE1" s="1" t="s">
        <v>141</v>
      </c>
      <c r="AF1" s="1" t="s">
        <v>163</v>
      </c>
      <c r="AG1" s="1" t="s">
        <v>135</v>
      </c>
      <c r="AH1" s="1" t="s">
        <v>43</v>
      </c>
      <c r="AI1" s="1" t="s">
        <v>145</v>
      </c>
      <c r="AJ1" s="1" t="s">
        <v>282</v>
      </c>
      <c r="AK1" s="1" t="s">
        <v>44</v>
      </c>
      <c r="AL1" s="1" t="s">
        <v>113</v>
      </c>
      <c r="AM1" s="1" t="s">
        <v>114</v>
      </c>
      <c r="AN1" s="1" t="s">
        <v>170</v>
      </c>
      <c r="AO1" s="1" t="s">
        <v>169</v>
      </c>
      <c r="AP1" s="1" t="s">
        <v>171</v>
      </c>
      <c r="AQ1" s="1" t="s">
        <v>122</v>
      </c>
      <c r="AR1" s="1" t="s">
        <v>48</v>
      </c>
      <c r="AS1" s="1" t="s">
        <v>238</v>
      </c>
      <c r="AT1" s="1" t="s">
        <v>247</v>
      </c>
      <c r="AU1" s="1" t="s">
        <v>217</v>
      </c>
      <c r="AV1" s="3" t="s">
        <v>258</v>
      </c>
    </row>
    <row r="2" spans="1:48" s="5" customFormat="1" ht="86.4" x14ac:dyDescent="0.3">
      <c r="A2" s="6" t="s">
        <v>61</v>
      </c>
      <c r="B2" s="5" t="s">
        <v>60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118</v>
      </c>
      <c r="X2" s="10" t="s">
        <v>42</v>
      </c>
      <c r="Y2" s="10" t="s">
        <v>121</v>
      </c>
      <c r="Z2" s="11" t="s">
        <v>127</v>
      </c>
      <c r="AA2" s="11" t="s">
        <v>129</v>
      </c>
      <c r="AB2" s="11" t="s">
        <v>131</v>
      </c>
      <c r="AC2" s="15" t="s">
        <v>133</v>
      </c>
      <c r="AD2" s="15" t="s">
        <v>121</v>
      </c>
      <c r="AE2" s="15" t="s">
        <v>142</v>
      </c>
      <c r="AF2" s="15" t="s">
        <v>270</v>
      </c>
      <c r="AG2" s="15" t="s">
        <v>136</v>
      </c>
      <c r="AH2" s="10" t="s">
        <v>46</v>
      </c>
      <c r="AI2" s="10" t="s">
        <v>146</v>
      </c>
      <c r="AJ2" s="10" t="s">
        <v>259</v>
      </c>
      <c r="AK2" s="14" t="s">
        <v>49</v>
      </c>
      <c r="AL2" s="14" t="s">
        <v>116</v>
      </c>
      <c r="AM2" s="14" t="s">
        <v>115</v>
      </c>
      <c r="AN2" s="11" t="s">
        <v>164</v>
      </c>
      <c r="AO2" s="11" t="s">
        <v>165</v>
      </c>
      <c r="AP2" s="11" t="s">
        <v>166</v>
      </c>
      <c r="AQ2" s="15" t="s">
        <v>123</v>
      </c>
      <c r="AR2" s="15" t="s">
        <v>216</v>
      </c>
      <c r="AS2" s="15" t="s">
        <v>239</v>
      </c>
      <c r="AT2" s="15" t="s">
        <v>248</v>
      </c>
      <c r="AU2" s="15" t="s">
        <v>220</v>
      </c>
      <c r="AV2" s="5" t="s">
        <v>11</v>
      </c>
    </row>
    <row r="3" spans="1:48" x14ac:dyDescent="0.3">
      <c r="A3" s="3" t="s">
        <v>54</v>
      </c>
    </row>
    <row r="4" spans="1:48" x14ac:dyDescent="0.3">
      <c r="A4" s="5" t="s">
        <v>51</v>
      </c>
      <c r="B4" s="3" t="s">
        <v>62</v>
      </c>
      <c r="D4" s="4" t="s">
        <v>223</v>
      </c>
      <c r="E4" s="19" t="s">
        <v>86</v>
      </c>
      <c r="V4" s="4" t="s">
        <v>223</v>
      </c>
      <c r="W4" s="4"/>
      <c r="AE4" s="5" t="s">
        <v>271</v>
      </c>
      <c r="AG4" s="5" t="s">
        <v>257</v>
      </c>
      <c r="AI4" s="5" t="s">
        <v>147</v>
      </c>
      <c r="AJ4" s="10" t="s">
        <v>260</v>
      </c>
      <c r="AL4" s="4" t="s">
        <v>223</v>
      </c>
      <c r="AM4" s="4" t="s">
        <v>223</v>
      </c>
      <c r="AN4" s="4"/>
      <c r="AO4" s="4"/>
      <c r="AP4" s="4"/>
      <c r="AQ4" s="4"/>
      <c r="AT4" s="5" t="s">
        <v>218</v>
      </c>
    </row>
    <row r="5" spans="1:48" ht="27.6" x14ac:dyDescent="0.3">
      <c r="A5" s="5" t="s">
        <v>51</v>
      </c>
      <c r="B5" s="5" t="s">
        <v>65</v>
      </c>
      <c r="D5" s="4" t="s">
        <v>223</v>
      </c>
      <c r="E5" s="19" t="s">
        <v>87</v>
      </c>
      <c r="G5" s="5"/>
      <c r="J5" s="5"/>
      <c r="N5" s="5">
        <v>5</v>
      </c>
      <c r="V5" s="4" t="s">
        <v>223</v>
      </c>
      <c r="W5" s="4"/>
      <c r="AE5" s="5" t="s">
        <v>272</v>
      </c>
      <c r="AI5" s="5" t="s">
        <v>175</v>
      </c>
      <c r="AJ5" s="10" t="s">
        <v>255</v>
      </c>
      <c r="AL5" s="4" t="s">
        <v>223</v>
      </c>
      <c r="AM5" s="4" t="s">
        <v>223</v>
      </c>
      <c r="AN5" s="4"/>
      <c r="AO5" s="4"/>
      <c r="AP5" s="4"/>
      <c r="AQ5" s="4"/>
      <c r="AT5" s="5" t="s">
        <v>218</v>
      </c>
      <c r="AU5" s="5" t="s">
        <v>218</v>
      </c>
    </row>
    <row r="6" spans="1:48" x14ac:dyDescent="0.3">
      <c r="A6" s="3" t="s">
        <v>51</v>
      </c>
      <c r="B6" s="5" t="s">
        <v>63</v>
      </c>
      <c r="C6" s="18" t="s">
        <v>59</v>
      </c>
      <c r="D6" s="4" t="s">
        <v>223</v>
      </c>
      <c r="E6" s="19" t="s">
        <v>88</v>
      </c>
      <c r="N6" s="5">
        <v>10</v>
      </c>
      <c r="V6" s="4" t="s">
        <v>223</v>
      </c>
      <c r="W6" s="4"/>
      <c r="AE6" s="5" t="s">
        <v>273</v>
      </c>
      <c r="AI6" s="5" t="s">
        <v>148</v>
      </c>
      <c r="AJ6" s="5" t="s">
        <v>261</v>
      </c>
      <c r="AL6" s="4" t="s">
        <v>223</v>
      </c>
      <c r="AM6" s="4" t="s">
        <v>223</v>
      </c>
      <c r="AN6" s="4"/>
      <c r="AO6" s="4"/>
      <c r="AP6" s="4"/>
      <c r="AQ6" s="4"/>
      <c r="AT6" s="5" t="s">
        <v>218</v>
      </c>
      <c r="AU6" s="5" t="s">
        <v>218</v>
      </c>
    </row>
    <row r="7" spans="1:48" x14ac:dyDescent="0.3">
      <c r="A7" s="5" t="s">
        <v>51</v>
      </c>
      <c r="B7" s="5" t="s">
        <v>64</v>
      </c>
      <c r="D7" s="4" t="s">
        <v>223</v>
      </c>
      <c r="E7" s="19" t="s">
        <v>89</v>
      </c>
      <c r="N7" s="5">
        <v>20</v>
      </c>
      <c r="V7" s="4" t="s">
        <v>223</v>
      </c>
      <c r="W7" s="4"/>
      <c r="AE7" s="5" t="s">
        <v>274</v>
      </c>
      <c r="AI7" s="5" t="s">
        <v>149</v>
      </c>
      <c r="AJ7" s="5" t="s">
        <v>58</v>
      </c>
      <c r="AL7" s="4" t="s">
        <v>223</v>
      </c>
      <c r="AM7" s="4" t="s">
        <v>223</v>
      </c>
      <c r="AN7" s="4"/>
      <c r="AO7" s="4"/>
      <c r="AP7" s="4"/>
      <c r="AQ7" s="4"/>
      <c r="AU7" s="5" t="s">
        <v>218</v>
      </c>
    </row>
    <row r="8" spans="1:48" ht="27.6" x14ac:dyDescent="0.3">
      <c r="A8" s="5" t="s">
        <v>51</v>
      </c>
      <c r="B8" s="5" t="s">
        <v>66</v>
      </c>
      <c r="D8" s="4" t="s">
        <v>223</v>
      </c>
      <c r="E8" s="19" t="s">
        <v>90</v>
      </c>
      <c r="V8" s="4" t="s">
        <v>223</v>
      </c>
      <c r="W8" s="4"/>
      <c r="AE8" s="5" t="s">
        <v>275</v>
      </c>
      <c r="AI8" s="5" t="s">
        <v>151</v>
      </c>
      <c r="AJ8" s="10" t="s">
        <v>185</v>
      </c>
      <c r="AL8" s="4" t="s">
        <v>223</v>
      </c>
      <c r="AM8" s="4" t="s">
        <v>223</v>
      </c>
      <c r="AN8" s="4"/>
      <c r="AO8" s="4"/>
      <c r="AP8" s="4"/>
      <c r="AQ8" s="4"/>
      <c r="AT8" s="5" t="s">
        <v>218</v>
      </c>
      <c r="AU8" s="5" t="s">
        <v>219</v>
      </c>
    </row>
    <row r="9" spans="1:48" x14ac:dyDescent="0.3">
      <c r="A9" s="5" t="s">
        <v>51</v>
      </c>
      <c r="B9" s="5" t="s">
        <v>58</v>
      </c>
      <c r="D9" s="4" t="s">
        <v>57</v>
      </c>
      <c r="E9" s="19" t="s">
        <v>91</v>
      </c>
      <c r="V9" s="4" t="s">
        <v>57</v>
      </c>
      <c r="W9" s="4"/>
      <c r="AE9" s="5" t="s">
        <v>276</v>
      </c>
      <c r="AI9" s="5" t="s">
        <v>150</v>
      </c>
      <c r="AJ9" s="10" t="s">
        <v>186</v>
      </c>
      <c r="AL9" s="4" t="s">
        <v>57</v>
      </c>
      <c r="AM9" s="4" t="s">
        <v>57</v>
      </c>
      <c r="AN9" s="4"/>
      <c r="AO9" s="4"/>
      <c r="AP9" s="4"/>
      <c r="AQ9" s="4"/>
      <c r="AT9" s="5" t="s">
        <v>218</v>
      </c>
      <c r="AU9" s="5" t="s">
        <v>219</v>
      </c>
    </row>
    <row r="10" spans="1:48" x14ac:dyDescent="0.3">
      <c r="A10" s="5" t="s">
        <v>51</v>
      </c>
      <c r="B10" s="5" t="s">
        <v>58</v>
      </c>
      <c r="D10" s="4" t="s">
        <v>223</v>
      </c>
      <c r="E10" s="19" t="s">
        <v>92</v>
      </c>
      <c r="V10" s="4" t="s">
        <v>223</v>
      </c>
      <c r="W10" s="4"/>
      <c r="AE10" s="5" t="s">
        <v>277</v>
      </c>
      <c r="AI10" s="5" t="s">
        <v>152</v>
      </c>
      <c r="AL10" s="4" t="s">
        <v>223</v>
      </c>
      <c r="AM10" s="4" t="s">
        <v>223</v>
      </c>
      <c r="AN10" s="4"/>
      <c r="AO10" s="4"/>
      <c r="AP10" s="4"/>
      <c r="AQ10" s="4"/>
      <c r="AT10" s="5" t="s">
        <v>218</v>
      </c>
      <c r="AU10" s="5" t="s">
        <v>219</v>
      </c>
    </row>
    <row r="11" spans="1:48" x14ac:dyDescent="0.3">
      <c r="A11" s="5" t="s">
        <v>51</v>
      </c>
      <c r="B11" s="5" t="s">
        <v>58</v>
      </c>
      <c r="D11" s="4" t="s">
        <v>223</v>
      </c>
      <c r="E11" s="19" t="s">
        <v>93</v>
      </c>
      <c r="V11" s="4" t="s">
        <v>223</v>
      </c>
      <c r="W11" s="4"/>
      <c r="AE11" s="5" t="s">
        <v>272</v>
      </c>
      <c r="AL11" s="4" t="s">
        <v>223</v>
      </c>
      <c r="AM11" s="4" t="s">
        <v>223</v>
      </c>
      <c r="AN11" s="4"/>
      <c r="AO11" s="4"/>
      <c r="AP11" s="4"/>
      <c r="AQ11" s="4"/>
      <c r="AT11" s="5" t="s">
        <v>218</v>
      </c>
    </row>
    <row r="12" spans="1:48" x14ac:dyDescent="0.3">
      <c r="A12" s="5" t="s">
        <v>51</v>
      </c>
      <c r="B12" s="5" t="s">
        <v>58</v>
      </c>
      <c r="D12" s="4" t="s">
        <v>58</v>
      </c>
      <c r="E12" s="19" t="s">
        <v>94</v>
      </c>
      <c r="V12" s="4" t="s">
        <v>58</v>
      </c>
      <c r="W12" s="4"/>
      <c r="AE12" s="5" t="s">
        <v>273</v>
      </c>
      <c r="AF12" s="5" t="s">
        <v>263</v>
      </c>
      <c r="AL12" s="4" t="s">
        <v>58</v>
      </c>
      <c r="AM12" s="4" t="s">
        <v>58</v>
      </c>
      <c r="AN12" s="4"/>
      <c r="AO12" s="4"/>
      <c r="AP12" s="4"/>
      <c r="AQ12" s="4"/>
      <c r="AT12" s="5" t="s">
        <v>218</v>
      </c>
    </row>
    <row r="13" spans="1:48" x14ac:dyDescent="0.3">
      <c r="A13" s="5" t="s">
        <v>51</v>
      </c>
      <c r="B13" s="5"/>
      <c r="D13" s="4" t="s">
        <v>223</v>
      </c>
      <c r="E13" s="19" t="s">
        <v>95</v>
      </c>
      <c r="V13" s="4" t="s">
        <v>223</v>
      </c>
      <c r="W13" s="4"/>
      <c r="AE13" s="5" t="s">
        <v>274</v>
      </c>
      <c r="AF13" s="5" t="s">
        <v>264</v>
      </c>
      <c r="AL13" s="4"/>
      <c r="AM13" s="4"/>
      <c r="AN13" s="4"/>
      <c r="AO13" s="4"/>
      <c r="AP13" s="4"/>
      <c r="AQ13" s="4"/>
      <c r="AT13" s="5" t="s">
        <v>218</v>
      </c>
    </row>
    <row r="14" spans="1:48" x14ac:dyDescent="0.3">
      <c r="A14" s="5" t="s">
        <v>51</v>
      </c>
      <c r="B14" s="5" t="s">
        <v>65</v>
      </c>
      <c r="D14" s="4" t="s">
        <v>223</v>
      </c>
      <c r="E14" s="19" t="s">
        <v>96</v>
      </c>
      <c r="N14" s="5">
        <v>20</v>
      </c>
      <c r="V14" s="4" t="s">
        <v>223</v>
      </c>
      <c r="W14" s="4"/>
      <c r="AE14" s="5" t="s">
        <v>275</v>
      </c>
      <c r="AF14" s="5" t="s">
        <v>265</v>
      </c>
      <c r="AL14" s="4"/>
      <c r="AM14" s="4"/>
      <c r="AN14" s="4"/>
      <c r="AO14" s="4"/>
      <c r="AP14" s="4"/>
      <c r="AQ14" s="4"/>
      <c r="AT14" s="5" t="s">
        <v>218</v>
      </c>
      <c r="AU14" s="5" t="s">
        <v>218</v>
      </c>
    </row>
    <row r="15" spans="1:48" ht="27.6" x14ac:dyDescent="0.3">
      <c r="A15" s="5" t="s">
        <v>51</v>
      </c>
      <c r="B15" s="5"/>
      <c r="D15" s="4" t="s">
        <v>223</v>
      </c>
      <c r="E15" s="19" t="s">
        <v>97</v>
      </c>
      <c r="V15" s="4" t="s">
        <v>223</v>
      </c>
      <c r="W15" s="4"/>
      <c r="AE15" s="5" t="s">
        <v>276</v>
      </c>
      <c r="AF15" s="5" t="s">
        <v>266</v>
      </c>
      <c r="AL15" s="4"/>
      <c r="AM15" s="4"/>
      <c r="AN15" s="4"/>
      <c r="AO15" s="4"/>
      <c r="AP15" s="4"/>
      <c r="AQ15" s="4"/>
      <c r="AT15" s="5" t="s">
        <v>218</v>
      </c>
    </row>
    <row r="16" spans="1:48" x14ac:dyDescent="0.3">
      <c r="A16" s="5" t="s">
        <v>51</v>
      </c>
      <c r="B16" s="5" t="s">
        <v>58</v>
      </c>
      <c r="E16" s="19" t="s">
        <v>98</v>
      </c>
      <c r="N16" s="3">
        <v>10</v>
      </c>
      <c r="AE16" s="5" t="s">
        <v>271</v>
      </c>
      <c r="AF16" s="5" t="s">
        <v>267</v>
      </c>
      <c r="AS16" s="5" t="s">
        <v>240</v>
      </c>
      <c r="AT16" s="5" t="s">
        <v>218</v>
      </c>
    </row>
    <row r="17" spans="1:46" ht="27.6" x14ac:dyDescent="0.3">
      <c r="A17" s="5" t="s">
        <v>51</v>
      </c>
      <c r="B17" s="5" t="s">
        <v>58</v>
      </c>
      <c r="E17" s="19" t="s">
        <v>99</v>
      </c>
      <c r="N17" s="5">
        <v>10</v>
      </c>
      <c r="AE17" s="5" t="s">
        <v>277</v>
      </c>
      <c r="AF17" s="5" t="s">
        <v>268</v>
      </c>
      <c r="AS17" s="5" t="s">
        <v>241</v>
      </c>
      <c r="AT17" s="5" t="s">
        <v>218</v>
      </c>
    </row>
    <row r="18" spans="1:46" x14ac:dyDescent="0.3">
      <c r="A18" s="5" t="s">
        <v>51</v>
      </c>
      <c r="B18" s="5" t="s">
        <v>58</v>
      </c>
      <c r="E18" s="19" t="s">
        <v>100</v>
      </c>
      <c r="N18" s="5">
        <v>10</v>
      </c>
      <c r="AE18" s="5" t="s">
        <v>273</v>
      </c>
      <c r="AF18" s="5" t="s">
        <v>263</v>
      </c>
      <c r="AS18" s="5" t="s">
        <v>242</v>
      </c>
      <c r="AT18" s="5" t="s">
        <v>218</v>
      </c>
    </row>
    <row r="19" spans="1:46" ht="41.4" x14ac:dyDescent="0.3">
      <c r="A19" s="5" t="s">
        <v>51</v>
      </c>
      <c r="B19" s="5" t="s">
        <v>58</v>
      </c>
      <c r="E19" s="19" t="s">
        <v>101</v>
      </c>
      <c r="N19" s="5">
        <v>10</v>
      </c>
      <c r="AE19" s="5" t="s">
        <v>274</v>
      </c>
      <c r="AF19" s="5" t="s">
        <v>264</v>
      </c>
      <c r="AS19" s="5" t="s">
        <v>243</v>
      </c>
      <c r="AT19" s="5" t="s">
        <v>218</v>
      </c>
    </row>
    <row r="20" spans="1:46" ht="41.4" x14ac:dyDescent="0.3">
      <c r="A20" s="5" t="s">
        <v>51</v>
      </c>
      <c r="B20" s="5" t="s">
        <v>58</v>
      </c>
      <c r="E20" s="19" t="s">
        <v>102</v>
      </c>
      <c r="N20" s="5">
        <v>10</v>
      </c>
      <c r="AE20" s="5" t="s">
        <v>275</v>
      </c>
      <c r="AF20" s="5" t="s">
        <v>265</v>
      </c>
      <c r="AS20" s="5" t="s">
        <v>244</v>
      </c>
      <c r="AT20" s="5" t="s">
        <v>218</v>
      </c>
    </row>
    <row r="21" spans="1:46" ht="27.6" x14ac:dyDescent="0.3">
      <c r="A21" s="5" t="s">
        <v>51</v>
      </c>
      <c r="B21" s="5" t="s">
        <v>58</v>
      </c>
      <c r="E21" s="19" t="s">
        <v>103</v>
      </c>
      <c r="N21" s="5">
        <v>10</v>
      </c>
      <c r="AE21" s="5" t="s">
        <v>276</v>
      </c>
      <c r="AF21" s="5" t="s">
        <v>266</v>
      </c>
      <c r="AS21" s="5" t="s">
        <v>245</v>
      </c>
      <c r="AT21" s="5" t="s">
        <v>218</v>
      </c>
    </row>
    <row r="22" spans="1:46" ht="27.6" x14ac:dyDescent="0.3">
      <c r="A22" s="5" t="s">
        <v>51</v>
      </c>
      <c r="B22" s="3" t="s">
        <v>58</v>
      </c>
      <c r="E22" s="19" t="s">
        <v>104</v>
      </c>
      <c r="N22" s="5">
        <v>10</v>
      </c>
      <c r="AE22" s="5" t="s">
        <v>271</v>
      </c>
      <c r="AF22" s="5" t="s">
        <v>267</v>
      </c>
      <c r="AS22" s="5" t="s">
        <v>246</v>
      </c>
      <c r="AT22" s="5" t="s">
        <v>218</v>
      </c>
    </row>
    <row r="23" spans="1:46" ht="27.6" x14ac:dyDescent="0.3">
      <c r="A23" s="5" t="s">
        <v>51</v>
      </c>
      <c r="E23" s="19" t="s">
        <v>105</v>
      </c>
      <c r="AE23" s="5" t="s">
        <v>272</v>
      </c>
      <c r="AF23" s="5" t="s">
        <v>268</v>
      </c>
      <c r="AT23" s="5" t="s">
        <v>218</v>
      </c>
    </row>
    <row r="24" spans="1:46" x14ac:dyDescent="0.3">
      <c r="A24" s="5" t="s">
        <v>51</v>
      </c>
      <c r="E24" s="19" t="s">
        <v>106</v>
      </c>
      <c r="AE24" s="5" t="s">
        <v>277</v>
      </c>
      <c r="AF24" s="5" t="s">
        <v>263</v>
      </c>
      <c r="AT24" s="5" t="s">
        <v>218</v>
      </c>
    </row>
    <row r="25" spans="1:46" x14ac:dyDescent="0.3">
      <c r="A25" s="5" t="s">
        <v>51</v>
      </c>
      <c r="E25" s="19" t="s">
        <v>107</v>
      </c>
      <c r="AE25" s="5" t="s">
        <v>274</v>
      </c>
      <c r="AF25" s="5" t="s">
        <v>263</v>
      </c>
      <c r="AT25" s="5" t="s">
        <v>218</v>
      </c>
    </row>
    <row r="26" spans="1:46" x14ac:dyDescent="0.3">
      <c r="A26" s="5" t="s">
        <v>51</v>
      </c>
      <c r="E26" s="19" t="s">
        <v>108</v>
      </c>
      <c r="AT26" s="5" t="s">
        <v>218</v>
      </c>
    </row>
    <row r="27" spans="1:46" x14ac:dyDescent="0.3">
      <c r="A27" s="5" t="s">
        <v>51</v>
      </c>
      <c r="B27" s="5" t="s">
        <v>64</v>
      </c>
      <c r="E27" s="19" t="s">
        <v>109</v>
      </c>
      <c r="N27" s="5">
        <v>30</v>
      </c>
      <c r="AT27" s="5" t="s">
        <v>218</v>
      </c>
    </row>
    <row r="28" spans="1:46" ht="27.6" x14ac:dyDescent="0.3">
      <c r="A28" s="5" t="s">
        <v>51</v>
      </c>
      <c r="E28" s="19" t="s">
        <v>110</v>
      </c>
      <c r="AG28" s="5" t="s">
        <v>257</v>
      </c>
      <c r="AT28" s="5" t="s">
        <v>218</v>
      </c>
    </row>
    <row r="29" spans="1:46" ht="27.6" x14ac:dyDescent="0.3">
      <c r="A29" s="5" t="s">
        <v>51</v>
      </c>
      <c r="E29" s="19" t="s">
        <v>67</v>
      </c>
      <c r="AT29" s="5" t="s">
        <v>218</v>
      </c>
    </row>
    <row r="30" spans="1:46" ht="27.6" x14ac:dyDescent="0.3">
      <c r="A30" s="5" t="s">
        <v>51</v>
      </c>
      <c r="B30" s="5" t="s">
        <v>65</v>
      </c>
      <c r="E30" s="19" t="s">
        <v>68</v>
      </c>
      <c r="N30" s="5">
        <v>1</v>
      </c>
      <c r="AE30" s="5" t="str">
        <f>_ActiveSprintData!$B$1</f>
        <v>Wavelength1</v>
      </c>
      <c r="AI30" s="5" t="s">
        <v>147</v>
      </c>
      <c r="AT30" s="5" t="s">
        <v>218</v>
      </c>
    </row>
    <row r="31" spans="1:46" x14ac:dyDescent="0.3">
      <c r="A31" s="5" t="s">
        <v>51</v>
      </c>
      <c r="B31" s="5" t="s">
        <v>65</v>
      </c>
      <c r="E31" s="19" t="s">
        <v>69</v>
      </c>
      <c r="N31" s="5">
        <v>1</v>
      </c>
      <c r="AE31" s="5" t="str">
        <f>_ActiveSprintData!$B$1</f>
        <v>Wavelength1</v>
      </c>
      <c r="AI31" s="5" t="s">
        <v>175</v>
      </c>
      <c r="AT31" s="5" t="s">
        <v>218</v>
      </c>
    </row>
    <row r="32" spans="1:46" ht="41.4" x14ac:dyDescent="0.3">
      <c r="A32" s="5" t="s">
        <v>51</v>
      </c>
      <c r="B32" s="5" t="s">
        <v>65</v>
      </c>
      <c r="E32" s="19" t="s">
        <v>70</v>
      </c>
      <c r="N32" s="5">
        <v>1</v>
      </c>
      <c r="AE32" s="5" t="str">
        <f>_ActiveSprintData!$B$1</f>
        <v>Wavelength1</v>
      </c>
      <c r="AI32" s="5" t="s">
        <v>148</v>
      </c>
      <c r="AT32" s="5" t="s">
        <v>218</v>
      </c>
    </row>
    <row r="33" spans="1:46" ht="41.4" x14ac:dyDescent="0.3">
      <c r="A33" s="5" t="s">
        <v>51</v>
      </c>
      <c r="B33" s="5" t="s">
        <v>65</v>
      </c>
      <c r="E33" s="19" t="s">
        <v>71</v>
      </c>
      <c r="N33" s="5">
        <v>1</v>
      </c>
      <c r="AE33" s="5" t="str">
        <f>_ActiveSprintData!$B$1</f>
        <v>Wavelength1</v>
      </c>
      <c r="AI33" s="5" t="s">
        <v>149</v>
      </c>
      <c r="AT33" s="5" t="s">
        <v>218</v>
      </c>
    </row>
    <row r="34" spans="1:46" ht="27.6" x14ac:dyDescent="0.3">
      <c r="A34" s="5" t="s">
        <v>51</v>
      </c>
      <c r="B34" s="5" t="s">
        <v>65</v>
      </c>
      <c r="E34" s="19" t="s">
        <v>72</v>
      </c>
      <c r="N34" s="5">
        <v>1</v>
      </c>
      <c r="AE34" s="5" t="str">
        <f>_ActiveSprintData!$B$1</f>
        <v>Wavelength1</v>
      </c>
      <c r="AI34" s="5" t="s">
        <v>151</v>
      </c>
      <c r="AT34" s="5" t="s">
        <v>218</v>
      </c>
    </row>
    <row r="35" spans="1:46" ht="27.6" x14ac:dyDescent="0.3">
      <c r="A35" s="5" t="s">
        <v>51</v>
      </c>
      <c r="B35" s="5" t="s">
        <v>65</v>
      </c>
      <c r="E35" s="19" t="s">
        <v>73</v>
      </c>
      <c r="N35" s="5">
        <v>1</v>
      </c>
      <c r="AE35" s="5" t="str">
        <f>_ActiveSprintData!$B$1</f>
        <v>Wavelength1</v>
      </c>
      <c r="AI35" s="5" t="s">
        <v>150</v>
      </c>
      <c r="AT35" s="5" t="s">
        <v>218</v>
      </c>
    </row>
    <row r="36" spans="1:46" ht="41.4" x14ac:dyDescent="0.3">
      <c r="A36" s="5" t="s">
        <v>51</v>
      </c>
      <c r="E36" s="19" t="s">
        <v>74</v>
      </c>
      <c r="N36" s="5">
        <v>1</v>
      </c>
      <c r="AE36" s="5" t="str">
        <f>_ActiveSprintData!$B$1</f>
        <v>Wavelength1</v>
      </c>
      <c r="AI36" s="5" t="s">
        <v>152</v>
      </c>
      <c r="AT36" s="5" t="s">
        <v>218</v>
      </c>
    </row>
    <row r="37" spans="1:46" ht="27.6" x14ac:dyDescent="0.3">
      <c r="A37" s="5" t="s">
        <v>51</v>
      </c>
      <c r="E37" s="19" t="s">
        <v>75</v>
      </c>
      <c r="AE37" s="5" t="s">
        <v>271</v>
      </c>
      <c r="AT37" s="5" t="s">
        <v>218</v>
      </c>
    </row>
    <row r="38" spans="1:46" x14ac:dyDescent="0.3">
      <c r="A38" s="5" t="s">
        <v>51</v>
      </c>
      <c r="E38" s="19" t="s">
        <v>76</v>
      </c>
      <c r="AT38" s="5" t="s">
        <v>218</v>
      </c>
    </row>
    <row r="39" spans="1:46" x14ac:dyDescent="0.3">
      <c r="A39" s="5" t="s">
        <v>51</v>
      </c>
      <c r="E39" s="19" t="s">
        <v>77</v>
      </c>
      <c r="AT39" s="5" t="s">
        <v>218</v>
      </c>
    </row>
    <row r="40" spans="1:46" x14ac:dyDescent="0.3">
      <c r="A40" s="5" t="s">
        <v>51</v>
      </c>
      <c r="B40" s="3" t="s">
        <v>66</v>
      </c>
      <c r="E40" s="19" t="s">
        <v>78</v>
      </c>
      <c r="AF40" s="5" t="s">
        <v>263</v>
      </c>
      <c r="AG40" s="5" t="s">
        <v>262</v>
      </c>
      <c r="AH40" s="5" t="s">
        <v>155</v>
      </c>
      <c r="AL40" s="4" t="s">
        <v>223</v>
      </c>
      <c r="AT40" s="5" t="s">
        <v>218</v>
      </c>
    </row>
    <row r="41" spans="1:46" ht="27.6" x14ac:dyDescent="0.3">
      <c r="A41" s="5" t="s">
        <v>51</v>
      </c>
      <c r="B41" s="5" t="s">
        <v>66</v>
      </c>
      <c r="E41" s="19" t="s">
        <v>79</v>
      </c>
      <c r="AF41" s="5" t="s">
        <v>264</v>
      </c>
      <c r="AG41" s="5" t="s">
        <v>262</v>
      </c>
      <c r="AH41" s="5" t="s">
        <v>156</v>
      </c>
      <c r="AL41" s="4" t="s">
        <v>223</v>
      </c>
      <c r="AT41" s="5" t="s">
        <v>218</v>
      </c>
    </row>
    <row r="42" spans="1:46" x14ac:dyDescent="0.3">
      <c r="A42" s="5" t="s">
        <v>51</v>
      </c>
      <c r="B42" s="5" t="s">
        <v>66</v>
      </c>
      <c r="E42" s="19" t="s">
        <v>80</v>
      </c>
      <c r="AF42" s="5" t="s">
        <v>265</v>
      </c>
      <c r="AG42" s="5" t="s">
        <v>262</v>
      </c>
      <c r="AH42" s="5" t="s">
        <v>157</v>
      </c>
      <c r="AL42" s="4" t="s">
        <v>223</v>
      </c>
      <c r="AT42" s="5" t="s">
        <v>218</v>
      </c>
    </row>
    <row r="43" spans="1:46" x14ac:dyDescent="0.3">
      <c r="A43" s="5" t="s">
        <v>51</v>
      </c>
      <c r="B43" s="5" t="s">
        <v>66</v>
      </c>
      <c r="E43" s="19" t="s">
        <v>81</v>
      </c>
      <c r="AF43" s="5" t="s">
        <v>266</v>
      </c>
      <c r="AG43" s="5" t="s">
        <v>262</v>
      </c>
      <c r="AH43" s="5" t="s">
        <v>158</v>
      </c>
      <c r="AL43" s="4" t="s">
        <v>223</v>
      </c>
      <c r="AT43" s="5" t="s">
        <v>218</v>
      </c>
    </row>
    <row r="44" spans="1:46" ht="27.6" x14ac:dyDescent="0.3">
      <c r="A44" s="5" t="s">
        <v>51</v>
      </c>
      <c r="B44" s="5" t="s">
        <v>66</v>
      </c>
      <c r="E44" s="19" t="s">
        <v>82</v>
      </c>
      <c r="AF44" s="5" t="s">
        <v>267</v>
      </c>
      <c r="AG44" s="5" t="s">
        <v>262</v>
      </c>
      <c r="AH44" s="5" t="s">
        <v>159</v>
      </c>
      <c r="AL44" s="4" t="s">
        <v>223</v>
      </c>
      <c r="AT44" s="5" t="s">
        <v>218</v>
      </c>
    </row>
    <row r="45" spans="1:46" ht="41.4" x14ac:dyDescent="0.3">
      <c r="A45" s="5" t="s">
        <v>51</v>
      </c>
      <c r="B45" s="5" t="s">
        <v>66</v>
      </c>
      <c r="E45" s="19" t="s">
        <v>83</v>
      </c>
      <c r="AF45" s="5" t="s">
        <v>268</v>
      </c>
      <c r="AG45" s="5" t="s">
        <v>262</v>
      </c>
      <c r="AH45" s="5" t="s">
        <v>158</v>
      </c>
      <c r="AL45" s="4" t="s">
        <v>223</v>
      </c>
      <c r="AT45" s="5" t="s">
        <v>218</v>
      </c>
    </row>
    <row r="46" spans="1:46" ht="27.6" x14ac:dyDescent="0.3">
      <c r="A46" s="5" t="s">
        <v>51</v>
      </c>
      <c r="B46" s="3" t="s">
        <v>250</v>
      </c>
      <c r="E46" s="19" t="s">
        <v>84</v>
      </c>
      <c r="AF46" s="5" t="s">
        <v>269</v>
      </c>
      <c r="AG46" s="5" t="s">
        <v>262</v>
      </c>
      <c r="AT46" s="5" t="s">
        <v>218</v>
      </c>
    </row>
    <row r="47" spans="1:46" x14ac:dyDescent="0.3">
      <c r="A47" s="5" t="s">
        <v>51</v>
      </c>
      <c r="E47" s="19" t="s">
        <v>85</v>
      </c>
      <c r="AT47" s="5" t="s">
        <v>218</v>
      </c>
    </row>
    <row r="48" spans="1:46" x14ac:dyDescent="0.3">
      <c r="A48" s="3" t="s">
        <v>51</v>
      </c>
      <c r="AT48" s="5" t="s">
        <v>218</v>
      </c>
    </row>
    <row r="49" spans="1:46" x14ac:dyDescent="0.3">
      <c r="A49" s="3" t="s">
        <v>51</v>
      </c>
      <c r="B49" s="3" t="s">
        <v>66</v>
      </c>
      <c r="E49" s="19" t="s">
        <v>81</v>
      </c>
      <c r="AF49" s="5" t="s">
        <v>263</v>
      </c>
      <c r="AG49" s="5" t="s">
        <v>262</v>
      </c>
      <c r="AH49" s="5" t="s">
        <v>155</v>
      </c>
      <c r="AL49" s="4" t="s">
        <v>223</v>
      </c>
      <c r="AT49" s="5" t="s">
        <v>218</v>
      </c>
    </row>
    <row r="50" spans="1:46" x14ac:dyDescent="0.3">
      <c r="A50" s="5" t="s">
        <v>51</v>
      </c>
      <c r="B50" s="5" t="s">
        <v>62</v>
      </c>
      <c r="K50" s="5" t="s">
        <v>255</v>
      </c>
      <c r="P50" s="5">
        <v>100</v>
      </c>
      <c r="Q50" s="5">
        <v>150</v>
      </c>
      <c r="W50" s="5">
        <v>180</v>
      </c>
      <c r="AG50" s="5" t="s">
        <v>262</v>
      </c>
      <c r="AJ50" s="5" t="s">
        <v>255</v>
      </c>
      <c r="AL50" s="4" t="s">
        <v>223</v>
      </c>
      <c r="AN50" s="5">
        <v>30</v>
      </c>
      <c r="AO50" s="5">
        <v>60</v>
      </c>
      <c r="AP50" s="5">
        <v>40</v>
      </c>
      <c r="AT50" s="5" t="s">
        <v>218</v>
      </c>
    </row>
    <row r="51" spans="1:46" x14ac:dyDescent="0.3">
      <c r="A51" s="3" t="s">
        <v>51</v>
      </c>
      <c r="B51" s="3" t="s">
        <v>62</v>
      </c>
      <c r="K51" s="5" t="s">
        <v>279</v>
      </c>
      <c r="P51" s="5">
        <v>50</v>
      </c>
      <c r="Q51" s="5">
        <v>150</v>
      </c>
      <c r="W51" s="5">
        <v>180</v>
      </c>
      <c r="AG51" s="5" t="s">
        <v>262</v>
      </c>
      <c r="AJ51" s="10" t="s">
        <v>255</v>
      </c>
      <c r="AL51" s="4" t="s">
        <v>223</v>
      </c>
      <c r="AN51" s="5">
        <v>30</v>
      </c>
      <c r="AO51" s="5">
        <v>60</v>
      </c>
      <c r="AP51" s="5">
        <v>40</v>
      </c>
      <c r="AT51" s="5" t="s">
        <v>218</v>
      </c>
    </row>
    <row r="52" spans="1:46" s="5" customFormat="1" x14ac:dyDescent="0.3">
      <c r="A52" s="5" t="s">
        <v>51</v>
      </c>
      <c r="B52" s="5" t="s">
        <v>62</v>
      </c>
      <c r="C52" s="4"/>
      <c r="D52" s="4"/>
      <c r="E52" s="19" t="s">
        <v>94</v>
      </c>
      <c r="K52" s="5" t="s">
        <v>280</v>
      </c>
      <c r="N52" s="5">
        <v>10</v>
      </c>
      <c r="P52" s="5">
        <v>50</v>
      </c>
      <c r="Q52" s="5">
        <v>150</v>
      </c>
      <c r="W52" s="5">
        <v>180</v>
      </c>
      <c r="AG52" s="5" t="s">
        <v>262</v>
      </c>
      <c r="AI52" s="5" t="s">
        <v>147</v>
      </c>
      <c r="AJ52" s="5" t="s">
        <v>261</v>
      </c>
      <c r="AL52" s="4" t="s">
        <v>223</v>
      </c>
      <c r="AN52" s="5">
        <v>30</v>
      </c>
      <c r="AO52" s="5">
        <v>60</v>
      </c>
      <c r="AP52" s="5">
        <v>40</v>
      </c>
      <c r="AT52" s="5" t="s">
        <v>218</v>
      </c>
    </row>
    <row r="53" spans="1:46" x14ac:dyDescent="0.3">
      <c r="A53" s="5" t="s">
        <v>51</v>
      </c>
      <c r="B53" s="5" t="s">
        <v>65</v>
      </c>
      <c r="E53" s="19" t="s">
        <v>96</v>
      </c>
      <c r="K53" s="5" t="s">
        <v>280</v>
      </c>
      <c r="N53" s="5">
        <v>10</v>
      </c>
      <c r="P53" s="5">
        <v>50</v>
      </c>
      <c r="Q53" s="5">
        <v>150</v>
      </c>
      <c r="AG53" s="5" t="s">
        <v>262</v>
      </c>
      <c r="AI53" s="5" t="s">
        <v>175</v>
      </c>
      <c r="AL53" s="4" t="s">
        <v>223</v>
      </c>
      <c r="AT53" s="5" t="s">
        <v>218</v>
      </c>
    </row>
    <row r="54" spans="1:46" ht="27.6" x14ac:dyDescent="0.3">
      <c r="A54" s="5" t="s">
        <v>51</v>
      </c>
      <c r="B54" s="5" t="s">
        <v>65</v>
      </c>
      <c r="E54" s="19" t="s">
        <v>97</v>
      </c>
      <c r="K54" s="5" t="s">
        <v>280</v>
      </c>
      <c r="N54" s="5">
        <v>10</v>
      </c>
      <c r="P54" s="5">
        <v>750</v>
      </c>
      <c r="Q54" s="5">
        <v>150</v>
      </c>
      <c r="AG54" s="5" t="s">
        <v>262</v>
      </c>
      <c r="AI54" s="5" t="s">
        <v>148</v>
      </c>
      <c r="AL54" s="4" t="s">
        <v>223</v>
      </c>
      <c r="AT54" s="5" t="s">
        <v>218</v>
      </c>
    </row>
    <row r="55" spans="1:46" x14ac:dyDescent="0.3">
      <c r="A55" s="5" t="s">
        <v>51</v>
      </c>
      <c r="B55" s="5" t="s">
        <v>65</v>
      </c>
      <c r="E55" s="19" t="s">
        <v>98</v>
      </c>
      <c r="N55" s="5">
        <v>10</v>
      </c>
      <c r="AG55" s="5" t="s">
        <v>262</v>
      </c>
      <c r="AI55" s="5" t="s">
        <v>149</v>
      </c>
      <c r="AL55" s="4" t="s">
        <v>223</v>
      </c>
      <c r="AT55" s="5" t="s">
        <v>218</v>
      </c>
    </row>
    <row r="56" spans="1:46" x14ac:dyDescent="0.3">
      <c r="A56" s="5" t="s">
        <v>51</v>
      </c>
      <c r="B56" s="5" t="s">
        <v>65</v>
      </c>
      <c r="E56" s="19" t="s">
        <v>100</v>
      </c>
      <c r="N56" s="5">
        <v>10</v>
      </c>
      <c r="AG56" s="5" t="s">
        <v>262</v>
      </c>
      <c r="AI56" s="5" t="s">
        <v>151</v>
      </c>
      <c r="AL56" s="4" t="s">
        <v>223</v>
      </c>
      <c r="AT56" s="5" t="s">
        <v>218</v>
      </c>
    </row>
    <row r="57" spans="1:46" s="5" customFormat="1" x14ac:dyDescent="0.3">
      <c r="A57" s="5" t="s">
        <v>51</v>
      </c>
      <c r="B57" s="5" t="s">
        <v>65</v>
      </c>
      <c r="C57" s="4"/>
      <c r="D57" s="4"/>
      <c r="E57" s="19" t="s">
        <v>94</v>
      </c>
      <c r="N57" s="5">
        <v>20</v>
      </c>
      <c r="AG57" s="5" t="s">
        <v>262</v>
      </c>
      <c r="AI57" s="5" t="s">
        <v>147</v>
      </c>
      <c r="AL57" s="4" t="s">
        <v>223</v>
      </c>
      <c r="AT57" s="5" t="s">
        <v>218</v>
      </c>
    </row>
    <row r="58" spans="1:46" s="5" customFormat="1" x14ac:dyDescent="0.3">
      <c r="A58" s="5" t="s">
        <v>51</v>
      </c>
      <c r="B58" s="5" t="s">
        <v>65</v>
      </c>
      <c r="C58" s="4"/>
      <c r="D58" s="4"/>
      <c r="E58" s="19" t="s">
        <v>96</v>
      </c>
      <c r="N58" s="5">
        <v>20</v>
      </c>
      <c r="AG58" s="5" t="s">
        <v>262</v>
      </c>
      <c r="AI58" s="5" t="s">
        <v>175</v>
      </c>
      <c r="AL58" s="4" t="s">
        <v>223</v>
      </c>
      <c r="AT58" s="5" t="s">
        <v>218</v>
      </c>
    </row>
    <row r="59" spans="1:46" s="5" customFormat="1" ht="27.6" x14ac:dyDescent="0.3">
      <c r="A59" s="5" t="s">
        <v>51</v>
      </c>
      <c r="B59" s="5" t="s">
        <v>65</v>
      </c>
      <c r="C59" s="4"/>
      <c r="D59" s="4"/>
      <c r="E59" s="19" t="s">
        <v>97</v>
      </c>
      <c r="N59" s="5">
        <v>20</v>
      </c>
      <c r="AG59" s="5" t="s">
        <v>262</v>
      </c>
      <c r="AI59" s="5" t="s">
        <v>148</v>
      </c>
      <c r="AL59" s="4" t="s">
        <v>223</v>
      </c>
      <c r="AT59" s="5" t="s">
        <v>218</v>
      </c>
    </row>
    <row r="60" spans="1:46" s="5" customFormat="1" x14ac:dyDescent="0.3">
      <c r="A60" s="5" t="s">
        <v>51</v>
      </c>
      <c r="B60" s="5" t="s">
        <v>65</v>
      </c>
      <c r="C60" s="4"/>
      <c r="D60" s="4"/>
      <c r="E60" s="19" t="s">
        <v>98</v>
      </c>
      <c r="N60" s="5">
        <v>20</v>
      </c>
      <c r="AG60" s="5" t="s">
        <v>262</v>
      </c>
      <c r="AI60" s="5" t="s">
        <v>149</v>
      </c>
      <c r="AL60" s="4" t="s">
        <v>223</v>
      </c>
      <c r="AT60" s="5" t="s">
        <v>218</v>
      </c>
    </row>
    <row r="61" spans="1:46" s="5" customFormat="1" x14ac:dyDescent="0.3">
      <c r="A61" s="5" t="s">
        <v>51</v>
      </c>
      <c r="B61" s="5" t="s">
        <v>65</v>
      </c>
      <c r="C61" s="4"/>
      <c r="D61" s="4"/>
      <c r="E61" s="19" t="s">
        <v>100</v>
      </c>
      <c r="N61" s="5">
        <v>20</v>
      </c>
      <c r="AG61" s="5" t="s">
        <v>262</v>
      </c>
      <c r="AI61" s="5" t="s">
        <v>151</v>
      </c>
      <c r="AL61" s="4" t="s">
        <v>223</v>
      </c>
      <c r="AT61" s="5" t="s">
        <v>218</v>
      </c>
    </row>
    <row r="62" spans="1:46" s="5" customFormat="1" x14ac:dyDescent="0.3">
      <c r="A62" s="5" t="s">
        <v>51</v>
      </c>
      <c r="B62" s="5" t="s">
        <v>65</v>
      </c>
      <c r="C62" s="4"/>
      <c r="D62" s="4"/>
      <c r="E62" s="19" t="s">
        <v>94</v>
      </c>
      <c r="N62" s="5">
        <v>30</v>
      </c>
      <c r="AG62" s="5" t="s">
        <v>262</v>
      </c>
      <c r="AI62" s="5" t="s">
        <v>147</v>
      </c>
      <c r="AL62" s="4" t="s">
        <v>223</v>
      </c>
      <c r="AT62" s="5" t="s">
        <v>218</v>
      </c>
    </row>
    <row r="63" spans="1:46" s="5" customFormat="1" x14ac:dyDescent="0.3">
      <c r="A63" s="5" t="s">
        <v>51</v>
      </c>
      <c r="B63" s="5" t="s">
        <v>65</v>
      </c>
      <c r="C63" s="4"/>
      <c r="D63" s="4"/>
      <c r="E63" s="19" t="s">
        <v>96</v>
      </c>
      <c r="N63" s="5">
        <v>30</v>
      </c>
      <c r="AG63" s="5" t="s">
        <v>262</v>
      </c>
      <c r="AI63" s="5" t="s">
        <v>175</v>
      </c>
      <c r="AL63" s="4" t="s">
        <v>223</v>
      </c>
      <c r="AT63" s="5" t="s">
        <v>218</v>
      </c>
    </row>
    <row r="64" spans="1:46" s="5" customFormat="1" ht="27.6" x14ac:dyDescent="0.3">
      <c r="A64" s="5" t="s">
        <v>51</v>
      </c>
      <c r="B64" s="5" t="s">
        <v>65</v>
      </c>
      <c r="C64" s="4"/>
      <c r="D64" s="4"/>
      <c r="E64" s="19" t="s">
        <v>97</v>
      </c>
      <c r="N64" s="5">
        <v>30</v>
      </c>
      <c r="AG64" s="5" t="s">
        <v>262</v>
      </c>
      <c r="AI64" s="5" t="s">
        <v>148</v>
      </c>
      <c r="AL64" s="4" t="s">
        <v>223</v>
      </c>
      <c r="AT64" s="5" t="s">
        <v>218</v>
      </c>
    </row>
    <row r="65" spans="1:46" s="5" customFormat="1" x14ac:dyDescent="0.3">
      <c r="A65" s="5" t="s">
        <v>51</v>
      </c>
      <c r="B65" s="5" t="s">
        <v>65</v>
      </c>
      <c r="C65" s="4"/>
      <c r="D65" s="4"/>
      <c r="E65" s="19" t="s">
        <v>98</v>
      </c>
      <c r="N65" s="5">
        <v>30</v>
      </c>
      <c r="AG65" s="5" t="s">
        <v>262</v>
      </c>
      <c r="AI65" s="5" t="s">
        <v>149</v>
      </c>
      <c r="AL65" s="4" t="s">
        <v>223</v>
      </c>
      <c r="AT65" s="5" t="s">
        <v>218</v>
      </c>
    </row>
    <row r="66" spans="1:46" s="5" customFormat="1" x14ac:dyDescent="0.3">
      <c r="A66" s="5" t="s">
        <v>51</v>
      </c>
      <c r="B66" s="5" t="s">
        <v>65</v>
      </c>
      <c r="C66" s="4"/>
      <c r="D66" s="4"/>
      <c r="E66" s="19" t="s">
        <v>100</v>
      </c>
      <c r="N66" s="5">
        <v>30</v>
      </c>
      <c r="AG66" s="5" t="s">
        <v>262</v>
      </c>
      <c r="AI66" s="5" t="s">
        <v>151</v>
      </c>
      <c r="AL66" s="4" t="s">
        <v>223</v>
      </c>
      <c r="AT66" s="5" t="s">
        <v>218</v>
      </c>
    </row>
    <row r="67" spans="1:46" s="5" customFormat="1" x14ac:dyDescent="0.3">
      <c r="A67" s="5" t="s">
        <v>51</v>
      </c>
      <c r="B67" s="5" t="s">
        <v>65</v>
      </c>
      <c r="C67" s="4"/>
      <c r="D67" s="4"/>
      <c r="E67" s="19" t="s">
        <v>94</v>
      </c>
      <c r="N67" s="5">
        <v>40</v>
      </c>
      <c r="AG67" s="5" t="s">
        <v>262</v>
      </c>
      <c r="AI67" s="5" t="s">
        <v>147</v>
      </c>
      <c r="AL67" s="4" t="s">
        <v>223</v>
      </c>
      <c r="AT67" s="5" t="s">
        <v>218</v>
      </c>
    </row>
    <row r="68" spans="1:46" s="5" customFormat="1" x14ac:dyDescent="0.3">
      <c r="A68" s="5" t="s">
        <v>51</v>
      </c>
      <c r="B68" s="5" t="s">
        <v>65</v>
      </c>
      <c r="C68" s="4"/>
      <c r="D68" s="4"/>
      <c r="E68" s="19" t="s">
        <v>96</v>
      </c>
      <c r="N68" s="5">
        <v>40</v>
      </c>
      <c r="AG68" s="5" t="s">
        <v>262</v>
      </c>
      <c r="AI68" s="5" t="s">
        <v>175</v>
      </c>
      <c r="AL68" s="4" t="s">
        <v>223</v>
      </c>
      <c r="AT68" s="5" t="s">
        <v>218</v>
      </c>
    </row>
    <row r="69" spans="1:46" s="5" customFormat="1" ht="27.6" x14ac:dyDescent="0.3">
      <c r="A69" s="5" t="s">
        <v>51</v>
      </c>
      <c r="B69" s="5" t="s">
        <v>65</v>
      </c>
      <c r="C69" s="4"/>
      <c r="D69" s="4"/>
      <c r="E69" s="19" t="s">
        <v>97</v>
      </c>
      <c r="N69" s="5">
        <v>40</v>
      </c>
      <c r="AG69" s="5" t="s">
        <v>262</v>
      </c>
      <c r="AI69" s="5" t="s">
        <v>148</v>
      </c>
      <c r="AL69" s="4" t="s">
        <v>223</v>
      </c>
      <c r="AT69" s="5" t="s">
        <v>218</v>
      </c>
    </row>
    <row r="70" spans="1:46" s="5" customFormat="1" x14ac:dyDescent="0.3">
      <c r="A70" s="5" t="s">
        <v>51</v>
      </c>
      <c r="B70" s="5" t="s">
        <v>65</v>
      </c>
      <c r="C70" s="4"/>
      <c r="D70" s="4"/>
      <c r="E70" s="19" t="s">
        <v>98</v>
      </c>
      <c r="N70" s="5">
        <v>40</v>
      </c>
      <c r="AG70" s="5" t="s">
        <v>262</v>
      </c>
      <c r="AI70" s="5" t="s">
        <v>149</v>
      </c>
      <c r="AL70" s="4" t="s">
        <v>223</v>
      </c>
      <c r="AT70" s="5" t="s">
        <v>218</v>
      </c>
    </row>
    <row r="71" spans="1:46" s="5" customFormat="1" x14ac:dyDescent="0.3">
      <c r="A71" s="5" t="s">
        <v>51</v>
      </c>
      <c r="B71" s="5" t="s">
        <v>65</v>
      </c>
      <c r="C71" s="4"/>
      <c r="D71" s="4"/>
      <c r="E71" s="19" t="s">
        <v>100</v>
      </c>
      <c r="N71" s="5">
        <v>40</v>
      </c>
      <c r="AG71" s="5" t="s">
        <v>262</v>
      </c>
      <c r="AI71" s="5" t="s">
        <v>151</v>
      </c>
      <c r="AL71" s="4" t="s">
        <v>223</v>
      </c>
      <c r="AT71" s="5" t="s">
        <v>218</v>
      </c>
    </row>
    <row r="72" spans="1:46" x14ac:dyDescent="0.3">
      <c r="A72" s="5" t="s">
        <v>51</v>
      </c>
      <c r="AT72" s="5" t="s">
        <v>218</v>
      </c>
    </row>
    <row r="73" spans="1:46" x14ac:dyDescent="0.3">
      <c r="A73" s="5" t="s">
        <v>51</v>
      </c>
      <c r="B73" s="5" t="s">
        <v>62</v>
      </c>
      <c r="P73" s="5">
        <v>100</v>
      </c>
      <c r="AG73" s="5" t="s">
        <v>262</v>
      </c>
      <c r="AJ73" s="5" t="s">
        <v>261</v>
      </c>
      <c r="AT73" s="5" t="s">
        <v>218</v>
      </c>
    </row>
    <row r="74" spans="1:46" x14ac:dyDescent="0.3">
      <c r="A74" s="5" t="s">
        <v>51</v>
      </c>
      <c r="B74" s="5" t="s">
        <v>62</v>
      </c>
      <c r="P74" s="5">
        <v>50</v>
      </c>
      <c r="AG74" s="5" t="s">
        <v>262</v>
      </c>
      <c r="AJ74" s="10" t="s">
        <v>255</v>
      </c>
      <c r="AT74" s="5" t="s">
        <v>218</v>
      </c>
    </row>
    <row r="75" spans="1:46" s="5" customFormat="1" x14ac:dyDescent="0.3">
      <c r="A75" s="5" t="s">
        <v>51</v>
      </c>
      <c r="B75" s="5" t="s">
        <v>62</v>
      </c>
      <c r="C75" s="4"/>
      <c r="D75" s="4"/>
      <c r="P75" s="5">
        <v>50</v>
      </c>
      <c r="AG75" s="5" t="s">
        <v>262</v>
      </c>
      <c r="AJ75" s="10" t="s">
        <v>185</v>
      </c>
      <c r="AT75" s="5" t="s">
        <v>218</v>
      </c>
    </row>
    <row r="76" spans="1:46" x14ac:dyDescent="0.3">
      <c r="A76" s="5" t="s">
        <v>51</v>
      </c>
      <c r="B76" s="5" t="s">
        <v>62</v>
      </c>
      <c r="P76" s="5">
        <v>50</v>
      </c>
      <c r="AG76" s="5" t="s">
        <v>262</v>
      </c>
      <c r="AJ76" s="10" t="s">
        <v>186</v>
      </c>
      <c r="AT76" s="5" t="s">
        <v>218</v>
      </c>
    </row>
    <row r="77" spans="1:46" x14ac:dyDescent="0.3">
      <c r="A77" s="5" t="s">
        <v>51</v>
      </c>
      <c r="B77" s="5" t="s">
        <v>62</v>
      </c>
      <c r="P77" s="5">
        <v>50</v>
      </c>
      <c r="AG77" s="5" t="s">
        <v>262</v>
      </c>
      <c r="AJ77" s="10" t="s">
        <v>260</v>
      </c>
      <c r="AL77" s="4"/>
      <c r="AT77" s="5" t="s">
        <v>218</v>
      </c>
    </row>
    <row r="78" spans="1:46" x14ac:dyDescent="0.3">
      <c r="A78" s="5" t="s">
        <v>51</v>
      </c>
      <c r="B78" s="5" t="s">
        <v>62</v>
      </c>
      <c r="E78" s="19" t="s">
        <v>100</v>
      </c>
      <c r="N78" s="5">
        <v>30</v>
      </c>
      <c r="P78" s="5">
        <v>50</v>
      </c>
      <c r="AF78" s="5" t="s">
        <v>263</v>
      </c>
      <c r="AG78" s="5" t="s">
        <v>262</v>
      </c>
      <c r="AJ78" s="5" t="s">
        <v>255</v>
      </c>
      <c r="AL78" s="4" t="s">
        <v>53</v>
      </c>
    </row>
    <row r="79" spans="1:46" x14ac:dyDescent="0.3">
      <c r="A79" s="5" t="s">
        <v>51</v>
      </c>
      <c r="B79" s="5" t="s">
        <v>62</v>
      </c>
      <c r="E79" s="19" t="s">
        <v>100</v>
      </c>
      <c r="N79" s="5">
        <v>30</v>
      </c>
      <c r="P79" s="5">
        <v>50</v>
      </c>
      <c r="AF79" s="5" t="s">
        <v>264</v>
      </c>
      <c r="AG79" s="5" t="s">
        <v>262</v>
      </c>
      <c r="AJ79" s="10" t="s">
        <v>260</v>
      </c>
      <c r="AL79" s="4" t="s">
        <v>55</v>
      </c>
      <c r="AT79" s="5" t="s">
        <v>218</v>
      </c>
    </row>
    <row r="80" spans="1:46" x14ac:dyDescent="0.3">
      <c r="A80" s="5" t="s">
        <v>51</v>
      </c>
      <c r="B80" s="5" t="s">
        <v>62</v>
      </c>
      <c r="E80" s="19" t="s">
        <v>100</v>
      </c>
      <c r="N80" s="5">
        <v>30</v>
      </c>
      <c r="P80" s="5">
        <v>50</v>
      </c>
      <c r="AF80" s="5" t="s">
        <v>265</v>
      </c>
      <c r="AG80" s="5" t="s">
        <v>262</v>
      </c>
      <c r="AJ80" s="10" t="s">
        <v>255</v>
      </c>
      <c r="AL80" s="4" t="s">
        <v>56</v>
      </c>
      <c r="AT80" s="5" t="s">
        <v>218</v>
      </c>
    </row>
    <row r="81" spans="1:46" x14ac:dyDescent="0.3">
      <c r="A81" s="5" t="s">
        <v>51</v>
      </c>
      <c r="B81" s="5" t="s">
        <v>65</v>
      </c>
      <c r="E81" s="19" t="s">
        <v>100</v>
      </c>
      <c r="N81" s="5">
        <v>30</v>
      </c>
      <c r="AF81" s="5" t="s">
        <v>266</v>
      </c>
      <c r="AL81" s="4" t="s">
        <v>52</v>
      </c>
      <c r="AT81" s="5" t="s">
        <v>218</v>
      </c>
    </row>
    <row r="82" spans="1:46" x14ac:dyDescent="0.3">
      <c r="A82" s="5" t="s">
        <v>51</v>
      </c>
      <c r="B82" s="5" t="s">
        <v>65</v>
      </c>
      <c r="E82" s="19" t="s">
        <v>100</v>
      </c>
      <c r="N82" s="5">
        <v>30</v>
      </c>
      <c r="AF82" s="5" t="s">
        <v>267</v>
      </c>
      <c r="AL82" s="4" t="s">
        <v>223</v>
      </c>
      <c r="AT82" s="5" t="s">
        <v>218</v>
      </c>
    </row>
    <row r="83" spans="1:46" x14ac:dyDescent="0.3">
      <c r="A83" s="5" t="s">
        <v>51</v>
      </c>
      <c r="B83" s="5" t="s">
        <v>65</v>
      </c>
      <c r="E83" s="19" t="s">
        <v>100</v>
      </c>
      <c r="N83" s="5">
        <v>30</v>
      </c>
      <c r="AF83" s="5" t="s">
        <v>268</v>
      </c>
      <c r="AL83" s="4" t="s">
        <v>53</v>
      </c>
      <c r="AT83" s="5" t="s">
        <v>218</v>
      </c>
    </row>
    <row r="84" spans="1:46" x14ac:dyDescent="0.3">
      <c r="A84" s="5" t="s">
        <v>51</v>
      </c>
      <c r="B84" s="5" t="s">
        <v>65</v>
      </c>
      <c r="E84" s="19" t="s">
        <v>100</v>
      </c>
      <c r="N84" s="5">
        <v>30</v>
      </c>
      <c r="AF84" s="5" t="s">
        <v>263</v>
      </c>
      <c r="AL84" s="4" t="s">
        <v>55</v>
      </c>
      <c r="AT84" s="5" t="s">
        <v>218</v>
      </c>
    </row>
    <row r="85" spans="1:46" x14ac:dyDescent="0.3">
      <c r="A85" s="5" t="s">
        <v>51</v>
      </c>
      <c r="B85" s="5" t="s">
        <v>65</v>
      </c>
      <c r="E85" s="19" t="s">
        <v>100</v>
      </c>
      <c r="N85" s="5">
        <v>30</v>
      </c>
      <c r="AF85" s="5" t="s">
        <v>264</v>
      </c>
      <c r="AL85" s="4" t="s">
        <v>56</v>
      </c>
      <c r="AT85" s="5" t="s">
        <v>218</v>
      </c>
    </row>
    <row r="86" spans="1:46" x14ac:dyDescent="0.3">
      <c r="A86" s="5" t="s">
        <v>51</v>
      </c>
      <c r="B86" s="5" t="s">
        <v>65</v>
      </c>
      <c r="E86" s="19" t="s">
        <v>100</v>
      </c>
      <c r="N86" s="5">
        <v>30</v>
      </c>
      <c r="AF86" s="5" t="s">
        <v>265</v>
      </c>
      <c r="AL86" s="4" t="s">
        <v>52</v>
      </c>
      <c r="AT86" s="5" t="s">
        <v>218</v>
      </c>
    </row>
    <row r="87" spans="1:46" x14ac:dyDescent="0.3">
      <c r="A87" s="5" t="s">
        <v>51</v>
      </c>
      <c r="B87" s="5" t="s">
        <v>65</v>
      </c>
      <c r="E87" s="19" t="s">
        <v>100</v>
      </c>
      <c r="N87" s="5">
        <v>30</v>
      </c>
      <c r="AF87" s="5" t="s">
        <v>266</v>
      </c>
      <c r="AL87" s="4" t="s">
        <v>223</v>
      </c>
      <c r="AT87" s="5" t="s">
        <v>218</v>
      </c>
    </row>
    <row r="88" spans="1:46" x14ac:dyDescent="0.3">
      <c r="A88" s="5" t="s">
        <v>51</v>
      </c>
      <c r="B88" s="5" t="s">
        <v>65</v>
      </c>
      <c r="E88" s="19" t="s">
        <v>100</v>
      </c>
      <c r="N88" s="5">
        <v>30</v>
      </c>
      <c r="AF88" s="5" t="s">
        <v>267</v>
      </c>
      <c r="AL88" s="4" t="s">
        <v>53</v>
      </c>
      <c r="AT88" s="5" t="s">
        <v>218</v>
      </c>
    </row>
    <row r="89" spans="1:46" x14ac:dyDescent="0.3">
      <c r="A89" s="5" t="s">
        <v>51</v>
      </c>
      <c r="B89" s="5" t="s">
        <v>65</v>
      </c>
      <c r="E89" s="19" t="s">
        <v>100</v>
      </c>
      <c r="N89" s="5">
        <v>30</v>
      </c>
      <c r="AF89" s="5" t="s">
        <v>268</v>
      </c>
      <c r="AL89" s="4" t="s">
        <v>55</v>
      </c>
      <c r="AT89" s="5" t="s">
        <v>218</v>
      </c>
    </row>
    <row r="90" spans="1:46" x14ac:dyDescent="0.3">
      <c r="A90" s="5" t="s">
        <v>51</v>
      </c>
      <c r="B90" s="5" t="s">
        <v>65</v>
      </c>
      <c r="E90" s="19" t="s">
        <v>100</v>
      </c>
      <c r="N90" s="5">
        <v>30</v>
      </c>
      <c r="AF90" s="5" t="s">
        <v>263</v>
      </c>
      <c r="AL90" s="4" t="s">
        <v>56</v>
      </c>
      <c r="AT90" s="5" t="s">
        <v>218</v>
      </c>
    </row>
    <row r="91" spans="1:46" x14ac:dyDescent="0.3">
      <c r="A91" s="5" t="s">
        <v>51</v>
      </c>
      <c r="B91" s="5" t="s">
        <v>65</v>
      </c>
      <c r="E91" s="19" t="s">
        <v>100</v>
      </c>
      <c r="N91" s="5">
        <v>30</v>
      </c>
      <c r="AF91" s="5" t="s">
        <v>264</v>
      </c>
      <c r="AL91" s="4" t="s">
        <v>52</v>
      </c>
      <c r="AT91" s="5" t="s">
        <v>218</v>
      </c>
    </row>
    <row r="92" spans="1:46" x14ac:dyDescent="0.3">
      <c r="A92" s="5" t="s">
        <v>51</v>
      </c>
      <c r="B92" s="5" t="s">
        <v>65</v>
      </c>
      <c r="E92" s="19" t="s">
        <v>100</v>
      </c>
      <c r="N92" s="5">
        <v>30</v>
      </c>
      <c r="AF92" s="5" t="s">
        <v>263</v>
      </c>
      <c r="AT92" s="5" t="s">
        <v>218</v>
      </c>
    </row>
    <row r="93" spans="1:46" x14ac:dyDescent="0.3">
      <c r="A93" s="5" t="s">
        <v>51</v>
      </c>
      <c r="B93" s="5" t="s">
        <v>58</v>
      </c>
      <c r="E93" s="19" t="s">
        <v>224</v>
      </c>
      <c r="AT93" s="5" t="s">
        <v>218</v>
      </c>
    </row>
    <row r="94" spans="1:46" x14ac:dyDescent="0.3">
      <c r="A94" s="5" t="s">
        <v>51</v>
      </c>
      <c r="B94" s="5" t="s">
        <v>58</v>
      </c>
      <c r="E94" s="19" t="s">
        <v>225</v>
      </c>
      <c r="AT94" s="5" t="s">
        <v>218</v>
      </c>
    </row>
    <row r="95" spans="1:46" x14ac:dyDescent="0.3">
      <c r="A95" s="5" t="s">
        <v>51</v>
      </c>
      <c r="B95" s="5" t="s">
        <v>58</v>
      </c>
      <c r="E95" s="19" t="s">
        <v>226</v>
      </c>
      <c r="AT95" s="5" t="s">
        <v>218</v>
      </c>
    </row>
    <row r="96" spans="1:46" ht="27.6" x14ac:dyDescent="0.3">
      <c r="A96" s="5" t="s">
        <v>51</v>
      </c>
      <c r="B96" s="5" t="s">
        <v>58</v>
      </c>
      <c r="E96" s="19" t="s">
        <v>227</v>
      </c>
      <c r="AT96" s="5" t="s">
        <v>218</v>
      </c>
    </row>
    <row r="97" spans="1:47" x14ac:dyDescent="0.3">
      <c r="A97" s="5" t="s">
        <v>51</v>
      </c>
      <c r="B97" s="5" t="s">
        <v>58</v>
      </c>
      <c r="E97" s="19" t="s">
        <v>228</v>
      </c>
      <c r="AT97" s="5" t="s">
        <v>218</v>
      </c>
    </row>
    <row r="98" spans="1:47" ht="27.6" x14ac:dyDescent="0.3">
      <c r="A98" s="5" t="s">
        <v>51</v>
      </c>
      <c r="B98" s="5" t="s">
        <v>58</v>
      </c>
      <c r="E98" s="19" t="s">
        <v>229</v>
      </c>
      <c r="AT98" s="5" t="s">
        <v>218</v>
      </c>
    </row>
    <row r="99" spans="1:47" x14ac:dyDescent="0.3">
      <c r="A99" s="5" t="s">
        <v>51</v>
      </c>
      <c r="B99" s="5" t="s">
        <v>58</v>
      </c>
      <c r="E99" s="19" t="s">
        <v>230</v>
      </c>
      <c r="AT99" s="5" t="s">
        <v>218</v>
      </c>
    </row>
    <row r="100" spans="1:47" ht="41.4" x14ac:dyDescent="0.3">
      <c r="A100" s="5" t="s">
        <v>51</v>
      </c>
      <c r="B100" s="5" t="s">
        <v>58</v>
      </c>
      <c r="E100" s="19" t="s">
        <v>231</v>
      </c>
      <c r="AT100" s="5" t="s">
        <v>218</v>
      </c>
    </row>
    <row r="101" spans="1:47" ht="41.4" x14ac:dyDescent="0.3">
      <c r="A101" s="5" t="s">
        <v>51</v>
      </c>
      <c r="B101" s="5" t="s">
        <v>58</v>
      </c>
      <c r="E101" s="19" t="s">
        <v>232</v>
      </c>
      <c r="AT101" s="5" t="s">
        <v>218</v>
      </c>
    </row>
    <row r="102" spans="1:47" ht="27.6" x14ac:dyDescent="0.3">
      <c r="A102" s="5" t="s">
        <v>51</v>
      </c>
      <c r="B102" s="5" t="s">
        <v>58</v>
      </c>
      <c r="E102" s="19" t="s">
        <v>233</v>
      </c>
      <c r="AT102" s="5" t="s">
        <v>218</v>
      </c>
    </row>
    <row r="103" spans="1:47" ht="27.6" x14ac:dyDescent="0.3">
      <c r="A103" s="5" t="s">
        <v>51</v>
      </c>
      <c r="B103" s="5" t="s">
        <v>58</v>
      </c>
      <c r="E103" s="19" t="s">
        <v>234</v>
      </c>
      <c r="AT103" s="5" t="s">
        <v>218</v>
      </c>
    </row>
    <row r="104" spans="1:47" ht="27.6" x14ac:dyDescent="0.3">
      <c r="A104" s="5" t="s">
        <v>51</v>
      </c>
      <c r="B104" s="5" t="s">
        <v>58</v>
      </c>
      <c r="E104" s="19" t="s">
        <v>235</v>
      </c>
      <c r="AT104" s="5" t="s">
        <v>218</v>
      </c>
    </row>
    <row r="105" spans="1:47" s="5" customFormat="1" x14ac:dyDescent="0.3">
      <c r="A105" s="5" t="s">
        <v>51</v>
      </c>
      <c r="B105" s="5" t="s">
        <v>66</v>
      </c>
      <c r="C105" s="4"/>
      <c r="D105" s="4"/>
      <c r="E105" s="19" t="s">
        <v>81</v>
      </c>
      <c r="AF105" s="5" t="s">
        <v>263</v>
      </c>
      <c r="AG105" s="5" t="s">
        <v>262</v>
      </c>
      <c r="AH105" s="5" t="s">
        <v>155</v>
      </c>
      <c r="AL105" s="4" t="s">
        <v>223</v>
      </c>
      <c r="AT105" s="5" t="s">
        <v>218</v>
      </c>
    </row>
    <row r="106" spans="1:47" s="5" customFormat="1" x14ac:dyDescent="0.3">
      <c r="A106" s="5" t="s">
        <v>51</v>
      </c>
      <c r="B106" s="5" t="s">
        <v>66</v>
      </c>
      <c r="C106" s="4"/>
      <c r="D106" s="4"/>
      <c r="E106" s="19" t="s">
        <v>81</v>
      </c>
      <c r="AF106" s="5" t="s">
        <v>263</v>
      </c>
      <c r="AG106" s="5" t="s">
        <v>262</v>
      </c>
      <c r="AH106" s="5" t="s">
        <v>156</v>
      </c>
      <c r="AL106" s="4" t="s">
        <v>223</v>
      </c>
      <c r="AT106" s="5" t="s">
        <v>218</v>
      </c>
    </row>
    <row r="107" spans="1:47" s="5" customFormat="1" x14ac:dyDescent="0.3">
      <c r="A107" s="5" t="s">
        <v>51</v>
      </c>
      <c r="B107" s="5" t="s">
        <v>66</v>
      </c>
      <c r="C107" s="4"/>
      <c r="D107" s="4"/>
      <c r="E107" s="19" t="s">
        <v>81</v>
      </c>
      <c r="AF107" s="5" t="s">
        <v>263</v>
      </c>
      <c r="AG107" s="5" t="s">
        <v>262</v>
      </c>
      <c r="AH107" s="5" t="s">
        <v>157</v>
      </c>
      <c r="AL107" s="4" t="s">
        <v>223</v>
      </c>
      <c r="AT107" s="5" t="s">
        <v>218</v>
      </c>
    </row>
    <row r="108" spans="1:47" s="5" customFormat="1" x14ac:dyDescent="0.3">
      <c r="A108" s="5" t="s">
        <v>51</v>
      </c>
      <c r="B108" s="5" t="s">
        <v>66</v>
      </c>
      <c r="C108" s="4"/>
      <c r="D108" s="4"/>
      <c r="E108" s="19" t="s">
        <v>81</v>
      </c>
      <c r="AF108" s="5" t="s">
        <v>263</v>
      </c>
      <c r="AG108" s="5" t="s">
        <v>262</v>
      </c>
      <c r="AH108" s="5" t="s">
        <v>158</v>
      </c>
      <c r="AL108" s="4" t="s">
        <v>223</v>
      </c>
      <c r="AT108" s="5" t="s">
        <v>218</v>
      </c>
    </row>
    <row r="109" spans="1:47" s="5" customFormat="1" x14ac:dyDescent="0.3">
      <c r="A109" s="5" t="s">
        <v>51</v>
      </c>
      <c r="B109" s="5" t="s">
        <v>66</v>
      </c>
      <c r="C109" s="4"/>
      <c r="D109" s="4"/>
      <c r="E109" s="19" t="s">
        <v>81</v>
      </c>
      <c r="AF109" s="5" t="s">
        <v>263</v>
      </c>
      <c r="AG109" s="5" t="s">
        <v>262</v>
      </c>
      <c r="AH109" s="5" t="s">
        <v>159</v>
      </c>
      <c r="AL109" s="4" t="s">
        <v>223</v>
      </c>
      <c r="AT109" s="5" t="s">
        <v>218</v>
      </c>
    </row>
    <row r="110" spans="1:47" x14ac:dyDescent="0.3">
      <c r="A110" s="5" t="s">
        <v>51</v>
      </c>
      <c r="B110" s="5" t="s">
        <v>58</v>
      </c>
      <c r="E110" s="19" t="s">
        <v>236</v>
      </c>
      <c r="AT110" s="5" t="s">
        <v>218</v>
      </c>
      <c r="AU110" s="5" t="s">
        <v>119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199</v>
      </c>
    </row>
    <row r="3" spans="1:2" x14ac:dyDescent="0.3">
      <c r="A3" t="s">
        <v>196</v>
      </c>
    </row>
    <row r="4" spans="1:2" x14ac:dyDescent="0.3">
      <c r="B4" t="s">
        <v>195</v>
      </c>
    </row>
    <row r="5" spans="1:2" x14ac:dyDescent="0.3">
      <c r="A5" t="s">
        <v>210</v>
      </c>
    </row>
    <row r="6" spans="1:2" x14ac:dyDescent="0.3">
      <c r="B6" t="s">
        <v>211</v>
      </c>
    </row>
    <row r="7" spans="1:2" x14ac:dyDescent="0.3">
      <c r="A7" t="s">
        <v>212</v>
      </c>
    </row>
    <row r="8" spans="1:2" x14ac:dyDescent="0.3">
      <c r="B8" t="s">
        <v>197</v>
      </c>
    </row>
    <row r="9" spans="1:2" x14ac:dyDescent="0.3">
      <c r="A9" t="s">
        <v>213</v>
      </c>
    </row>
    <row r="10" spans="1:2" x14ac:dyDescent="0.3">
      <c r="B10" t="s">
        <v>198</v>
      </c>
    </row>
    <row r="11" spans="1:2" x14ac:dyDescent="0.3">
      <c r="A11" t="s">
        <v>214</v>
      </c>
    </row>
    <row r="12" spans="1:2" x14ac:dyDescent="0.3">
      <c r="B12" t="s">
        <v>200</v>
      </c>
    </row>
    <row r="13" spans="1:2" x14ac:dyDescent="0.3">
      <c r="B13" t="s">
        <v>201</v>
      </c>
    </row>
    <row r="14" spans="1:2" x14ac:dyDescent="0.3">
      <c r="A14" t="s">
        <v>215</v>
      </c>
    </row>
    <row r="15" spans="1:2" x14ac:dyDescent="0.3">
      <c r="B15" t="s">
        <v>202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66"/>
  <sheetViews>
    <sheetView zoomScale="90" zoomScaleNormal="90" workbookViewId="0"/>
  </sheetViews>
  <sheetFormatPr defaultRowHeight="14.4" x14ac:dyDescent="0.3"/>
  <cols>
    <col min="1" max="1" width="13.44140625" bestFit="1" customWidth="1"/>
    <col min="2" max="2" width="24.44140625" bestFit="1" customWidth="1"/>
    <col min="3" max="3" width="10.21875" bestFit="1" customWidth="1"/>
    <col min="4" max="4" width="24.44140625" bestFit="1" customWidth="1"/>
    <col min="5" max="5" width="13.77734375" bestFit="1" customWidth="1"/>
    <col min="6" max="6" width="18.21875" bestFit="1" customWidth="1"/>
    <col min="7" max="7" width="16" bestFit="1" customWidth="1"/>
    <col min="8" max="8" width="20.77734375" bestFit="1" customWidth="1"/>
    <col min="9" max="9" width="12" customWidth="1"/>
    <col min="10" max="10" width="24.44140625" bestFit="1" customWidth="1"/>
    <col min="11" max="11" width="19.109375" bestFit="1" customWidth="1"/>
    <col min="12" max="12" width="14.5546875" customWidth="1"/>
    <col min="13" max="13" width="14.109375" customWidth="1"/>
    <col min="14" max="14" width="15.6640625" customWidth="1"/>
    <col min="15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8.21875" bestFit="1" customWidth="1"/>
    <col min="29" max="29" width="24.44140625" bestFit="1" customWidth="1"/>
    <col min="30" max="30" width="29.44140625" bestFit="1" customWidth="1"/>
  </cols>
  <sheetData>
    <row r="1" spans="1:30" x14ac:dyDescent="0.3">
      <c r="A1" s="39" t="s">
        <v>180</v>
      </c>
      <c r="B1" t="s">
        <v>154</v>
      </c>
      <c r="K1" t="s">
        <v>281</v>
      </c>
      <c r="L1" t="s">
        <v>256</v>
      </c>
      <c r="M1" t="s">
        <v>135</v>
      </c>
      <c r="N1" t="s">
        <v>255</v>
      </c>
      <c r="O1" t="s">
        <v>260</v>
      </c>
      <c r="P1" t="s">
        <v>256</v>
      </c>
      <c r="Q1" s="84" t="s">
        <v>135</v>
      </c>
      <c r="R1" s="84"/>
      <c r="S1" s="84" t="s">
        <v>255</v>
      </c>
      <c r="T1" s="84"/>
      <c r="U1" s="84" t="s">
        <v>260</v>
      </c>
      <c r="V1" s="84"/>
      <c r="W1" s="84" t="s">
        <v>256</v>
      </c>
      <c r="X1" s="84"/>
      <c r="AB1" s="16" t="s">
        <v>135</v>
      </c>
      <c r="AC1" t="s">
        <v>262</v>
      </c>
    </row>
    <row r="2" spans="1:30" x14ac:dyDescent="0.3">
      <c r="A2" t="s">
        <v>137</v>
      </c>
      <c r="B2" s="44">
        <f ca="1">MAX(NETWORKDAYS($D$3,$E$6,$Z$3:$Z$9)/NETWORKDAYS($D$3,$E$3,$Z$3:$Z$9),0%)</f>
        <v>0.13432835820895522</v>
      </c>
      <c r="D2" s="28" t="s">
        <v>124</v>
      </c>
      <c r="E2" s="29" t="s">
        <v>125</v>
      </c>
      <c r="G2" s="22" t="s">
        <v>139</v>
      </c>
      <c r="H2" s="22" t="s">
        <v>124</v>
      </c>
      <c r="I2" s="22" t="s">
        <v>125</v>
      </c>
      <c r="J2" s="22" t="s">
        <v>168</v>
      </c>
      <c r="K2" s="22" t="s">
        <v>178</v>
      </c>
      <c r="L2" s="22" t="s">
        <v>178</v>
      </c>
      <c r="M2" s="64" t="s">
        <v>179</v>
      </c>
      <c r="N2" s="22" t="s">
        <v>179</v>
      </c>
      <c r="O2" s="22" t="s">
        <v>179</v>
      </c>
      <c r="P2" s="22" t="s">
        <v>179</v>
      </c>
      <c r="Q2" s="22" t="s">
        <v>193</v>
      </c>
      <c r="R2" s="79" t="s">
        <v>194</v>
      </c>
      <c r="S2" s="22" t="s">
        <v>193</v>
      </c>
      <c r="T2" s="22" t="s">
        <v>194</v>
      </c>
      <c r="U2" s="22" t="s">
        <v>193</v>
      </c>
      <c r="V2" s="22" t="s">
        <v>194</v>
      </c>
      <c r="W2" s="22" t="s">
        <v>193</v>
      </c>
      <c r="X2" s="22" t="s">
        <v>194</v>
      </c>
      <c r="Z2" s="25" t="s">
        <v>167</v>
      </c>
      <c r="AB2" s="16" t="s">
        <v>9</v>
      </c>
      <c r="AC2" t="s">
        <v>62</v>
      </c>
    </row>
    <row r="3" spans="1:30" x14ac:dyDescent="0.3">
      <c r="A3" t="s">
        <v>138</v>
      </c>
      <c r="B3" s="30">
        <f ca="1">MAX(100%,B2)-B2</f>
        <v>0.86567164179104483</v>
      </c>
      <c r="D3" s="26">
        <v>43873</v>
      </c>
      <c r="E3" s="27">
        <v>43970</v>
      </c>
      <c r="J3" s="34"/>
      <c r="K3" s="33">
        <v>0</v>
      </c>
      <c r="L3" s="33">
        <v>0</v>
      </c>
      <c r="M3" s="78">
        <v>0.11</v>
      </c>
      <c r="N3" s="76">
        <v>0.28999999999999998</v>
      </c>
      <c r="O3" s="76">
        <v>0</v>
      </c>
      <c r="P3" s="76">
        <v>0</v>
      </c>
      <c r="Q3" s="40">
        <f>$Q$25*(100%-K3)</f>
        <v>470</v>
      </c>
      <c r="R3" s="42">
        <v>465</v>
      </c>
      <c r="S3" s="40">
        <f>$Q$26*(100%-K3)</f>
        <v>200</v>
      </c>
      <c r="T3" s="42">
        <v>136</v>
      </c>
      <c r="U3" s="40">
        <f>$Q$27*(100%-L3)</f>
        <v>200</v>
      </c>
      <c r="V3" s="42">
        <v>178</v>
      </c>
      <c r="W3" s="40">
        <f>$Q$28*(100%-K3)</f>
        <v>60</v>
      </c>
      <c r="X3" s="42">
        <v>59</v>
      </c>
      <c r="Z3" s="32">
        <v>43878</v>
      </c>
      <c r="AB3" s="16" t="s">
        <v>247</v>
      </c>
      <c r="AC3" t="s">
        <v>218</v>
      </c>
    </row>
    <row r="4" spans="1:30" x14ac:dyDescent="0.3">
      <c r="D4" s="45"/>
      <c r="E4" s="46">
        <v>43970</v>
      </c>
      <c r="G4" s="23" t="s">
        <v>263</v>
      </c>
      <c r="H4" s="24">
        <v>43873</v>
      </c>
      <c r="I4" s="24">
        <f>H4+13</f>
        <v>43886</v>
      </c>
      <c r="J4" s="35">
        <f t="shared" ref="J4:J9" si="0">NETWORKDAYS(H4,I4,$Z$3:$Z$9)</f>
        <v>9</v>
      </c>
      <c r="K4" s="36">
        <f>SUM($J$4:J4)/SUM($J$4:$J$10)</f>
        <v>0.13432835820895522</v>
      </c>
      <c r="L4" s="36">
        <f>SUM($J$4:J4)/SUM($J$4:$J$10)</f>
        <v>0.13432835820895522</v>
      </c>
      <c r="M4" s="70">
        <f>100%-GETPIVOTDATA("Epic Remaining Estimate",$AB$4)/GETPIVOTDATA("Epic Total Estimate",$AB$4)</f>
        <v>0.25</v>
      </c>
      <c r="N4" s="76">
        <f>100%-GETPIVOTDATA("Epic Remaining Estimate",$AB$4,"ST:Components","Admin")/GETPIVOTDATA("Epic Total Estimate",$AB$4,"ST:Components","Admin")</f>
        <v>-0.5</v>
      </c>
      <c r="O4" s="76">
        <f>100%-GETPIVOTDATA("Epic Remaining Estimate",$AB$4,"ST:Components","Visio Import/Export")/GETPIVOTDATA("Epic Total Estimate",$AB$4,"ST:Components","Visio Import/Export")</f>
        <v>-2</v>
      </c>
      <c r="P4" s="76">
        <f>100%-GETPIVOTDATA("Epic Remaining Estimate",$AB$4,"ST:Components","Logging and Audit")/GETPIVOTDATA("Epic Total Estimate",$AB$4,"ST:Components","Logging and Audit")</f>
        <v>-2</v>
      </c>
      <c r="Q4" s="40">
        <f>$Q$25*(100%-K4)</f>
        <v>406.8656716417911</v>
      </c>
      <c r="R4" s="42">
        <f>GETPIVOTDATA("Epic Remaining Estimate",$AB$4)</f>
        <v>450</v>
      </c>
      <c r="S4" s="42">
        <f>$Q$26*(100%-K4)</f>
        <v>173.13432835820896</v>
      </c>
      <c r="T4" s="42">
        <f>GETPIVOTDATA("Epic Remaining Estimate",$AB$4,"ST:Components","Admin")</f>
        <v>150</v>
      </c>
      <c r="U4" s="40">
        <f>$Q$27*(100%-L4)</f>
        <v>173.13432835820896</v>
      </c>
      <c r="V4" s="42">
        <f>GETPIVOTDATA("Epic Remaining Estimate",$AB$4,"ST:Components","Visio Import/Export")</f>
        <v>150</v>
      </c>
      <c r="W4" s="40">
        <f>$Q$28*(100%-K4)</f>
        <v>51.940298507462693</v>
      </c>
      <c r="X4" s="42">
        <f>GETPIVOTDATA("Epic Remaining Estimate",$AB$4,"ST:Components","Logging and Audit")</f>
        <v>150</v>
      </c>
      <c r="Z4" s="32">
        <v>43931</v>
      </c>
    </row>
    <row r="5" spans="1:30" x14ac:dyDescent="0.3">
      <c r="A5" s="39" t="s">
        <v>135</v>
      </c>
      <c r="D5" t="s">
        <v>183</v>
      </c>
      <c r="E5" s="25" t="s">
        <v>181</v>
      </c>
      <c r="G5" s="23" t="s">
        <v>264</v>
      </c>
      <c r="H5" s="24">
        <f>I4+1</f>
        <v>43887</v>
      </c>
      <c r="I5" s="24">
        <f>I4+14</f>
        <v>43900</v>
      </c>
      <c r="J5" s="35">
        <f t="shared" si="0"/>
        <v>10</v>
      </c>
      <c r="K5" s="36">
        <f>SUM($J$4:J5)/SUM($J$4:$J$10)</f>
        <v>0.28358208955223879</v>
      </c>
      <c r="L5" s="36">
        <f>SUM($J$4:J5)/SUM($J$4:$J$10)</f>
        <v>0.28358208955223879</v>
      </c>
      <c r="M5" s="70"/>
      <c r="N5" s="76"/>
      <c r="O5" s="76"/>
      <c r="P5" s="76"/>
      <c r="Q5" s="40">
        <f t="shared" ref="Q5:Q9" si="1">$Q$25*(100%-K5)</f>
        <v>336.71641791044777</v>
      </c>
      <c r="R5" s="42"/>
      <c r="S5" s="42">
        <f t="shared" ref="S5:S9" si="2">$Q$26*(100%-K5)</f>
        <v>143.28358208955225</v>
      </c>
      <c r="T5" s="42"/>
      <c r="U5" s="40">
        <f t="shared" ref="U5:U9" si="3">$Q$27*(100%-L5)</f>
        <v>143.28358208955225</v>
      </c>
      <c r="V5" s="42"/>
      <c r="W5" s="40">
        <f t="shared" ref="W5:W9" si="4">$Q$28*(100%-K5)</f>
        <v>42.985074626865675</v>
      </c>
      <c r="X5" s="42"/>
      <c r="Z5" s="32">
        <v>43969</v>
      </c>
      <c r="AB5" s="16" t="s">
        <v>140</v>
      </c>
      <c r="AC5" t="s">
        <v>112</v>
      </c>
      <c r="AD5" t="s">
        <v>111</v>
      </c>
    </row>
    <row r="6" spans="1:30" x14ac:dyDescent="0.3">
      <c r="A6" t="s">
        <v>137</v>
      </c>
      <c r="B6" s="44">
        <f>100%-GETPIVOTDATA("Epic Remaining Estimate",$AB$4)/GETPIVOTDATA("Epic Total Estimate",$AB$4)</f>
        <v>0.25</v>
      </c>
      <c r="C6" s="21"/>
      <c r="D6" s="21" t="s">
        <v>182</v>
      </c>
      <c r="E6" s="25">
        <f ca="1">TODAY()</f>
        <v>43886</v>
      </c>
      <c r="G6" s="23" t="s">
        <v>265</v>
      </c>
      <c r="H6" s="24">
        <f>I5+1</f>
        <v>43901</v>
      </c>
      <c r="I6" s="24">
        <f>I5+14</f>
        <v>43914</v>
      </c>
      <c r="J6" s="35">
        <f t="shared" si="0"/>
        <v>10</v>
      </c>
      <c r="K6" s="36">
        <f>SUM($J$4:J6)/SUM($J$4:$J$10)</f>
        <v>0.43283582089552236</v>
      </c>
      <c r="L6" s="36">
        <f>SUM($J$4:J6)/SUM($J$4:$J$10)</f>
        <v>0.43283582089552236</v>
      </c>
      <c r="M6" s="70"/>
      <c r="N6" s="76"/>
      <c r="O6" s="76"/>
      <c r="P6" s="76"/>
      <c r="Q6" s="40">
        <f t="shared" ref="Q6" si="5">$Q$25*(100%-K6)</f>
        <v>266.56716417910451</v>
      </c>
      <c r="R6" s="42"/>
      <c r="S6" s="42">
        <f t="shared" ref="S6" si="6">$Q$26*(100%-K6)</f>
        <v>113.43283582089553</v>
      </c>
      <c r="T6" s="42"/>
      <c r="U6" s="40">
        <f t="shared" ref="U6" si="7">$Q$27*(100%-L6)</f>
        <v>113.43283582089553</v>
      </c>
      <c r="V6" s="42"/>
      <c r="W6" s="40">
        <f t="shared" ref="W6" si="8">$Q$28*(100%-K6)</f>
        <v>34.029850746268664</v>
      </c>
      <c r="X6" s="42"/>
      <c r="Z6" s="32"/>
      <c r="AB6" s="17" t="s">
        <v>184</v>
      </c>
      <c r="AC6" s="20">
        <v>400</v>
      </c>
      <c r="AD6" s="20"/>
    </row>
    <row r="7" spans="1:30" x14ac:dyDescent="0.3">
      <c r="A7" t="s">
        <v>138</v>
      </c>
      <c r="B7" s="30">
        <f>MAX(100%,B6)-B6</f>
        <v>0.75</v>
      </c>
      <c r="D7" s="21"/>
      <c r="E7" s="20"/>
      <c r="G7" s="23" t="s">
        <v>266</v>
      </c>
      <c r="H7" s="24">
        <f t="shared" ref="H7:H9" si="9">I6+1</f>
        <v>43915</v>
      </c>
      <c r="I7" s="24">
        <f t="shared" ref="I7:I10" si="10">I6+14</f>
        <v>43928</v>
      </c>
      <c r="J7" s="35">
        <f t="shared" si="0"/>
        <v>10</v>
      </c>
      <c r="K7" s="36">
        <f>SUM($J$4:J7)/SUM($J$4:$J$10)</f>
        <v>0.58208955223880599</v>
      </c>
      <c r="L7" s="36">
        <f>SUM($J$4:J7)/SUM($J$4:$J$10)</f>
        <v>0.58208955223880599</v>
      </c>
      <c r="M7" s="70"/>
      <c r="N7" s="76"/>
      <c r="O7" s="76"/>
      <c r="P7" s="76"/>
      <c r="Q7" s="40">
        <f t="shared" si="1"/>
        <v>196.41791044776119</v>
      </c>
      <c r="R7" s="42"/>
      <c r="S7" s="42">
        <f t="shared" si="2"/>
        <v>83.582089552238799</v>
      </c>
      <c r="T7" s="42"/>
      <c r="U7" s="40">
        <f t="shared" si="3"/>
        <v>83.582089552238799</v>
      </c>
      <c r="V7" s="42"/>
      <c r="W7" s="40">
        <f t="shared" si="4"/>
        <v>25.07462686567164</v>
      </c>
      <c r="X7" s="42"/>
      <c r="Z7" s="32"/>
      <c r="AB7" s="17" t="s">
        <v>255</v>
      </c>
      <c r="AC7" s="20">
        <v>100</v>
      </c>
      <c r="AD7" s="20">
        <v>150</v>
      </c>
    </row>
    <row r="8" spans="1:30" x14ac:dyDescent="0.3">
      <c r="B8" s="21"/>
      <c r="C8" s="21"/>
      <c r="G8" s="23" t="s">
        <v>267</v>
      </c>
      <c r="H8" s="24">
        <f t="shared" si="9"/>
        <v>43929</v>
      </c>
      <c r="I8" s="24">
        <f t="shared" si="10"/>
        <v>43942</v>
      </c>
      <c r="J8" s="35">
        <f t="shared" si="0"/>
        <v>9</v>
      </c>
      <c r="K8" s="36">
        <f>SUM($J$4:J8)/SUM($J$4:$J$10)</f>
        <v>0.71641791044776115</v>
      </c>
      <c r="L8" s="36">
        <f>SUM($J$4:J8)/SUM($J$4:$J$10)</f>
        <v>0.71641791044776115</v>
      </c>
      <c r="M8" s="70"/>
      <c r="N8" s="76"/>
      <c r="O8" s="76"/>
      <c r="P8" s="76"/>
      <c r="Q8" s="40">
        <f t="shared" si="1"/>
        <v>133.28358208955225</v>
      </c>
      <c r="R8" s="42"/>
      <c r="S8" s="42">
        <f t="shared" si="2"/>
        <v>56.716417910447767</v>
      </c>
      <c r="T8" s="42"/>
      <c r="U8" s="40">
        <f t="shared" si="3"/>
        <v>56.716417910447767</v>
      </c>
      <c r="V8" s="42"/>
      <c r="W8" s="40">
        <f t="shared" si="4"/>
        <v>17.014925373134332</v>
      </c>
      <c r="X8" s="42"/>
      <c r="Z8" s="32"/>
      <c r="AB8" s="17" t="s">
        <v>279</v>
      </c>
      <c r="AC8" s="20">
        <v>50</v>
      </c>
      <c r="AD8" s="20">
        <v>150</v>
      </c>
    </row>
    <row r="9" spans="1:30" x14ac:dyDescent="0.3">
      <c r="A9" s="39" t="s">
        <v>255</v>
      </c>
      <c r="B9" s="21"/>
      <c r="C9" s="21"/>
      <c r="D9" s="21"/>
      <c r="G9" s="67" t="s">
        <v>268</v>
      </c>
      <c r="H9" s="68">
        <f t="shared" si="9"/>
        <v>43943</v>
      </c>
      <c r="I9" s="68">
        <f t="shared" si="10"/>
        <v>43956</v>
      </c>
      <c r="J9" s="69">
        <f t="shared" si="0"/>
        <v>10</v>
      </c>
      <c r="K9" s="70">
        <f>SUM($J$4:J9)/SUM($J$4:$J$10)</f>
        <v>0.86567164179104472</v>
      </c>
      <c r="L9" s="70">
        <f>SUM($J$4:J9)/SUM($J$4:$J$10)</f>
        <v>0.86567164179104472</v>
      </c>
      <c r="M9" s="70"/>
      <c r="N9" s="76"/>
      <c r="O9" s="76"/>
      <c r="P9" s="76"/>
      <c r="Q9" s="42">
        <f t="shared" si="1"/>
        <v>63.134328358208982</v>
      </c>
      <c r="R9" s="42"/>
      <c r="S9" s="42">
        <f t="shared" si="2"/>
        <v>26.865671641791057</v>
      </c>
      <c r="T9" s="42"/>
      <c r="U9" s="42">
        <f t="shared" si="3"/>
        <v>26.865671641791057</v>
      </c>
      <c r="V9" s="42"/>
      <c r="W9" s="42">
        <f t="shared" si="4"/>
        <v>8.0597014925373163</v>
      </c>
      <c r="X9" s="42"/>
      <c r="Z9" s="32"/>
      <c r="AB9" s="17" t="s">
        <v>280</v>
      </c>
      <c r="AC9" s="20">
        <v>50</v>
      </c>
      <c r="AD9" s="20">
        <v>150</v>
      </c>
    </row>
    <row r="10" spans="1:30" x14ac:dyDescent="0.3">
      <c r="A10" t="s">
        <v>137</v>
      </c>
      <c r="B10" s="44">
        <f>100%-GETPIVOTDATA("Epic Remaining Estimate",$AB$4,"ST:Components","Admin")/GETPIVOTDATA("Epic Total Estimate",$AB$4,"ST:Components","Admin")</f>
        <v>-0.5</v>
      </c>
      <c r="G10" s="72" t="s">
        <v>269</v>
      </c>
      <c r="H10" s="73">
        <f t="shared" ref="H10" si="11">I9+1</f>
        <v>43957</v>
      </c>
      <c r="I10" s="73">
        <f t="shared" si="10"/>
        <v>43970</v>
      </c>
      <c r="J10" s="74">
        <f t="shared" ref="J10" si="12">NETWORKDAYS(H10,I10,$Z$3:$Z$9)</f>
        <v>9</v>
      </c>
      <c r="K10" s="75">
        <f>SUM($J$4:J10)/SUM($J$4:$J$10)</f>
        <v>1</v>
      </c>
      <c r="L10" s="75">
        <f>SUM($J$4:J10)/SUM($J$4:$J$10)</f>
        <v>1</v>
      </c>
      <c r="M10" s="75"/>
      <c r="N10" s="77"/>
      <c r="O10" s="77"/>
      <c r="P10" s="77"/>
      <c r="Q10" s="71">
        <f t="shared" ref="Q10" si="13">$Q$25*(100%-K10)</f>
        <v>0</v>
      </c>
      <c r="R10" s="71"/>
      <c r="S10" s="71">
        <f t="shared" ref="S10" si="14">$Q$26*(100%-K10)</f>
        <v>0</v>
      </c>
      <c r="T10" s="71"/>
      <c r="U10" s="71">
        <f t="shared" ref="U10" si="15">$Q$27*(100%-L10)</f>
        <v>0</v>
      </c>
      <c r="V10" s="71"/>
      <c r="W10" s="71">
        <f t="shared" ref="W10" si="16">$Q$28*(100%-K10)</f>
        <v>0</v>
      </c>
      <c r="X10" s="71"/>
      <c r="Z10" s="32"/>
      <c r="AB10" s="17" t="s">
        <v>50</v>
      </c>
      <c r="AC10" s="20">
        <v>600</v>
      </c>
      <c r="AD10" s="20">
        <v>450</v>
      </c>
    </row>
    <row r="11" spans="1:30" x14ac:dyDescent="0.3">
      <c r="A11" t="s">
        <v>138</v>
      </c>
      <c r="B11" s="30">
        <f>MAX(100%,B10)-B10</f>
        <v>1.5</v>
      </c>
      <c r="G11" s="67"/>
      <c r="H11" s="68"/>
      <c r="I11" s="68"/>
      <c r="J11" s="69"/>
      <c r="K11" s="70"/>
      <c r="L11" s="70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66"/>
      <c r="X11" s="66"/>
      <c r="Z11" s="32"/>
    </row>
    <row r="12" spans="1:30" x14ac:dyDescent="0.3">
      <c r="G12" s="23"/>
      <c r="H12" s="24"/>
      <c r="I12" s="24"/>
      <c r="J12" s="35"/>
      <c r="K12" s="36"/>
      <c r="L12" s="36"/>
      <c r="M12" s="38"/>
      <c r="N12" s="38"/>
      <c r="O12" s="38"/>
      <c r="P12" s="38"/>
      <c r="Q12" s="40"/>
      <c r="R12" s="41"/>
      <c r="S12" s="42"/>
      <c r="T12" s="41"/>
      <c r="U12" s="40"/>
      <c r="V12" s="41"/>
      <c r="W12" s="41"/>
      <c r="X12" s="41"/>
      <c r="Z12" s="32"/>
    </row>
    <row r="13" spans="1:30" x14ac:dyDescent="0.3">
      <c r="A13" s="39" t="s">
        <v>260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0" x14ac:dyDescent="0.3">
      <c r="A14" t="s">
        <v>137</v>
      </c>
      <c r="B14" s="44">
        <f>100%-GETPIVOTDATA("Epic Remaining Estimate",$AB$4,"ST:Components","Visio Import/Export")/GETPIVOTDATA("Epic Total Estimate",$AB$4,"ST:Components","Visio Import/Export")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0" x14ac:dyDescent="0.3">
      <c r="A15" t="s">
        <v>138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0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</row>
    <row r="17" spans="1:24" x14ac:dyDescent="0.3">
      <c r="A17" s="39" t="s">
        <v>261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</row>
    <row r="18" spans="1:24" x14ac:dyDescent="0.3">
      <c r="A18" t="s">
        <v>137</v>
      </c>
      <c r="B18" s="44">
        <f>100%-GETPIVOTDATA("Epic Remaining Estimate",$AB$4,"ST:Components","Logging and Audit")/GETPIVOTDATA("Epic Total Estimate",$AB$4,"ST:Components","Logging and Audit")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</row>
    <row r="19" spans="1:24" x14ac:dyDescent="0.3">
      <c r="A19" t="s">
        <v>138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24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</row>
    <row r="21" spans="1:24" x14ac:dyDescent="0.3">
      <c r="A21" s="39" t="s">
        <v>278</v>
      </c>
      <c r="B21" s="39"/>
    </row>
    <row r="22" spans="1:24" x14ac:dyDescent="0.3">
      <c r="A22" t="s">
        <v>137</v>
      </c>
      <c r="B22" s="44">
        <f ca="1">MAX(NETWORKDAYS($D$3,$E$6,$Z$3:$Z$9)/NETWORKDAYS($D$3,$E$3,$Z$3:$Z$9),0%)</f>
        <v>0.13432835820895522</v>
      </c>
    </row>
    <row r="23" spans="1:24" x14ac:dyDescent="0.3">
      <c r="A23" t="s">
        <v>138</v>
      </c>
      <c r="B23" s="30">
        <f ca="1">MAX(100%,B22)-B22</f>
        <v>0.86567164179104483</v>
      </c>
    </row>
    <row r="24" spans="1:24" x14ac:dyDescent="0.3">
      <c r="D24" s="16" t="s">
        <v>135</v>
      </c>
      <c r="E24" t="s">
        <v>262</v>
      </c>
      <c r="G24" s="16" t="s">
        <v>135</v>
      </c>
      <c r="H24" t="s">
        <v>262</v>
      </c>
      <c r="J24" s="16" t="s">
        <v>135</v>
      </c>
      <c r="K24" t="s">
        <v>262</v>
      </c>
      <c r="P24" t="s">
        <v>221</v>
      </c>
      <c r="Q24" t="s">
        <v>222</v>
      </c>
    </row>
    <row r="25" spans="1:24" x14ac:dyDescent="0.3">
      <c r="A25" s="16" t="s">
        <v>135</v>
      </c>
      <c r="B25" t="s">
        <v>262</v>
      </c>
      <c r="D25" s="16" t="s">
        <v>9</v>
      </c>
      <c r="E25" t="s">
        <v>62</v>
      </c>
      <c r="G25" s="16" t="s">
        <v>9</v>
      </c>
      <c r="H25" t="s">
        <v>62</v>
      </c>
      <c r="J25" s="16" t="s">
        <v>9</v>
      </c>
      <c r="K25" t="s">
        <v>62</v>
      </c>
      <c r="P25" t="s">
        <v>135</v>
      </c>
      <c r="Q25">
        <v>470</v>
      </c>
    </row>
    <row r="26" spans="1:24" x14ac:dyDescent="0.3">
      <c r="A26" s="16" t="s">
        <v>9</v>
      </c>
      <c r="B26" t="s">
        <v>62</v>
      </c>
      <c r="C26" s="37"/>
      <c r="D26" s="16" t="s">
        <v>20</v>
      </c>
      <c r="E26" t="s">
        <v>255</v>
      </c>
      <c r="G26" s="16" t="s">
        <v>20</v>
      </c>
      <c r="H26" t="s">
        <v>279</v>
      </c>
      <c r="J26" s="16" t="s">
        <v>20</v>
      </c>
      <c r="K26" t="s">
        <v>280</v>
      </c>
      <c r="P26" t="s">
        <v>255</v>
      </c>
      <c r="Q26">
        <v>200</v>
      </c>
    </row>
    <row r="27" spans="1:24" x14ac:dyDescent="0.3">
      <c r="A27" s="16" t="s">
        <v>247</v>
      </c>
      <c r="B27" t="s">
        <v>218</v>
      </c>
      <c r="D27" s="16" t="s">
        <v>247</v>
      </c>
      <c r="E27" t="s">
        <v>218</v>
      </c>
      <c r="G27" s="16" t="s">
        <v>247</v>
      </c>
      <c r="H27" t="s">
        <v>218</v>
      </c>
      <c r="J27" s="16" t="s">
        <v>247</v>
      </c>
      <c r="K27" t="s">
        <v>218</v>
      </c>
      <c r="P27" t="s">
        <v>260</v>
      </c>
      <c r="Q27">
        <v>200</v>
      </c>
    </row>
    <row r="28" spans="1:24" x14ac:dyDescent="0.3">
      <c r="L28" s="16"/>
      <c r="M28" s="16"/>
      <c r="N28" s="16"/>
      <c r="O28" s="16"/>
      <c r="P28" t="s">
        <v>261</v>
      </c>
      <c r="Q28" s="16">
        <v>60</v>
      </c>
    </row>
    <row r="29" spans="1:24" x14ac:dyDescent="0.3">
      <c r="A29" s="16" t="s">
        <v>172</v>
      </c>
      <c r="D29" s="16" t="s">
        <v>172</v>
      </c>
      <c r="G29" s="16" t="s">
        <v>172</v>
      </c>
      <c r="J29" s="16" t="s">
        <v>172</v>
      </c>
    </row>
    <row r="30" spans="1:24" x14ac:dyDescent="0.3">
      <c r="A30" s="17" t="s">
        <v>173</v>
      </c>
      <c r="B30" s="20">
        <v>150</v>
      </c>
      <c r="D30" s="17" t="s">
        <v>173</v>
      </c>
      <c r="E30" s="20">
        <v>-50</v>
      </c>
      <c r="G30" s="17" t="s">
        <v>173</v>
      </c>
      <c r="H30" s="20">
        <v>-100</v>
      </c>
      <c r="J30" s="17" t="s">
        <v>173</v>
      </c>
      <c r="K30" s="20">
        <v>-100</v>
      </c>
    </row>
    <row r="31" spans="1:24" x14ac:dyDescent="0.3">
      <c r="A31" s="17" t="s">
        <v>174</v>
      </c>
      <c r="B31" s="20">
        <v>120</v>
      </c>
      <c r="D31" s="17" t="s">
        <v>174</v>
      </c>
      <c r="E31" s="20">
        <v>40</v>
      </c>
      <c r="G31" s="17" t="s">
        <v>174</v>
      </c>
      <c r="H31" s="20">
        <v>40</v>
      </c>
      <c r="J31" s="17" t="s">
        <v>174</v>
      </c>
      <c r="K31" s="20">
        <v>40</v>
      </c>
    </row>
    <row r="32" spans="1:24" x14ac:dyDescent="0.3">
      <c r="A32" s="17" t="s">
        <v>148</v>
      </c>
      <c r="B32" s="20">
        <v>180</v>
      </c>
      <c r="D32" s="17" t="s">
        <v>148</v>
      </c>
      <c r="E32" s="20">
        <v>60</v>
      </c>
      <c r="G32" s="17" t="s">
        <v>148</v>
      </c>
      <c r="H32" s="20">
        <v>60</v>
      </c>
      <c r="J32" s="17" t="s">
        <v>148</v>
      </c>
      <c r="K32" s="20">
        <v>60</v>
      </c>
    </row>
    <row r="33" spans="1:11" x14ac:dyDescent="0.3">
      <c r="A33" s="17" t="s">
        <v>175</v>
      </c>
      <c r="B33" s="20">
        <v>90</v>
      </c>
      <c r="D33" s="17" t="s">
        <v>175</v>
      </c>
      <c r="E33" s="20">
        <v>30</v>
      </c>
      <c r="G33" s="17" t="s">
        <v>175</v>
      </c>
      <c r="H33" s="20">
        <v>30</v>
      </c>
      <c r="J33" s="17" t="s">
        <v>175</v>
      </c>
      <c r="K33" s="20">
        <v>30</v>
      </c>
    </row>
    <row r="34" spans="1:11" x14ac:dyDescent="0.3">
      <c r="A34" s="17" t="s">
        <v>176</v>
      </c>
      <c r="B34" s="20">
        <v>60</v>
      </c>
      <c r="D34" s="17" t="s">
        <v>176</v>
      </c>
      <c r="E34" s="20">
        <v>-80</v>
      </c>
      <c r="G34" s="17" t="s">
        <v>176</v>
      </c>
      <c r="H34" s="20">
        <v>-130</v>
      </c>
      <c r="J34" s="17" t="s">
        <v>176</v>
      </c>
      <c r="K34" s="20">
        <v>-130</v>
      </c>
    </row>
    <row r="35" spans="1:11" x14ac:dyDescent="0.3">
      <c r="A35" s="17"/>
      <c r="B35" s="20"/>
      <c r="D35" s="17"/>
      <c r="E35" s="20"/>
      <c r="G35" s="17"/>
      <c r="H35" s="20"/>
      <c r="J35" s="17"/>
      <c r="K35" s="20"/>
    </row>
    <row r="36" spans="1:11" x14ac:dyDescent="0.3">
      <c r="A36" s="16" t="s">
        <v>135</v>
      </c>
      <c r="B36" t="s">
        <v>262</v>
      </c>
    </row>
    <row r="37" spans="1:11" x14ac:dyDescent="0.3">
      <c r="A37" s="16" t="s">
        <v>9</v>
      </c>
      <c r="B37" t="s">
        <v>62</v>
      </c>
      <c r="D37" s="16" t="s">
        <v>135</v>
      </c>
      <c r="E37" t="s">
        <v>262</v>
      </c>
      <c r="G37" s="16" t="s">
        <v>135</v>
      </c>
      <c r="H37" t="s">
        <v>262</v>
      </c>
      <c r="J37" s="16" t="s">
        <v>135</v>
      </c>
      <c r="K37" t="s">
        <v>262</v>
      </c>
    </row>
    <row r="38" spans="1:11" x14ac:dyDescent="0.3">
      <c r="A38" s="16" t="s">
        <v>247</v>
      </c>
      <c r="B38" t="s">
        <v>218</v>
      </c>
      <c r="D38" s="16" t="s">
        <v>9</v>
      </c>
      <c r="E38" t="s">
        <v>62</v>
      </c>
      <c r="G38" s="16" t="s">
        <v>9</v>
      </c>
      <c r="H38" t="s">
        <v>62</v>
      </c>
      <c r="J38" s="16" t="s">
        <v>9</v>
      </c>
      <c r="K38" t="s">
        <v>62</v>
      </c>
    </row>
    <row r="39" spans="1:11" x14ac:dyDescent="0.3">
      <c r="D39" s="16" t="s">
        <v>20</v>
      </c>
      <c r="E39" t="s">
        <v>255</v>
      </c>
      <c r="G39" s="16" t="s">
        <v>20</v>
      </c>
      <c r="H39" t="s">
        <v>279</v>
      </c>
      <c r="J39" s="16" t="s">
        <v>20</v>
      </c>
      <c r="K39" t="s">
        <v>280</v>
      </c>
    </row>
    <row r="40" spans="1:11" x14ac:dyDescent="0.3">
      <c r="A40" t="s">
        <v>112</v>
      </c>
    </row>
    <row r="41" spans="1:11" x14ac:dyDescent="0.3">
      <c r="A41" s="20">
        <v>600</v>
      </c>
      <c r="B41">
        <f>SUM(B30:B34)</f>
        <v>600</v>
      </c>
      <c r="D41" t="s">
        <v>112</v>
      </c>
      <c r="G41" t="s">
        <v>112</v>
      </c>
      <c r="J41" t="s">
        <v>112</v>
      </c>
    </row>
    <row r="42" spans="1:11" x14ac:dyDescent="0.3">
      <c r="D42" s="20">
        <v>100</v>
      </c>
      <c r="E42">
        <f>SUM(E30:E34)</f>
        <v>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</row>
    <row r="43" spans="1:11" x14ac:dyDescent="0.3">
      <c r="D43" s="20"/>
      <c r="G43" s="20"/>
    </row>
    <row r="44" spans="1:11" x14ac:dyDescent="0.3">
      <c r="D44" s="20"/>
      <c r="G44" s="20"/>
    </row>
    <row r="45" spans="1:11" x14ac:dyDescent="0.3">
      <c r="D45" s="20"/>
      <c r="G45" s="20"/>
    </row>
    <row r="46" spans="1:11" x14ac:dyDescent="0.3">
      <c r="D46" s="20"/>
      <c r="G46" s="20"/>
    </row>
    <row r="47" spans="1:11" x14ac:dyDescent="0.3">
      <c r="D47" s="20"/>
      <c r="G47" s="20"/>
    </row>
    <row r="48" spans="1:11" x14ac:dyDescent="0.3">
      <c r="D48" s="20"/>
      <c r="G48" s="20"/>
    </row>
    <row r="49" spans="1:7" x14ac:dyDescent="0.3">
      <c r="D49" s="20"/>
      <c r="E49" s="16" t="s">
        <v>9</v>
      </c>
      <c r="F49" t="s">
        <v>58</v>
      </c>
      <c r="G49" s="20"/>
    </row>
    <row r="50" spans="1:7" x14ac:dyDescent="0.3">
      <c r="A50" s="16" t="s">
        <v>9</v>
      </c>
      <c r="B50" t="s">
        <v>62</v>
      </c>
    </row>
    <row r="51" spans="1:7" x14ac:dyDescent="0.3">
      <c r="A51" s="16" t="s">
        <v>135</v>
      </c>
      <c r="B51" t="s">
        <v>262</v>
      </c>
      <c r="E51" s="16" t="s">
        <v>140</v>
      </c>
      <c r="F51" t="s">
        <v>144</v>
      </c>
    </row>
    <row r="52" spans="1:7" x14ac:dyDescent="0.3">
      <c r="A52" s="16" t="s">
        <v>247</v>
      </c>
      <c r="B52" t="s">
        <v>218</v>
      </c>
      <c r="E52" s="17" t="s">
        <v>240</v>
      </c>
      <c r="F52" s="20">
        <v>10</v>
      </c>
    </row>
    <row r="53" spans="1:7" x14ac:dyDescent="0.3">
      <c r="E53" s="17" t="s">
        <v>242</v>
      </c>
      <c r="F53" s="20">
        <v>10</v>
      </c>
    </row>
    <row r="54" spans="1:7" x14ac:dyDescent="0.3">
      <c r="A54" s="16" t="s">
        <v>140</v>
      </c>
      <c r="B54" t="s">
        <v>112</v>
      </c>
      <c r="E54" s="17" t="s">
        <v>243</v>
      </c>
      <c r="F54" s="20">
        <v>10</v>
      </c>
    </row>
    <row r="55" spans="1:7" x14ac:dyDescent="0.3">
      <c r="A55" s="17" t="s">
        <v>255</v>
      </c>
      <c r="B55" s="20">
        <v>250</v>
      </c>
      <c r="E55" s="17" t="s">
        <v>244</v>
      </c>
      <c r="F55" s="20">
        <v>10</v>
      </c>
    </row>
    <row r="56" spans="1:7" x14ac:dyDescent="0.3">
      <c r="A56" s="17" t="s">
        <v>260</v>
      </c>
      <c r="B56" s="20">
        <v>100</v>
      </c>
      <c r="E56" s="17" t="s">
        <v>245</v>
      </c>
      <c r="F56" s="20">
        <v>10</v>
      </c>
    </row>
    <row r="57" spans="1:7" x14ac:dyDescent="0.3">
      <c r="A57" s="17" t="s">
        <v>261</v>
      </c>
      <c r="B57" s="20">
        <v>150</v>
      </c>
      <c r="E57" s="17" t="s">
        <v>241</v>
      </c>
      <c r="F57" s="20">
        <v>10</v>
      </c>
    </row>
    <row r="58" spans="1:7" x14ac:dyDescent="0.3">
      <c r="A58" s="17" t="s">
        <v>185</v>
      </c>
      <c r="B58" s="20">
        <v>50</v>
      </c>
      <c r="E58" s="17" t="s">
        <v>246</v>
      </c>
      <c r="F58" s="20">
        <v>10</v>
      </c>
    </row>
    <row r="59" spans="1:7" x14ac:dyDescent="0.3">
      <c r="A59" s="17" t="s">
        <v>186</v>
      </c>
      <c r="B59" s="20">
        <v>50</v>
      </c>
      <c r="E59" s="17" t="s">
        <v>184</v>
      </c>
      <c r="F59" s="20"/>
    </row>
    <row r="60" spans="1:7" x14ac:dyDescent="0.3">
      <c r="A60" s="17" t="s">
        <v>50</v>
      </c>
      <c r="B60" s="20">
        <v>600</v>
      </c>
      <c r="E60" s="17" t="s">
        <v>50</v>
      </c>
      <c r="F60" s="20">
        <v>70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4">
    <mergeCell ref="Q1:R1"/>
    <mergeCell ref="S1:T1"/>
    <mergeCell ref="U1:V1"/>
    <mergeCell ref="W1:X1"/>
  </mergeCells>
  <conditionalFormatting sqref="B41">
    <cfRule type="cellIs" dxfId="24" priority="4" operator="notEqual">
      <formula>$A$41</formula>
    </cfRule>
  </conditionalFormatting>
  <conditionalFormatting sqref="E42">
    <cfRule type="cellIs" dxfId="23" priority="3" operator="notEqual">
      <formula>$D$42</formula>
    </cfRule>
  </conditionalFormatting>
  <conditionalFormatting sqref="H42">
    <cfRule type="cellIs" dxfId="22" priority="2" operator="notEqual">
      <formula>$G$42</formula>
    </cfRule>
  </conditionalFormatting>
  <conditionalFormatting sqref="K42">
    <cfRule type="cellIs" dxfId="21" priority="1" operator="notEqual">
      <formula>$J$42</formula>
    </cfRule>
  </conditionalFormatting>
  <pageMargins left="0.7" right="0.7" top="0.75" bottom="0.75" header="0.3" footer="0.3"/>
  <pageSetup orientation="portrait" r:id="rId12"/>
  <tableParts count="3"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7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27.109375" bestFit="1" customWidth="1"/>
    <col min="44" max="44" width="24.77734375" bestFit="1" customWidth="1"/>
    <col min="45" max="45" width="26.109375" bestFit="1" customWidth="1"/>
    <col min="46" max="46" width="31.6640625" bestFit="1" customWidth="1"/>
  </cols>
  <sheetData>
    <row r="1" spans="1:42" x14ac:dyDescent="0.3">
      <c r="A1" s="85"/>
      <c r="B1" s="85"/>
      <c r="C1" s="85"/>
      <c r="D1" s="86" t="s">
        <v>135</v>
      </c>
      <c r="E1" s="86"/>
      <c r="F1" s="86"/>
      <c r="G1" s="86"/>
      <c r="H1" s="86"/>
      <c r="I1" s="86"/>
      <c r="J1" s="86"/>
      <c r="K1" s="86"/>
      <c r="L1" s="86" t="s">
        <v>255</v>
      </c>
      <c r="M1" s="86"/>
      <c r="N1" s="86"/>
      <c r="O1" s="86"/>
      <c r="P1" s="86"/>
      <c r="Q1" s="86"/>
      <c r="R1" s="86"/>
      <c r="S1" s="86"/>
      <c r="T1" s="86" t="s">
        <v>260</v>
      </c>
      <c r="U1" s="86"/>
      <c r="V1" s="86"/>
      <c r="W1" s="86"/>
      <c r="X1" s="86"/>
      <c r="Y1" s="86"/>
      <c r="Z1" s="86"/>
      <c r="AA1" s="86"/>
      <c r="AB1" s="86" t="s">
        <v>261</v>
      </c>
      <c r="AC1" s="86"/>
      <c r="AD1" s="86"/>
      <c r="AE1" s="86"/>
      <c r="AF1" s="86"/>
      <c r="AG1" s="86"/>
      <c r="AH1" s="86"/>
      <c r="AI1" s="86"/>
    </row>
    <row r="2" spans="1:42" s="55" customFormat="1" ht="43.2" x14ac:dyDescent="0.3">
      <c r="A2" s="48" t="s">
        <v>188</v>
      </c>
      <c r="B2" s="48" t="s">
        <v>124</v>
      </c>
      <c r="C2" s="48" t="s">
        <v>125</v>
      </c>
      <c r="D2" s="49" t="s">
        <v>203</v>
      </c>
      <c r="E2" s="50" t="s">
        <v>204</v>
      </c>
      <c r="F2" s="51" t="s">
        <v>117</v>
      </c>
      <c r="G2" s="51" t="s">
        <v>205</v>
      </c>
      <c r="H2" s="51" t="s">
        <v>206</v>
      </c>
      <c r="I2" s="51" t="s">
        <v>207</v>
      </c>
      <c r="J2" s="51" t="s">
        <v>208</v>
      </c>
      <c r="K2" s="52" t="s">
        <v>209</v>
      </c>
      <c r="L2" s="49" t="s">
        <v>203</v>
      </c>
      <c r="M2" s="50" t="s">
        <v>204</v>
      </c>
      <c r="N2" s="51" t="s">
        <v>117</v>
      </c>
      <c r="O2" s="51" t="s">
        <v>205</v>
      </c>
      <c r="P2" s="51" t="s">
        <v>206</v>
      </c>
      <c r="Q2" s="51" t="s">
        <v>207</v>
      </c>
      <c r="R2" s="51" t="s">
        <v>208</v>
      </c>
      <c r="S2" s="52" t="s">
        <v>209</v>
      </c>
      <c r="T2" s="53" t="s">
        <v>203</v>
      </c>
      <c r="U2" s="50" t="s">
        <v>204</v>
      </c>
      <c r="V2" s="51" t="s">
        <v>117</v>
      </c>
      <c r="W2" s="51" t="s">
        <v>205</v>
      </c>
      <c r="X2" s="51" t="s">
        <v>206</v>
      </c>
      <c r="Y2" s="51" t="s">
        <v>207</v>
      </c>
      <c r="Z2" s="51" t="s">
        <v>208</v>
      </c>
      <c r="AA2" s="52" t="s">
        <v>209</v>
      </c>
      <c r="AB2" s="53" t="s">
        <v>203</v>
      </c>
      <c r="AC2" s="50" t="s">
        <v>204</v>
      </c>
      <c r="AD2" s="51" t="s">
        <v>117</v>
      </c>
      <c r="AE2" s="51" t="s">
        <v>205</v>
      </c>
      <c r="AF2" s="51" t="s">
        <v>206</v>
      </c>
      <c r="AG2" s="51" t="s">
        <v>207</v>
      </c>
      <c r="AH2" s="51" t="s">
        <v>208</v>
      </c>
      <c r="AI2" s="52" t="s">
        <v>209</v>
      </c>
      <c r="AJ2" s="54"/>
    </row>
    <row r="3" spans="1:42" x14ac:dyDescent="0.3">
      <c r="B3" s="56"/>
      <c r="C3" s="56"/>
      <c r="D3" s="57">
        <v>520.79999999999995</v>
      </c>
      <c r="E3" s="58">
        <f>_ReleaseData!$Q$25</f>
        <v>470</v>
      </c>
      <c r="F3" s="40">
        <v>443.8</v>
      </c>
      <c r="G3" s="40">
        <v>378.3</v>
      </c>
      <c r="H3" s="40">
        <f t="shared" ref="H3:H4" si="0">D3-I3</f>
        <v>55.799999999999955</v>
      </c>
      <c r="I3" s="40">
        <v>465</v>
      </c>
      <c r="J3" s="33">
        <f t="shared" ref="J3:J4" si="1" xml:space="preserve"> G3/D3</f>
        <v>0.72638248847926279</v>
      </c>
      <c r="K3" s="33">
        <f t="shared" ref="K3:K4" si="2" xml:space="preserve"> H3/D3</f>
        <v>0.10714285714285707</v>
      </c>
      <c r="L3" s="59">
        <v>191.8</v>
      </c>
      <c r="M3" s="58">
        <f>_ReleaseData!$Q$26</f>
        <v>200</v>
      </c>
      <c r="N3" s="40">
        <v>124.8</v>
      </c>
      <c r="O3" s="40">
        <v>120.8</v>
      </c>
      <c r="P3" s="40">
        <f t="shared" ref="P3:P4" si="3">L3-Q3</f>
        <v>55.800000000000011</v>
      </c>
      <c r="Q3" s="40">
        <v>136</v>
      </c>
      <c r="R3" s="33">
        <f t="shared" ref="R3:R4" si="4" xml:space="preserve"> O3/L3</f>
        <v>0.62982273201251293</v>
      </c>
      <c r="S3" s="33">
        <f t="shared" ref="S3:S4" si="5" xml:space="preserve"> P3/L3</f>
        <v>0.29092805005213768</v>
      </c>
      <c r="T3" s="57">
        <v>178</v>
      </c>
      <c r="U3" s="58">
        <f>_ReleaseData!$Q$27</f>
        <v>200</v>
      </c>
      <c r="V3" s="40">
        <v>178</v>
      </c>
      <c r="W3" s="40">
        <v>117</v>
      </c>
      <c r="X3" s="40">
        <f t="shared" ref="X3:X4" si="6">T3-Y3</f>
        <v>0</v>
      </c>
      <c r="Y3" s="40">
        <v>178</v>
      </c>
      <c r="Z3" s="33">
        <f t="shared" ref="Z3:Z4" si="7" xml:space="preserve"> W3/T3</f>
        <v>0.65730337078651691</v>
      </c>
      <c r="AA3" s="33">
        <f t="shared" ref="AA3:AA4" si="8">X3/T3</f>
        <v>0</v>
      </c>
      <c r="AB3" s="57">
        <v>59</v>
      </c>
      <c r="AC3" s="58">
        <f>_ReleaseData!$Q$28</f>
        <v>60</v>
      </c>
      <c r="AD3" s="40">
        <v>59</v>
      </c>
      <c r="AE3" s="40">
        <v>59</v>
      </c>
      <c r="AF3" s="40">
        <f t="shared" ref="AF3:AF4" si="9">AB3-AG3</f>
        <v>0</v>
      </c>
      <c r="AG3" s="40">
        <v>59</v>
      </c>
      <c r="AH3" s="33">
        <f t="shared" ref="AH3:AH4" si="10" xml:space="preserve"> AE3/AB3</f>
        <v>1</v>
      </c>
      <c r="AI3" s="33">
        <f t="shared" ref="AI3:AI4" si="11">AF3/AB3</f>
        <v>0</v>
      </c>
    </row>
    <row r="4" spans="1:42" x14ac:dyDescent="0.3">
      <c r="A4" t="s">
        <v>263</v>
      </c>
      <c r="B4" s="60">
        <v>43873</v>
      </c>
      <c r="C4" s="60">
        <v>43886</v>
      </c>
      <c r="D4" s="57">
        <f>GETPIVOTDATA("Epic Total Estimate", $AL$8, "Type", "Epic")</f>
        <v>600</v>
      </c>
      <c r="E4" s="58">
        <f>_ReleaseData!$Q$25</f>
        <v>470</v>
      </c>
      <c r="F4" s="40">
        <f>GETPIVOTDATA("Stories Estimate", $AL$8, "Type", "Epic")</f>
        <v>0</v>
      </c>
      <c r="G4" s="40">
        <f>GETPIVOTDATA("Epic Decomposed", $AL$8, "Type", "Epic")</f>
        <v>540</v>
      </c>
      <c r="H4" s="40">
        <f t="shared" si="0"/>
        <v>150</v>
      </c>
      <c r="I4" s="40">
        <f>GETPIVOTDATA("Epic Remaining Estimate", $AL$8, "Type", "Epic")</f>
        <v>450</v>
      </c>
      <c r="J4" s="33">
        <f t="shared" si="1"/>
        <v>0.9</v>
      </c>
      <c r="K4" s="33">
        <f t="shared" si="2"/>
        <v>0.25</v>
      </c>
      <c r="L4" s="59">
        <f>GETPIVOTDATA("Epic Total Estimate", $AL$8, "Type", "Epic", "ST:Components", "Admin")</f>
        <v>100</v>
      </c>
      <c r="M4" s="58">
        <f>_ReleaseData!$Q$26</f>
        <v>200</v>
      </c>
      <c r="N4" s="40">
        <f>GETPIVOTDATA("Stories Estimate", $AL$8, "Type", "Epic", "ST:Components", "Admin")</f>
        <v>0</v>
      </c>
      <c r="O4" s="40">
        <f>GETPIVOTDATA("Epic Decomposed", $AL$8, "Type", "Epic", "ST:Components", "Admin")</f>
        <v>180</v>
      </c>
      <c r="P4" s="40">
        <f t="shared" si="3"/>
        <v>-50</v>
      </c>
      <c r="Q4" s="40">
        <f>GETPIVOTDATA("Epic Remaining Estimate", $AL$8, "Type", "Epic", "ST:Components", "Admin")</f>
        <v>150</v>
      </c>
      <c r="R4" s="33">
        <f t="shared" si="4"/>
        <v>1.8</v>
      </c>
      <c r="S4" s="33">
        <f t="shared" si="5"/>
        <v>-0.5</v>
      </c>
      <c r="T4" s="57">
        <f>GETPIVOTDATA("Epic Total Estimate", $AL$8, "Type", "Epic", "ST:Components", "Visio Import/Export")</f>
        <v>50</v>
      </c>
      <c r="U4" s="58">
        <f>_ReleaseData!$Q$27</f>
        <v>200</v>
      </c>
      <c r="V4" s="40">
        <f>GETPIVOTDATA("Stories Estimate", $AL$8, "Type", "Epic", "ST:Components", "Visio Import/Export")</f>
        <v>0</v>
      </c>
      <c r="W4" s="40">
        <f>GETPIVOTDATA("Epic Decomposed", $AL$8, "Type", "Epic", "ST:Components", "Visio Import/Export")</f>
        <v>180</v>
      </c>
      <c r="X4" s="40">
        <f t="shared" si="6"/>
        <v>-100</v>
      </c>
      <c r="Y4" s="40">
        <f>GETPIVOTDATA("Epic Remaining Estimate", $AL$8, "Type", "Epic", "ST:Components", "Visio Import/Export")</f>
        <v>150</v>
      </c>
      <c r="Z4" s="33">
        <f t="shared" si="7"/>
        <v>3.6</v>
      </c>
      <c r="AA4" s="33">
        <f t="shared" si="8"/>
        <v>-2</v>
      </c>
      <c r="AB4" s="57">
        <f>GETPIVOTDATA("Epic Total Estimate", $AL$8, "Type", "Epic", "ST:Components", "Logging and Audit")</f>
        <v>50</v>
      </c>
      <c r="AC4" s="58">
        <f>_ReleaseData!$Q$28</f>
        <v>60</v>
      </c>
      <c r="AD4" s="40">
        <f>GETPIVOTDATA("Stories Estimate", $AL$8, "Type", "Epic", "ST:Components", "Logging and Audit")</f>
        <v>0</v>
      </c>
      <c r="AE4" s="40">
        <f>GETPIVOTDATA("Epic Decomposed", $AL$8, "Type", "Epic", "ST:Components", "Logging and Audit")</f>
        <v>180</v>
      </c>
      <c r="AF4" s="40">
        <f t="shared" si="9"/>
        <v>-100</v>
      </c>
      <c r="AG4" s="40">
        <f>GETPIVOTDATA("Epic Remaining Estimate", $AL$8, "Type", "Epic", "ST:Components", "Logging and Audit")</f>
        <v>150</v>
      </c>
      <c r="AH4" s="33">
        <f t="shared" si="10"/>
        <v>3.6</v>
      </c>
      <c r="AI4" s="33">
        <f t="shared" si="11"/>
        <v>-2</v>
      </c>
    </row>
    <row r="5" spans="1:42" x14ac:dyDescent="0.3">
      <c r="A5" t="s">
        <v>264</v>
      </c>
      <c r="B5" s="60">
        <v>43887</v>
      </c>
      <c r="C5" s="60">
        <v>43900</v>
      </c>
      <c r="D5" s="57"/>
      <c r="E5" s="58">
        <f>_ReleaseData!$Q$25</f>
        <v>470</v>
      </c>
      <c r="F5" s="40"/>
      <c r="G5" s="40"/>
      <c r="H5" s="40"/>
      <c r="I5" s="40"/>
      <c r="J5" s="33" t="e">
        <f t="shared" ref="J5" si="12" xml:space="preserve"> G5/D5</f>
        <v>#DIV/0!</v>
      </c>
      <c r="K5" s="33" t="e">
        <f t="shared" ref="K5" si="13" xml:space="preserve"> H5/D5</f>
        <v>#DIV/0!</v>
      </c>
      <c r="L5" s="59"/>
      <c r="M5" s="58">
        <f>_ReleaseData!$Q$26</f>
        <v>200</v>
      </c>
      <c r="N5" s="40"/>
      <c r="O5" s="40"/>
      <c r="P5" s="40"/>
      <c r="Q5" s="40"/>
      <c r="R5" s="33" t="e">
        <f t="shared" ref="R5" si="14" xml:space="preserve"> O5/L5</f>
        <v>#DIV/0!</v>
      </c>
      <c r="S5" s="33" t="e">
        <f t="shared" ref="S5" si="15" xml:space="preserve"> P5/L5</f>
        <v>#DIV/0!</v>
      </c>
      <c r="T5" s="57"/>
      <c r="U5" s="58">
        <f>_ReleaseData!$Q$27</f>
        <v>200</v>
      </c>
      <c r="V5" s="40"/>
      <c r="W5" s="40"/>
      <c r="X5" s="40"/>
      <c r="Y5" s="40"/>
      <c r="Z5" s="33" t="e">
        <f t="shared" ref="Z5" si="16" xml:space="preserve"> W5/T5</f>
        <v>#DIV/0!</v>
      </c>
      <c r="AA5" s="33" t="e">
        <f t="shared" ref="AA5" si="17">X5/T5</f>
        <v>#DIV/0!</v>
      </c>
      <c r="AB5" s="57"/>
      <c r="AC5" s="58">
        <f>_ReleaseData!$Q$28</f>
        <v>60</v>
      </c>
      <c r="AD5" s="40"/>
      <c r="AE5" s="40"/>
      <c r="AF5" s="40"/>
      <c r="AG5" s="40"/>
      <c r="AH5" s="33" t="e">
        <f t="shared" ref="AH5" si="18" xml:space="preserve"> AE5/AB5</f>
        <v>#DIV/0!</v>
      </c>
      <c r="AI5" s="33" t="e">
        <f t="shared" ref="AI5" si="19">AF5/AB5</f>
        <v>#DIV/0!</v>
      </c>
    </row>
    <row r="6" spans="1:42" x14ac:dyDescent="0.3">
      <c r="A6" t="s">
        <v>265</v>
      </c>
      <c r="B6" s="60">
        <v>43901</v>
      </c>
      <c r="C6" s="60">
        <v>43914</v>
      </c>
      <c r="D6" s="57"/>
      <c r="E6" s="58">
        <f>_ReleaseData!$Q$25</f>
        <v>470</v>
      </c>
      <c r="F6" s="40"/>
      <c r="G6" s="40"/>
      <c r="H6" s="40"/>
      <c r="I6" s="40"/>
      <c r="J6" s="33" t="e">
        <f t="shared" ref="J6" si="20" xml:space="preserve"> G6/D6</f>
        <v>#DIV/0!</v>
      </c>
      <c r="K6" s="33" t="e">
        <f t="shared" ref="K6" si="21" xml:space="preserve"> H6/D6</f>
        <v>#DIV/0!</v>
      </c>
      <c r="L6" s="59"/>
      <c r="M6" s="58">
        <f>_ReleaseData!$Q$26</f>
        <v>200</v>
      </c>
      <c r="N6" s="40"/>
      <c r="O6" s="40"/>
      <c r="P6" s="40"/>
      <c r="Q6" s="40"/>
      <c r="R6" s="33" t="e">
        <f t="shared" ref="R6" si="22" xml:space="preserve"> O6/L6</f>
        <v>#DIV/0!</v>
      </c>
      <c r="S6" s="33" t="e">
        <f t="shared" ref="S6" si="23" xml:space="preserve"> P6/L6</f>
        <v>#DIV/0!</v>
      </c>
      <c r="T6" s="57"/>
      <c r="U6" s="58">
        <f>_ReleaseData!$Q$27</f>
        <v>200</v>
      </c>
      <c r="V6" s="40"/>
      <c r="W6" s="40"/>
      <c r="X6" s="40"/>
      <c r="Y6" s="40"/>
      <c r="Z6" s="33" t="e">
        <f t="shared" ref="Z6" si="24" xml:space="preserve"> W6/T6</f>
        <v>#DIV/0!</v>
      </c>
      <c r="AA6" s="33" t="e">
        <f t="shared" ref="AA6" si="25">X6/T6</f>
        <v>#DIV/0!</v>
      </c>
      <c r="AB6" s="57"/>
      <c r="AC6" s="58">
        <f>_ReleaseData!$Q$28</f>
        <v>60</v>
      </c>
      <c r="AD6" s="40"/>
      <c r="AE6" s="40"/>
      <c r="AF6" s="40"/>
      <c r="AG6" s="40"/>
      <c r="AH6" s="33" t="e">
        <f t="shared" ref="AH6" si="26" xml:space="preserve"> AE6/AB6</f>
        <v>#DIV/0!</v>
      </c>
      <c r="AI6" s="33" t="e">
        <f t="shared" ref="AI6" si="27">AF6/AB6</f>
        <v>#DIV/0!</v>
      </c>
    </row>
    <row r="7" spans="1:42" x14ac:dyDescent="0.3">
      <c r="A7" t="s">
        <v>266</v>
      </c>
      <c r="B7" s="60">
        <v>43915</v>
      </c>
      <c r="C7" s="60">
        <v>43928</v>
      </c>
      <c r="D7" s="57"/>
      <c r="E7" s="58">
        <f>_ReleaseData!$Q$25</f>
        <v>470</v>
      </c>
      <c r="F7" s="40"/>
      <c r="G7" s="40"/>
      <c r="H7" s="40"/>
      <c r="I7" s="40"/>
      <c r="J7" s="33" t="e">
        <f t="shared" ref="J7:J8" si="28" xml:space="preserve"> G7/D7</f>
        <v>#DIV/0!</v>
      </c>
      <c r="K7" s="33" t="e">
        <f t="shared" ref="K7:K8" si="29" xml:space="preserve"> H7/D7</f>
        <v>#DIV/0!</v>
      </c>
      <c r="L7" s="59"/>
      <c r="M7" s="58">
        <f>_ReleaseData!$Q$26</f>
        <v>200</v>
      </c>
      <c r="N7" s="40"/>
      <c r="O7" s="40"/>
      <c r="P7" s="40"/>
      <c r="Q7" s="40"/>
      <c r="R7" s="33" t="e">
        <f t="shared" ref="R7:R8" si="30" xml:space="preserve"> O7/L7</f>
        <v>#DIV/0!</v>
      </c>
      <c r="S7" s="33" t="e">
        <f t="shared" ref="S7:S8" si="31" xml:space="preserve"> P7/L7</f>
        <v>#DIV/0!</v>
      </c>
      <c r="T7" s="57"/>
      <c r="U7" s="58">
        <f>_ReleaseData!$Q$27</f>
        <v>200</v>
      </c>
      <c r="V7" s="40"/>
      <c r="W7" s="40"/>
      <c r="X7" s="40"/>
      <c r="Y7" s="40"/>
      <c r="Z7" s="33" t="e">
        <f t="shared" ref="Z7:Z8" si="32" xml:space="preserve"> W7/T7</f>
        <v>#DIV/0!</v>
      </c>
      <c r="AA7" s="33" t="e">
        <f t="shared" ref="AA7:AA8" si="33">X7/T7</f>
        <v>#DIV/0!</v>
      </c>
      <c r="AB7" s="57"/>
      <c r="AC7" s="58">
        <f>_ReleaseData!$Q$28</f>
        <v>60</v>
      </c>
      <c r="AD7" s="40"/>
      <c r="AE7" s="40"/>
      <c r="AF7" s="40"/>
      <c r="AG7" s="40"/>
      <c r="AH7" s="33" t="e">
        <f t="shared" ref="AH7:AH8" si="34" xml:space="preserve"> AE7/AB7</f>
        <v>#DIV/0!</v>
      </c>
      <c r="AI7" s="33" t="e">
        <f t="shared" ref="AI7:AI8" si="35">AF7/AB7</f>
        <v>#DIV/0!</v>
      </c>
      <c r="AL7" s="16" t="s">
        <v>135</v>
      </c>
      <c r="AM7" t="s">
        <v>262</v>
      </c>
    </row>
    <row r="8" spans="1:42" x14ac:dyDescent="0.3">
      <c r="A8" t="s">
        <v>267</v>
      </c>
      <c r="B8" s="60">
        <v>43929</v>
      </c>
      <c r="C8" s="60">
        <v>43942</v>
      </c>
      <c r="D8" s="57"/>
      <c r="E8" s="58">
        <f>_ReleaseData!$Q$25</f>
        <v>470</v>
      </c>
      <c r="F8" s="40"/>
      <c r="G8" s="40"/>
      <c r="H8" s="40"/>
      <c r="I8" s="40"/>
      <c r="J8" s="33" t="e">
        <f t="shared" si="28"/>
        <v>#DIV/0!</v>
      </c>
      <c r="K8" s="33" t="e">
        <f t="shared" si="29"/>
        <v>#DIV/0!</v>
      </c>
      <c r="L8" s="59"/>
      <c r="M8" s="58">
        <f>_ReleaseData!$Q$26</f>
        <v>200</v>
      </c>
      <c r="N8" s="40"/>
      <c r="O8" s="40"/>
      <c r="P8" s="40"/>
      <c r="Q8" s="40"/>
      <c r="R8" s="33" t="e">
        <f t="shared" si="30"/>
        <v>#DIV/0!</v>
      </c>
      <c r="S8" s="33" t="e">
        <f t="shared" si="31"/>
        <v>#DIV/0!</v>
      </c>
      <c r="T8" s="57"/>
      <c r="U8" s="58">
        <f>_ReleaseData!$Q$27</f>
        <v>200</v>
      </c>
      <c r="V8" s="40"/>
      <c r="W8" s="40"/>
      <c r="X8" s="40"/>
      <c r="Y8" s="40"/>
      <c r="Z8" s="33" t="e">
        <f t="shared" si="32"/>
        <v>#DIV/0!</v>
      </c>
      <c r="AA8" s="33" t="e">
        <f t="shared" si="33"/>
        <v>#DIV/0!</v>
      </c>
      <c r="AB8" s="57"/>
      <c r="AC8" s="58">
        <f>_ReleaseData!$Q$28</f>
        <v>60</v>
      </c>
      <c r="AD8" s="40"/>
      <c r="AE8" s="40"/>
      <c r="AF8" s="40"/>
      <c r="AG8" s="40"/>
      <c r="AH8" s="33" t="e">
        <f t="shared" si="34"/>
        <v>#DIV/0!</v>
      </c>
      <c r="AI8" s="33" t="e">
        <f t="shared" si="35"/>
        <v>#DIV/0!</v>
      </c>
      <c r="AL8" s="16" t="s">
        <v>247</v>
      </c>
      <c r="AM8" t="s">
        <v>218</v>
      </c>
    </row>
    <row r="9" spans="1:42" x14ac:dyDescent="0.3">
      <c r="A9" t="s">
        <v>268</v>
      </c>
      <c r="B9" s="60">
        <v>43943</v>
      </c>
      <c r="C9" s="60">
        <v>43956</v>
      </c>
      <c r="D9" s="57"/>
      <c r="E9" s="58">
        <f>_ReleaseData!$Q$25</f>
        <v>470</v>
      </c>
      <c r="F9" s="40"/>
      <c r="G9" s="40"/>
      <c r="H9" s="40"/>
      <c r="I9" s="40"/>
      <c r="J9" s="33" t="e">
        <f t="shared" ref="J9" si="36" xml:space="preserve"> G9/D9</f>
        <v>#DIV/0!</v>
      </c>
      <c r="K9" s="33" t="e">
        <f t="shared" ref="K9" si="37" xml:space="preserve"> H9/D9</f>
        <v>#DIV/0!</v>
      </c>
      <c r="L9" s="59"/>
      <c r="M9" s="58">
        <f>_ReleaseData!$Q$26</f>
        <v>200</v>
      </c>
      <c r="N9" s="40"/>
      <c r="O9" s="40"/>
      <c r="P9" s="40"/>
      <c r="Q9" s="40"/>
      <c r="R9" s="33" t="e">
        <f t="shared" ref="R9" si="38" xml:space="preserve"> O9/L9</f>
        <v>#DIV/0!</v>
      </c>
      <c r="S9" s="33" t="e">
        <f t="shared" ref="S9" si="39" xml:space="preserve"> P9/L9</f>
        <v>#DIV/0!</v>
      </c>
      <c r="T9" s="57"/>
      <c r="U9" s="58">
        <f>_ReleaseData!$Q$27</f>
        <v>200</v>
      </c>
      <c r="V9" s="40"/>
      <c r="W9" s="40"/>
      <c r="X9" s="40"/>
      <c r="Y9" s="40"/>
      <c r="Z9" s="33" t="e">
        <f t="shared" ref="Z9" si="40" xml:space="preserve"> W9/T9</f>
        <v>#DIV/0!</v>
      </c>
      <c r="AA9" s="33" t="e">
        <f t="shared" ref="AA9" si="41">X9/T9</f>
        <v>#DIV/0!</v>
      </c>
      <c r="AB9" s="57"/>
      <c r="AC9" s="58">
        <f>_ReleaseData!$Q$28</f>
        <v>60</v>
      </c>
      <c r="AD9" s="40"/>
      <c r="AE9" s="40"/>
      <c r="AF9" s="40"/>
      <c r="AG9" s="40"/>
      <c r="AH9" s="33" t="e">
        <f t="shared" ref="AH9" si="42" xml:space="preserve"> AE9/AB9</f>
        <v>#DIV/0!</v>
      </c>
      <c r="AI9" s="33" t="e">
        <f t="shared" ref="AI9" si="43">AF9/AB9</f>
        <v>#DIV/0!</v>
      </c>
    </row>
    <row r="10" spans="1:42" ht="13.95" customHeight="1" x14ac:dyDescent="0.3">
      <c r="A10" t="s">
        <v>269</v>
      </c>
      <c r="B10" s="60">
        <v>43957</v>
      </c>
      <c r="C10" s="60">
        <v>43970</v>
      </c>
      <c r="D10" s="57"/>
      <c r="E10" s="58">
        <f>_ReleaseData!$Q$25</f>
        <v>470</v>
      </c>
      <c r="F10" s="40"/>
      <c r="G10" s="40"/>
      <c r="H10" s="40"/>
      <c r="I10" s="40"/>
      <c r="J10" s="33" t="e">
        <f t="shared" ref="J10" si="44" xml:space="preserve"> G10/D10</f>
        <v>#DIV/0!</v>
      </c>
      <c r="K10" s="33" t="e">
        <f t="shared" ref="K10" si="45" xml:space="preserve"> H10/D10</f>
        <v>#DIV/0!</v>
      </c>
      <c r="L10" s="59"/>
      <c r="M10" s="58">
        <f>_ReleaseData!$Q$26</f>
        <v>200</v>
      </c>
      <c r="N10" s="40"/>
      <c r="O10" s="40"/>
      <c r="P10" s="40"/>
      <c r="Q10" s="40"/>
      <c r="R10" s="33" t="e">
        <f t="shared" ref="R10" si="46" xml:space="preserve"> O10/L10</f>
        <v>#DIV/0!</v>
      </c>
      <c r="S10" s="33" t="e">
        <f t="shared" ref="S10" si="47" xml:space="preserve"> P10/L10</f>
        <v>#DIV/0!</v>
      </c>
      <c r="T10" s="57"/>
      <c r="U10" s="58">
        <f>_ReleaseData!$Q$27</f>
        <v>200</v>
      </c>
      <c r="V10" s="40"/>
      <c r="W10" s="40"/>
      <c r="X10" s="40"/>
      <c r="Y10" s="40"/>
      <c r="Z10" s="33" t="e">
        <f t="shared" ref="Z10" si="48" xml:space="preserve"> W10/T10</f>
        <v>#DIV/0!</v>
      </c>
      <c r="AA10" s="33" t="e">
        <f t="shared" ref="AA10" si="49">X10/T10</f>
        <v>#DIV/0!</v>
      </c>
      <c r="AB10" s="57"/>
      <c r="AC10" s="58">
        <f>_ReleaseData!$Q$28</f>
        <v>60</v>
      </c>
      <c r="AD10" s="40"/>
      <c r="AE10" s="40"/>
      <c r="AF10" s="40"/>
      <c r="AG10" s="40"/>
      <c r="AH10" s="33" t="e">
        <f t="shared" ref="AH10" si="50" xml:space="preserve"> AE10/AB10</f>
        <v>#DIV/0!</v>
      </c>
      <c r="AI10" s="33" t="e">
        <f t="shared" ref="AI10" si="51">AF10/AB10</f>
        <v>#DIV/0!</v>
      </c>
      <c r="AM10" s="16" t="s">
        <v>162</v>
      </c>
    </row>
    <row r="11" spans="1:42" x14ac:dyDescent="0.3">
      <c r="B11" s="60"/>
      <c r="C11" s="60"/>
      <c r="D11" s="57"/>
      <c r="E11" s="58"/>
      <c r="F11" s="40"/>
      <c r="G11" s="40"/>
      <c r="H11" s="40"/>
      <c r="I11" s="40"/>
      <c r="J11" s="33"/>
      <c r="K11" s="33"/>
      <c r="L11" s="59"/>
      <c r="M11" s="58"/>
      <c r="N11" s="40"/>
      <c r="O11" s="40"/>
      <c r="P11" s="40"/>
      <c r="Q11" s="40"/>
      <c r="R11" s="33"/>
      <c r="S11" s="33"/>
      <c r="T11" s="57"/>
      <c r="U11" s="58"/>
      <c r="V11" s="40"/>
      <c r="W11" s="40"/>
      <c r="X11" s="40"/>
      <c r="Y11" s="40"/>
      <c r="Z11" s="33"/>
      <c r="AA11" s="33"/>
      <c r="AB11" s="57"/>
      <c r="AC11" s="58"/>
      <c r="AD11" s="40"/>
      <c r="AE11" s="40"/>
      <c r="AF11" s="40"/>
      <c r="AG11" s="40"/>
      <c r="AH11" s="33"/>
      <c r="AI11" s="33"/>
      <c r="AM11" t="s">
        <v>62</v>
      </c>
    </row>
    <row r="12" spans="1:42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140</v>
      </c>
      <c r="AM12" t="s">
        <v>112</v>
      </c>
      <c r="AN12" t="s">
        <v>253</v>
      </c>
      <c r="AO12" t="s">
        <v>254</v>
      </c>
      <c r="AP12" t="s">
        <v>111</v>
      </c>
    </row>
    <row r="13" spans="1:42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184</v>
      </c>
      <c r="AM13" s="20">
        <v>400</v>
      </c>
      <c r="AN13" s="20"/>
      <c r="AO13" s="20"/>
      <c r="AP13" s="20"/>
    </row>
    <row r="14" spans="1:42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255</v>
      </c>
      <c r="AM14" s="20">
        <v>100</v>
      </c>
      <c r="AN14" s="20"/>
      <c r="AO14" s="20">
        <v>180</v>
      </c>
      <c r="AP14" s="20">
        <v>150</v>
      </c>
    </row>
    <row r="15" spans="1:42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279</v>
      </c>
      <c r="AM15" s="20">
        <v>50</v>
      </c>
      <c r="AN15" s="20"/>
      <c r="AO15" s="20">
        <v>180</v>
      </c>
      <c r="AP15" s="20">
        <v>150</v>
      </c>
    </row>
    <row r="16" spans="1:42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280</v>
      </c>
      <c r="AM16" s="20">
        <v>50</v>
      </c>
      <c r="AN16" s="20"/>
      <c r="AO16" s="20">
        <v>180</v>
      </c>
      <c r="AP16" s="20">
        <v>150</v>
      </c>
    </row>
    <row r="17" spans="2:42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50</v>
      </c>
      <c r="AM17" s="20">
        <v>600</v>
      </c>
      <c r="AN17" s="20"/>
      <c r="AO17" s="20">
        <v>540</v>
      </c>
      <c r="AP17" s="20">
        <v>450</v>
      </c>
    </row>
    <row r="18" spans="2:42" x14ac:dyDescent="0.3">
      <c r="B18" s="63"/>
    </row>
  </sheetData>
  <mergeCells count="5"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2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247</v>
      </c>
      <c r="C1" t="s">
        <v>218</v>
      </c>
    </row>
    <row r="2" spans="2:8" x14ac:dyDescent="0.3">
      <c r="G2" s="16" t="s">
        <v>217</v>
      </c>
      <c r="H2" t="s">
        <v>218</v>
      </c>
    </row>
    <row r="3" spans="2:8" x14ac:dyDescent="0.3">
      <c r="B3" s="16" t="s">
        <v>140</v>
      </c>
      <c r="C3" t="s">
        <v>190</v>
      </c>
      <c r="G3" s="16" t="s">
        <v>247</v>
      </c>
      <c r="H3" t="s">
        <v>218</v>
      </c>
    </row>
    <row r="4" spans="2:8" x14ac:dyDescent="0.3">
      <c r="B4" s="17" t="s">
        <v>62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140</v>
      </c>
      <c r="H5" t="s">
        <v>144</v>
      </c>
    </row>
    <row r="6" spans="2:8" x14ac:dyDescent="0.3">
      <c r="G6" s="17" t="s">
        <v>184</v>
      </c>
      <c r="H6" s="20">
        <v>20</v>
      </c>
    </row>
    <row r="7" spans="2:8" x14ac:dyDescent="0.3">
      <c r="G7" s="17" t="s">
        <v>223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188</v>
      </c>
      <c r="C15" t="s">
        <v>191</v>
      </c>
      <c r="D15" t="s">
        <v>192</v>
      </c>
    </row>
    <row r="16" spans="2:8" x14ac:dyDescent="0.3">
      <c r="B16" t="s">
        <v>263</v>
      </c>
      <c r="C16" s="20">
        <f>GETPIVOTDATA("Epic Not Decomposed Estimate",$B$3)</f>
        <v>60</v>
      </c>
      <c r="D16" s="20">
        <f>GETPIVOTDATA("Story Points",$G$5)</f>
        <v>35</v>
      </c>
    </row>
    <row r="17" spans="2:4" x14ac:dyDescent="0.3">
      <c r="B17" t="s">
        <v>264</v>
      </c>
      <c r="C17" s="20"/>
      <c r="D17" s="20"/>
    </row>
    <row r="18" spans="2:4" x14ac:dyDescent="0.3">
      <c r="B18" t="s">
        <v>265</v>
      </c>
      <c r="C18" s="20"/>
      <c r="D18" s="20"/>
    </row>
    <row r="19" spans="2:4" x14ac:dyDescent="0.3">
      <c r="B19" t="s">
        <v>266</v>
      </c>
      <c r="C19" s="20"/>
      <c r="D19" s="20"/>
    </row>
    <row r="20" spans="2:4" x14ac:dyDescent="0.3">
      <c r="B20" t="s">
        <v>267</v>
      </c>
      <c r="C20" s="20"/>
      <c r="D20" s="20"/>
    </row>
    <row r="21" spans="2:4" x14ac:dyDescent="0.3">
      <c r="B21" t="s">
        <v>268</v>
      </c>
      <c r="C21" s="20"/>
      <c r="D21" s="20"/>
    </row>
    <row r="22" spans="2:4" x14ac:dyDescent="0.3">
      <c r="B22" t="s">
        <v>269</v>
      </c>
      <c r="C22" s="20"/>
      <c r="D22" s="20"/>
    </row>
  </sheetData>
  <pageMargins left="0.7" right="0.7" top="0.75" bottom="0.75" header="0.3" footer="0.3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</vt:i4>
      </vt:variant>
    </vt:vector>
  </HeadingPairs>
  <TitlesOfParts>
    <vt:vector size="20" baseType="lpstr">
      <vt:lpstr>Release</vt:lpstr>
      <vt:lpstr>Admin</vt:lpstr>
      <vt:lpstr>Visio Import</vt:lpstr>
      <vt:lpstr>BoA Audit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'BoA Audit'!Table10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2020-02-26T02:02:10Z</dcterms:modified>
</cp:coreProperties>
</file>