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6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7.xml" ContentType="application/vnd.openxmlformats-officedocument.themeOverride+xml"/>
  <Override PartName="/xl/drawings/drawing15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4.xml" ContentType="application/vnd.openxmlformats-officedocument.spreadsheetml.table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17.xml" ContentType="application/vnd.openxmlformats-officedocument.spreadsheetml.pivotTable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18.xml" ContentType="application/vnd.openxmlformats-officedocument.spreadsheetml.pivotTable+xml"/>
  <Override PartName="/xl/tables/table5.xml" ContentType="application/vnd.openxmlformats-officedocument.spreadsheetml.table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19.xml" ContentType="application/vnd.openxmlformats-officedocument.spreadsheetml.pivotTable+xml"/>
  <Override PartName="/xl/tables/table6.xml" ContentType="application/vnd.openxmlformats-officedocument.spreadsheetml.table+xml"/>
  <Override PartName="/xl/drawings/drawing21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22.xml" ContentType="application/vnd.openxmlformats-officedocument.drawingml.chartshapes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8.xml" ContentType="application/vnd.openxmlformats-officedocument.themeOverrid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459392B9-6AAF-47E6-8DD5-00C4B5AC1FFA}" xr6:coauthVersionLast="45" xr6:coauthVersionMax="45" xr10:uidLastSave="{00000000-0000-0000-0000-000000000000}"/>
  <bookViews>
    <workbookView xWindow="-108" yWindow="-108" windowWidth="23256" windowHeight="12576" tabRatio="741" xr2:uid="{00000000-000D-0000-FFFF-FFFF00000000}"/>
  </bookViews>
  <sheets>
    <sheet name="Release" sheetId="10" r:id="rId1"/>
    <sheet name="Admin" sheetId="19" r:id="rId2"/>
    <sheet name="Visio Import" sheetId="20" r:id="rId3"/>
    <sheet name="BoA Audit" sheetId="27" r:id="rId4"/>
    <sheet name="UiPath Integration" sheetId="28" r:id="rId5"/>
    <sheet name="_ReleaseData" sheetId="9" state="hidden" r:id="rId6"/>
    <sheet name="_CumulativeFlowData " sheetId="26" state="hidden" r:id="rId7"/>
    <sheet name="Readiness" sheetId="23" r:id="rId8"/>
    <sheet name="_ReadinessData" sheetId="24" state="hidden" r:id="rId9"/>
    <sheet name="Team Backlog" sheetId="16" r:id="rId10"/>
    <sheet name="_TeamBacklogData" sheetId="15" state="hidden" r:id="rId11"/>
    <sheet name="Team Velocity" sheetId="21" r:id="rId12"/>
    <sheet name="_TeamVelocityData" sheetId="22" state="hidden" r:id="rId13"/>
    <sheet name="Active Sprint" sheetId="11" r:id="rId14"/>
    <sheet name="_ActiveSprintData" sheetId="12" state="hidden" r:id="rId15"/>
    <sheet name="Bugs" sheetId="13" r:id="rId16"/>
    <sheet name="_BugsData" sheetId="14" state="hidden" r:id="rId17"/>
    <sheet name="Issues" sheetId="2" state="hidden" r:id="rId18"/>
    <sheet name="Notes" sheetId="25" state="hidden" r:id="rId19"/>
  </sheets>
  <definedNames>
    <definedName name="_xlnm._FilterDatabase" localSheetId="17" hidden="1">Issues!$AF$40:$AH$46</definedName>
    <definedName name="issues">OFFSET(Issues!$A$1,0,0,COUNTA(Issues!$A$1:$A$10008),COUNTA(Issues!$A$1:$AAR$1) - 1)</definedName>
    <definedName name="Table10" localSheetId="3">Table15[Stabilization and Holidays]</definedName>
    <definedName name="Table10" localSheetId="4">Table15[Stabilization and Holidays]</definedName>
    <definedName name="Table10">Table15[Stabilization and Holidays]</definedName>
  </definedNames>
  <calcPr calcId="191029"/>
  <pivotCaches>
    <pivotCache cacheId="15" r:id="rId20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9" i="26" l="1"/>
  <c r="AS10" i="26"/>
  <c r="AC10" i="26"/>
  <c r="U10" i="26"/>
  <c r="M10" i="26"/>
  <c r="E10" i="26"/>
  <c r="Y10" i="26"/>
  <c r="G10" i="26"/>
  <c r="D22" i="24"/>
  <c r="T10" i="26"/>
  <c r="W10" i="26"/>
  <c r="Q10" i="26"/>
  <c r="D10" i="26"/>
  <c r="O10" i="26"/>
  <c r="AT10" i="26"/>
  <c r="F10" i="26"/>
  <c r="I10" i="26"/>
  <c r="AB10" i="26"/>
  <c r="AR10" i="26"/>
  <c r="N10" i="26"/>
  <c r="C22" i="24"/>
  <c r="L10" i="26"/>
  <c r="AU10" i="26"/>
  <c r="AG10" i="26"/>
  <c r="AE10" i="26"/>
  <c r="V10" i="26"/>
  <c r="AD10" i="26"/>
  <c r="AW10" i="26"/>
  <c r="AX10" i="26" l="1"/>
  <c r="AV10" i="26"/>
  <c r="AY10" i="26" s="1"/>
  <c r="P10" i="26"/>
  <c r="S10" i="26" s="1"/>
  <c r="J10" i="26"/>
  <c r="X10" i="26"/>
  <c r="AA10" i="26" s="1"/>
  <c r="R10" i="26"/>
  <c r="H10" i="26"/>
  <c r="K10" i="26" s="1"/>
  <c r="AF10" i="26"/>
  <c r="AI10" i="26" s="1"/>
  <c r="AH10" i="26"/>
  <c r="Z10" i="26"/>
  <c r="O10" i="9"/>
  <c r="M10" i="9"/>
  <c r="AI10" i="9"/>
  <c r="R10" i="9"/>
  <c r="T10" i="9"/>
  <c r="AG10" i="9"/>
  <c r="V10" i="9"/>
  <c r="P10" i="9"/>
  <c r="N10" i="9"/>
  <c r="X10" i="9"/>
  <c r="AF10" i="9" l="1"/>
  <c r="AF9" i="9"/>
  <c r="AF8" i="9"/>
  <c r="AF7" i="9"/>
  <c r="L10" i="9"/>
  <c r="L9" i="9"/>
  <c r="L8" i="9"/>
  <c r="L7" i="9"/>
  <c r="L6" i="9"/>
  <c r="L5" i="9"/>
  <c r="L4" i="9"/>
  <c r="K10" i="9"/>
  <c r="K9" i="9"/>
  <c r="K8" i="9"/>
  <c r="K7" i="9"/>
  <c r="K6" i="9"/>
  <c r="K5" i="9"/>
  <c r="K4" i="9"/>
  <c r="U8" i="26" l="1"/>
  <c r="AC9" i="26"/>
  <c r="U9" i="26"/>
  <c r="M9" i="26"/>
  <c r="E9" i="26"/>
  <c r="AV9" i="26" l="1"/>
  <c r="AY9" i="26" s="1"/>
  <c r="AX9" i="26"/>
  <c r="H9" i="26"/>
  <c r="K9" i="26" s="1"/>
  <c r="P9" i="26"/>
  <c r="S9" i="26" s="1"/>
  <c r="X9" i="26"/>
  <c r="AA9" i="26" s="1"/>
  <c r="R9" i="26"/>
  <c r="AF9" i="26"/>
  <c r="AI9" i="26" s="1"/>
  <c r="J9" i="26"/>
  <c r="AH9" i="26"/>
  <c r="Z9" i="26"/>
  <c r="AS8" i="26"/>
  <c r="AC8" i="26"/>
  <c r="M8" i="26"/>
  <c r="E8" i="26"/>
  <c r="AV8" i="26" l="1"/>
  <c r="AY8" i="26" s="1"/>
  <c r="AX8" i="26"/>
  <c r="J8" i="26"/>
  <c r="AH8" i="26"/>
  <c r="P8" i="26"/>
  <c r="S8" i="26" s="1"/>
  <c r="X8" i="26"/>
  <c r="AA8" i="26" s="1"/>
  <c r="Z8" i="26"/>
  <c r="R8" i="26"/>
  <c r="H8" i="26"/>
  <c r="K8" i="26" s="1"/>
  <c r="AF8" i="26"/>
  <c r="AI8" i="26" s="1"/>
  <c r="H50" i="14"/>
  <c r="G50" i="14"/>
  <c r="F50" i="14"/>
  <c r="E50" i="14"/>
  <c r="D50" i="14"/>
  <c r="C50" i="14"/>
  <c r="B50" i="14"/>
  <c r="B6" i="9"/>
  <c r="AS7" i="26" l="1"/>
  <c r="AS6" i="26"/>
  <c r="AX6" i="26"/>
  <c r="AV6" i="26"/>
  <c r="AY6" i="26" s="1"/>
  <c r="AV7" i="26" l="1"/>
  <c r="AY7" i="26" s="1"/>
  <c r="AX7" i="26"/>
  <c r="N42" i="9" l="1"/>
  <c r="AH10" i="9" l="1"/>
  <c r="AH9" i="9"/>
  <c r="AH8" i="9"/>
  <c r="AH7" i="9"/>
  <c r="AH6" i="9"/>
  <c r="AG21" i="9"/>
  <c r="AG22" i="9" l="1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C6" i="26" l="1"/>
  <c r="AC7" i="26"/>
  <c r="U7" i="26"/>
  <c r="M7" i="26"/>
  <c r="E7" i="26"/>
  <c r="P7" i="26" l="1"/>
  <c r="S7" i="26" s="1"/>
  <c r="R7" i="26"/>
  <c r="H7" i="26"/>
  <c r="K7" i="26" s="1"/>
  <c r="AF7" i="26"/>
  <c r="AI7" i="26" s="1"/>
  <c r="J7" i="26"/>
  <c r="AH7" i="26"/>
  <c r="X7" i="26"/>
  <c r="AA7" i="26" s="1"/>
  <c r="Z7" i="26"/>
  <c r="U6" i="26"/>
  <c r="M6" i="26"/>
  <c r="E6" i="26"/>
  <c r="P6" i="26" l="1"/>
  <c r="S6" i="26" s="1"/>
  <c r="H6" i="26"/>
  <c r="K6" i="26" s="1"/>
  <c r="AF6" i="26"/>
  <c r="AI6" i="26" s="1"/>
  <c r="J6" i="26"/>
  <c r="X6" i="26"/>
  <c r="AA6" i="26" s="1"/>
  <c r="R6" i="26"/>
  <c r="AH6" i="26"/>
  <c r="Z6" i="26"/>
  <c r="AC5" i="26"/>
  <c r="U5" i="26"/>
  <c r="M5" i="26"/>
  <c r="E5" i="26"/>
  <c r="P5" i="26" l="1"/>
  <c r="S5" i="26" s="1"/>
  <c r="R5" i="26"/>
  <c r="X5" i="26"/>
  <c r="AA5" i="26" s="1"/>
  <c r="Z5" i="26"/>
  <c r="H5" i="26"/>
  <c r="K5" i="26" s="1"/>
  <c r="AF5" i="26"/>
  <c r="AI5" i="26" s="1"/>
  <c r="J5" i="26"/>
  <c r="AH5" i="26"/>
  <c r="H49" i="14" l="1"/>
  <c r="G49" i="14"/>
  <c r="F49" i="14"/>
  <c r="E49" i="14"/>
  <c r="D49" i="14"/>
  <c r="H48" i="14"/>
  <c r="G48" i="14"/>
  <c r="F48" i="14"/>
  <c r="E48" i="14"/>
  <c r="D48" i="14"/>
  <c r="H47" i="14"/>
  <c r="G47" i="14"/>
  <c r="F47" i="14"/>
  <c r="E47" i="14"/>
  <c r="D47" i="14"/>
  <c r="H46" i="14"/>
  <c r="G46" i="14"/>
  <c r="F46" i="14"/>
  <c r="E46" i="14"/>
  <c r="D46" i="14"/>
  <c r="H45" i="14"/>
  <c r="G45" i="14"/>
  <c r="F45" i="14"/>
  <c r="E45" i="14"/>
  <c r="D45" i="14"/>
  <c r="H44" i="14"/>
  <c r="G44" i="14"/>
  <c r="F44" i="14"/>
  <c r="E44" i="14"/>
  <c r="D44" i="14"/>
  <c r="H43" i="14"/>
  <c r="G43" i="14"/>
  <c r="F43" i="14"/>
  <c r="E43" i="14"/>
  <c r="D43" i="14"/>
  <c r="C49" i="14"/>
  <c r="C48" i="14"/>
  <c r="C47" i="14"/>
  <c r="C46" i="14"/>
  <c r="C45" i="14"/>
  <c r="C44" i="14"/>
  <c r="C43" i="14"/>
  <c r="B49" i="14"/>
  <c r="B48" i="14"/>
  <c r="B47" i="14"/>
  <c r="B46" i="14"/>
  <c r="B45" i="14"/>
  <c r="B44" i="14"/>
  <c r="B43" i="14"/>
  <c r="B10" i="9"/>
  <c r="B14" i="9"/>
  <c r="B18" i="9"/>
  <c r="AC4" i="26" l="1"/>
  <c r="AC3" i="26"/>
  <c r="U4" i="26"/>
  <c r="U3" i="26"/>
  <c r="M4" i="26"/>
  <c r="M3" i="26"/>
  <c r="E4" i="26"/>
  <c r="E3" i="26"/>
  <c r="AF4" i="26" l="1"/>
  <c r="AI4" i="26" s="1"/>
  <c r="AH4" i="26"/>
  <c r="AF3" i="26"/>
  <c r="AI3" i="26" s="1"/>
  <c r="AH3" i="26"/>
  <c r="Z4" i="26"/>
  <c r="X4" i="26"/>
  <c r="AA4" i="26" s="1"/>
  <c r="Z3" i="26"/>
  <c r="X3" i="26"/>
  <c r="AA3" i="26" s="1"/>
  <c r="R4" i="26"/>
  <c r="P4" i="26"/>
  <c r="S4" i="26" s="1"/>
  <c r="P3" i="26"/>
  <c r="S3" i="26" s="1"/>
  <c r="R3" i="26"/>
  <c r="H4" i="26"/>
  <c r="K4" i="26" s="1"/>
  <c r="J4" i="26"/>
  <c r="H3" i="26"/>
  <c r="K3" i="26" s="1"/>
  <c r="J3" i="26"/>
  <c r="W3" i="9" l="1"/>
  <c r="U3" i="9"/>
  <c r="Q3" i="9"/>
  <c r="S3" i="9"/>
  <c r="B1" i="12" l="1"/>
  <c r="E16" i="12" s="1"/>
  <c r="B66" i="9"/>
  <c r="F66" i="9"/>
  <c r="AE31" i="2" l="1"/>
  <c r="AE30" i="2"/>
  <c r="K42" i="9"/>
  <c r="B19" i="9" l="1"/>
  <c r="I4" i="9" l="1"/>
  <c r="J4" i="9" s="1"/>
  <c r="M14" i="22" l="1"/>
  <c r="L14" i="22"/>
  <c r="E6" i="9" l="1"/>
  <c r="B2" i="9" s="1"/>
  <c r="AG17" i="9" l="1"/>
  <c r="AG18" i="9" s="1"/>
  <c r="B22" i="9"/>
  <c r="B23" i="9" s="1"/>
  <c r="AE35" i="2" l="1"/>
  <c r="AE34" i="2"/>
  <c r="AE36" i="2"/>
  <c r="AE33" i="2"/>
  <c r="AE32" i="2"/>
  <c r="H42" i="9"/>
  <c r="B13" i="15"/>
  <c r="B15" i="9" l="1"/>
  <c r="B11" i="9"/>
  <c r="E42" i="9"/>
  <c r="B41" i="9" l="1"/>
  <c r="E15" i="12"/>
  <c r="C18" i="14"/>
  <c r="B3" i="9" l="1"/>
  <c r="I5" i="9"/>
  <c r="H6" i="9" s="1"/>
  <c r="H5" i="9"/>
  <c r="J5" i="9" l="1"/>
  <c r="I6" i="9"/>
  <c r="J6" i="9" s="1"/>
  <c r="I7" i="9" l="1"/>
  <c r="H7" i="9"/>
  <c r="J7" i="9" l="1"/>
  <c r="I8" i="9"/>
  <c r="H8" i="9"/>
  <c r="J8" i="9" l="1"/>
  <c r="H9" i="9"/>
  <c r="I9" i="9"/>
  <c r="I10" i="9" l="1"/>
  <c r="H10" i="9"/>
  <c r="J9" i="9"/>
  <c r="B7" i="9"/>
  <c r="J10" i="9" l="1"/>
  <c r="U10" i="9" l="1"/>
  <c r="W10" i="9"/>
  <c r="U4" i="9"/>
  <c r="U8" i="9"/>
  <c r="S7" i="9"/>
  <c r="U6" i="9"/>
  <c r="W9" i="9"/>
  <c r="U7" i="9"/>
  <c r="U9" i="9"/>
  <c r="W8" i="9"/>
  <c r="Q4" i="9"/>
  <c r="W5" i="9"/>
  <c r="U5" i="9"/>
  <c r="W6" i="9"/>
  <c r="S6" i="9"/>
  <c r="Q6" i="9"/>
  <c r="W7" i="9" l="1"/>
  <c r="Q7" i="9"/>
  <c r="Q10" i="9"/>
  <c r="S10" i="9"/>
  <c r="S8" i="9"/>
  <c r="S5" i="9"/>
  <c r="Q5" i="9"/>
  <c r="S4" i="9"/>
  <c r="Q9" i="9"/>
  <c r="Q8" i="9"/>
  <c r="S9" i="9"/>
  <c r="W4" i="9"/>
</calcChain>
</file>

<file path=xl/sharedStrings.xml><?xml version="1.0" encoding="utf-8"?>
<sst xmlns="http://schemas.openxmlformats.org/spreadsheetml/2006/main" count="1135" uniqueCount="284">
  <si>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</si>
  <si>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</si>
  <si>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</si>
  <si>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</si>
  <si>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</si>
  <si>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</si>
  <si>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</si>
  <si>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</si>
  <si>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</si>
  <si>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</si>
  <si>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</si>
  <si>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</si>
  <si>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</si>
  <si>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</si>
  <si>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</si>
  <si>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</si>
  <si>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</si>
  <si>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</si>
  <si>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</si>
  <si>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</si>
  <si>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</si>
  <si>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</si>
  <si>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</si>
  <si>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</si>
  <si>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</si>
  <si>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</si>
  <si>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</si>
  <si>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</si>
  <si>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</si>
  <si>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</si>
  <si>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</si>
  <si>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</si>
  <si>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</si>
  <si>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</si>
  <si>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</si>
  <si>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</si>
  <si>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</si>
  <si>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</si>
  <si>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</si>
  <si>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</si>
  <si>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</si>
  <si>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</si>
  <si>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</si>
  <si>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</si>
  <si>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</si>
  <si>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</si>
  <si>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</si>
  <si>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</si>
  <si>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</si>
  <si>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</si>
  <si>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</si>
  <si>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Titan</t>
  </si>
  <si>
    <t>NW</t>
  </si>
  <si>
    <t>&lt;jt:forEach items="${issues.subList(0, 0)}" var="issue" where="${issue.key = ''}"&gt;</t>
  </si>
  <si>
    <t>ngStars</t>
  </si>
  <si>
    <t>Alpha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</si>
  <si>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</si>
  <si>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</si>
  <si>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</si>
  <si>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</si>
  <si>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</si>
  <si>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</si>
  <si>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</si>
  <si>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</si>
  <si>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</si>
  <si>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</si>
  <si>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</si>
  <si>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</si>
  <si>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</si>
  <si>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</si>
  <si>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</si>
  <si>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</si>
  <si>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</si>
  <si>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</si>
  <si>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</si>
  <si>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</si>
  <si>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</si>
  <si>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</si>
  <si>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</si>
  <si>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</si>
  <si>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</si>
  <si>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</si>
  <si>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</si>
  <si>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</si>
  <si>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</si>
  <si>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</si>
  <si>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</si>
  <si>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</si>
  <si>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</si>
  <si>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</si>
  <si>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</si>
  <si>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</si>
  <si>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</si>
  <si>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</si>
  <si>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</si>
  <si>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</si>
  <si>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</si>
  <si>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</si>
  <si>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</si>
  <si>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</si>
  <si>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</si>
  <si>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</si>
  <si>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</si>
  <si>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</si>
  <si>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</si>
  <si>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</si>
  <si>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</si>
  <si>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</si>
  <si>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</si>
  <si>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</si>
  <si>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</si>
  <si>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</si>
  <si>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</si>
  <si>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</si>
  <si>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</si>
  <si>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</si>
  <si>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</si>
  <si>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</si>
  <si>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</si>
  <si>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</si>
  <si>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</si>
  <si>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</si>
  <si>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</si>
  <si>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</si>
  <si>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</si>
  <si>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</si>
  <si>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</si>
  <si>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</si>
  <si>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</si>
  <si>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</si>
  <si>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</si>
  <si>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</si>
  <si>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</si>
  <si>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</si>
  <si>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</si>
  <si>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</si>
  <si>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</si>
  <si>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</si>
  <si>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</si>
  <si>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</si>
  <si>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</si>
  <si>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</si>
  <si>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</si>
  <si>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</si>
  <si>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</si>
  <si>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</si>
  <si>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</si>
  <si>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</si>
  <si>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</si>
  <si>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</si>
  <si>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</si>
  <si>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</si>
  <si>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</si>
  <si>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</si>
  <si>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</si>
  <si>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</si>
  <si>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</si>
  <si>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</si>
  <si>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</si>
  <si>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</si>
  <si>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</si>
  <si>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</si>
  <si>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</si>
  <si>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</si>
  <si>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</si>
  <si>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</si>
  <si>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</si>
  <si>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</si>
  <si>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</si>
  <si>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</si>
  <si>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</si>
  <si>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</si>
  <si>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</si>
  <si>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</si>
  <si>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</si>
  <si>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</si>
  <si>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</si>
  <si>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</si>
  <si>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</si>
  <si>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</si>
  <si>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</si>
  <si>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</si>
  <si>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</si>
  <si>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</si>
  <si>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</si>
  <si>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</si>
  <si>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</si>
  <si>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</si>
  <si>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</si>
  <si>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</si>
  <si>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</si>
  <si>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</si>
  <si>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</si>
  <si>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</si>
  <si>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</si>
  <si>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</si>
  <si>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</si>
  <si>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</si>
  <si>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</si>
  <si>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</si>
  <si>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</si>
  <si>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</si>
  <si>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</si>
  <si>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</si>
  <si>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</si>
  <si>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</si>
  <si>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</si>
  <si>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</si>
  <si>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</si>
  <si>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</si>
  <si>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</si>
  <si>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</si>
  <si>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</si>
  <si>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</si>
  <si>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</si>
  <si>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</si>
  <si>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</si>
  <si>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Yes</t>
  </si>
  <si>
    <t>No</t>
  </si>
  <si>
    <t>${bpHelper.isInBacklogHealth(issue)}&lt;/jt:forEach&gt;</t>
  </si>
  <si>
    <t>Feature</t>
  </si>
  <si>
    <t>Cost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</si>
  <si>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</si>
  <si>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</si>
  <si>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</si>
  <si>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</si>
  <si>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</si>
  <si>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</si>
  <si>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</si>
  <si>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</si>
  <si>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</si>
  <si>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</si>
  <si>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</si>
  <si>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</si>
  <si>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</si>
  <si>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</si>
  <si>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</si>
  <si>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</si>
  <si>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</si>
  <si>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</si>
  <si>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</si>
  <si>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</si>
  <si>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</si>
  <si>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</si>
  <si>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</si>
  <si>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</si>
  <si>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</si>
  <si>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</si>
  <si>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Custom P0/P1 Bugs: ${bpHelper.getCustomP0P1BugCount()}</t>
  </si>
  <si>
    <t>bug</t>
  </si>
  <si>
    <t>Total P0/P1 Bugs: ${bpHelper.getTotalP0P1BugCount()}</t>
  </si>
  <si>
    <t>Chart Total</t>
  </si>
  <si>
    <t>Sum of Stories Estimate</t>
  </si>
  <si>
    <t>Sum of Epic Decomposed</t>
  </si>
  <si>
    <t>Admin</t>
  </si>
  <si>
    <t>Venus</t>
  </si>
  <si>
    <t>&lt;mt:execute script="field-helper-tool.groovy"/&gt;&lt;mt:execute script="blueprint-helper.groovy"/&gt;&lt;mt:execute script="blueprint-wavelength-dashboard-helper.groovy"/&gt;</t>
  </si>
  <si>
    <t>${bpHelper.getWavelengthComponent(issue)}</t>
  </si>
  <si>
    <t>Visio Import</t>
  </si>
  <si>
    <t>BoA Audit</t>
  </si>
  <si>
    <t>Wavelength</t>
  </si>
  <si>
    <t>W1</t>
  </si>
  <si>
    <t>W2</t>
  </si>
  <si>
    <t>W3</t>
  </si>
  <si>
    <t>W4</t>
  </si>
  <si>
    <t>W5</t>
  </si>
  <si>
    <t>W6</t>
  </si>
  <si>
    <t>W7</t>
  </si>
  <si>
    <t>$[SUBSTITUTE(SUBSTITUTE(AE2, "avelength", ""), "enus", "")]</t>
  </si>
  <si>
    <t>Wavelength1</t>
  </si>
  <si>
    <t>Wavelength2</t>
  </si>
  <si>
    <t>Wavelength3</t>
  </si>
  <si>
    <t>Wavelength4</t>
  </si>
  <si>
    <t>Wavelength5</t>
  </si>
  <si>
    <t>Wavelength6</t>
  </si>
  <si>
    <t>Wavelength7</t>
  </si>
  <si>
    <t>Time Elapsed BoA Audit</t>
  </si>
  <si>
    <t>Visio Import/Export</t>
  </si>
  <si>
    <t>Logging and Audit</t>
  </si>
  <si>
    <t>Release, Admin, Visio Import</t>
  </si>
  <si>
    <t>Release Component</t>
  </si>
  <si>
    <t>UiPath Integration</t>
  </si>
  <si>
    <t>Wavelength8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</si>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</sst>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[$-409]d\-mmm\-yyyy;@"/>
    <numFmt numFmtId="166" formatCode="0.0%"/>
    <numFmt numFmtId="167" formatCode="0.0"/>
    <numFmt numFmtId="168" formatCode="[$-409]d\-mmm\-yy;@"/>
    <numFmt numFmtId="169" formatCode="[$-409]dd\-mmm\-yy;@"/>
  </numFmts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rgb="FF7F7F7F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164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94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5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6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164" fontId="0" fillId="0" borderId="0" xfId="3" applyFont="1"/>
    <xf numFmtId="10" fontId="0" fillId="0" borderId="0" xfId="0" applyNumberFormat="1" applyFont="1"/>
    <xf numFmtId="0" fontId="11" fillId="7" borderId="0" xfId="4"/>
    <xf numFmtId="167" fontId="0" fillId="0" borderId="0" xfId="0" applyNumberFormat="1"/>
    <xf numFmtId="167" fontId="0" fillId="0" borderId="0" xfId="0" applyNumberFormat="1" applyFont="1"/>
    <xf numFmtId="167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167" fontId="0" fillId="0" borderId="18" xfId="0" applyNumberFormat="1" applyBorder="1"/>
    <xf numFmtId="1" fontId="0" fillId="0" borderId="0" xfId="0" applyNumberFormat="1" applyBorder="1"/>
    <xf numFmtId="167" fontId="0" fillId="0" borderId="12" xfId="0" applyNumberFormat="1" applyBorder="1"/>
    <xf numFmtId="169" fontId="2" fillId="0" borderId="0" xfId="0" applyNumberFormat="1" applyFont="1" applyAlignment="1">
      <alignment horizontal="right" vertical="center"/>
    </xf>
    <xf numFmtId="0" fontId="0" fillId="0" borderId="18" xfId="0" applyBorder="1"/>
    <xf numFmtId="16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67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7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9" fontId="0" fillId="0" borderId="1" xfId="0" applyNumberFormat="1" applyFont="1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20" xfId="0" applyNumberFormat="1" applyFont="1" applyBorder="1"/>
    <xf numFmtId="0" fontId="6" fillId="0" borderId="21" xfId="0" applyFont="1" applyBorder="1"/>
    <xf numFmtId="0" fontId="13" fillId="0" borderId="0" xfId="0" applyFont="1"/>
    <xf numFmtId="0" fontId="14" fillId="9" borderId="22" xfId="0" applyFont="1" applyFill="1" applyBorder="1"/>
    <xf numFmtId="0" fontId="0" fillId="0" borderId="0" xfId="0" applyFont="1" applyFill="1" applyBorder="1"/>
    <xf numFmtId="0" fontId="0" fillId="0" borderId="20" xfId="0" applyBorder="1"/>
    <xf numFmtId="169" fontId="2" fillId="0" borderId="20" xfId="0" applyNumberFormat="1" applyFont="1" applyBorder="1" applyAlignment="1">
      <alignment horizontal="right" vertical="center"/>
    </xf>
    <xf numFmtId="167" fontId="0" fillId="0" borderId="24" xfId="0" applyNumberFormat="1" applyBorder="1"/>
    <xf numFmtId="1" fontId="0" fillId="0" borderId="20" xfId="0" applyNumberFormat="1" applyBorder="1"/>
    <xf numFmtId="167" fontId="0" fillId="0" borderId="20" xfId="0" applyNumberFormat="1" applyBorder="1"/>
    <xf numFmtId="9" fontId="0" fillId="0" borderId="20" xfId="0" applyNumberFormat="1" applyBorder="1"/>
    <xf numFmtId="167" fontId="0" fillId="0" borderId="25" xfId="0" applyNumberFormat="1" applyBorder="1"/>
    <xf numFmtId="9" fontId="0" fillId="0" borderId="23" xfId="0" applyNumberFormat="1" applyBorder="1"/>
    <xf numFmtId="0" fontId="0" fillId="0" borderId="4" xfId="0" applyBorder="1"/>
    <xf numFmtId="0" fontId="12" fillId="8" borderId="11" xfId="5" applyAlignment="1">
      <alignment horizontal="center"/>
    </xf>
    <xf numFmtId="0" fontId="9" fillId="6" borderId="8" xfId="2"/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8.xml"/><Relationship Id="rId1" Type="http://schemas.microsoft.com/office/2011/relationships/chartStyle" Target="style28.xml"/><Relationship Id="rId4" Type="http://schemas.openxmlformats.org/officeDocument/2006/relationships/chartUserShapes" Target="../drawings/drawing1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1.1194029850746268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_ReleaseData!$M$3:$M$10</c:f>
              <c:numCache>
                <c:formatCode>0%</c:formatCode>
                <c:ptCount val="8"/>
                <c:pt idx="0">
                  <c:v>0.11</c:v>
                </c:pt>
                <c:pt idx="1">
                  <c:v>0.23</c:v>
                </c:pt>
                <c:pt idx="2">
                  <c:v>0.35</c:v>
                </c:pt>
                <c:pt idx="3">
                  <c:v>0.46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0.87</c:v>
                </c:pt>
                <c:pt idx="7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150</c:v>
                </c:pt>
                <c:pt idx="1">
                  <c:v>120</c:v>
                </c:pt>
                <c:pt idx="2">
                  <c:v>180</c:v>
                </c:pt>
                <c:pt idx="3">
                  <c:v>90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_ReleaseData!$A$55:$A$61</c:f>
              <c:strCache>
                <c:ptCount val="6"/>
                <c:pt idx="0">
                  <c:v>Admin</c:v>
                </c:pt>
                <c:pt idx="1">
                  <c:v>Visio Import</c:v>
                </c:pt>
                <c:pt idx="2">
                  <c:v>BoA Audit</c:v>
                </c:pt>
                <c:pt idx="3">
                  <c:v>UiPath Integration</c:v>
                </c:pt>
                <c:pt idx="4">
                  <c:v>R&amp;D Bucket</c:v>
                </c:pt>
                <c:pt idx="5">
                  <c:v>Other</c:v>
                </c:pt>
              </c:strCache>
            </c:strRef>
          </c:cat>
          <c:val>
            <c:numRef>
              <c:f>_ReleaseData!$B$55:$B$61</c:f>
              <c:numCache>
                <c:formatCode>General</c:formatCode>
                <c:ptCount val="6"/>
                <c:pt idx="0">
                  <c:v>150</c:v>
                </c:pt>
                <c:pt idx="1">
                  <c:v>100</c:v>
                </c:pt>
                <c:pt idx="2">
                  <c:v>150</c:v>
                </c:pt>
                <c:pt idx="3">
                  <c:v>100</c:v>
                </c:pt>
                <c:pt idx="4">
                  <c:v>50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5714413655266293E-2"/>
          <c:y val="0.85490666473916965"/>
          <c:w val="0.96219921012750698"/>
          <c:h val="0.12233373695280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_ReleaseData!$Q$3:$Q$10</c:f>
              <c:numCache>
                <c:formatCode>0.0</c:formatCode>
                <c:ptCount val="8"/>
                <c:pt idx="0">
                  <c:v>700</c:v>
                </c:pt>
                <c:pt idx="1">
                  <c:v>605.97014925373139</c:v>
                </c:pt>
                <c:pt idx="2">
                  <c:v>501.49253731343288</c:v>
                </c:pt>
                <c:pt idx="3">
                  <c:v>397.01492537313436</c:v>
                </c:pt>
                <c:pt idx="4">
                  <c:v>292.53731343283579</c:v>
                </c:pt>
                <c:pt idx="5">
                  <c:v>198.50746268656718</c:v>
                </c:pt>
                <c:pt idx="6">
                  <c:v>94.029850746268693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_ReleaseData!$R$3:$R$10</c:f>
              <c:numCache>
                <c:formatCode>0.0</c:formatCode>
                <c:ptCount val="8"/>
                <c:pt idx="0">
                  <c:v>465</c:v>
                </c:pt>
                <c:pt idx="1">
                  <c:v>442.3</c:v>
                </c:pt>
                <c:pt idx="2">
                  <c:v>408.8</c:v>
                </c:pt>
                <c:pt idx="3">
                  <c:v>387.8</c:v>
                </c:pt>
                <c:pt idx="4">
                  <c:v>311.5</c:v>
                </c:pt>
                <c:pt idx="5">
                  <c:v>212</c:v>
                </c:pt>
                <c:pt idx="6">
                  <c:v>92.5</c:v>
                </c:pt>
                <c:pt idx="7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'!$D$3:$D$10</c:f>
              <c:numCache>
                <c:formatCode>0.0</c:formatCode>
                <c:ptCount val="8"/>
                <c:pt idx="0">
                  <c:v>520.79999999999995</c:v>
                </c:pt>
                <c:pt idx="1">
                  <c:v>573</c:v>
                </c:pt>
                <c:pt idx="2">
                  <c:v>630.79999999999995</c:v>
                </c:pt>
                <c:pt idx="3">
                  <c:v>723.3</c:v>
                </c:pt>
                <c:pt idx="4">
                  <c:v>745.8</c:v>
                </c:pt>
                <c:pt idx="5">
                  <c:v>752.6</c:v>
                </c:pt>
                <c:pt idx="6">
                  <c:v>718.1</c:v>
                </c:pt>
                <c:pt idx="7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'!$F$3:$F$10</c:f>
              <c:numCache>
                <c:formatCode>0.0</c:formatCode>
                <c:ptCount val="8"/>
                <c:pt idx="0">
                  <c:v>443.8</c:v>
                </c:pt>
                <c:pt idx="1">
                  <c:v>525</c:v>
                </c:pt>
                <c:pt idx="2">
                  <c:v>630.79999999999995</c:v>
                </c:pt>
                <c:pt idx="3">
                  <c:v>705.3</c:v>
                </c:pt>
                <c:pt idx="4">
                  <c:v>745.8</c:v>
                </c:pt>
                <c:pt idx="5">
                  <c:v>752.6</c:v>
                </c:pt>
                <c:pt idx="6">
                  <c:v>718.1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'!$G$3:$G$10</c:f>
              <c:numCache>
                <c:formatCode>0.0</c:formatCode>
                <c:ptCount val="8"/>
                <c:pt idx="0">
                  <c:v>378.3</c:v>
                </c:pt>
                <c:pt idx="1">
                  <c:v>461.5</c:v>
                </c:pt>
                <c:pt idx="2">
                  <c:v>606.29999999999995</c:v>
                </c:pt>
                <c:pt idx="3">
                  <c:v>695.8</c:v>
                </c:pt>
                <c:pt idx="4">
                  <c:v>730.3</c:v>
                </c:pt>
                <c:pt idx="5">
                  <c:v>745.6</c:v>
                </c:pt>
                <c:pt idx="6">
                  <c:v>718.1</c:v>
                </c:pt>
                <c:pt idx="7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'!$H$3:$H$10</c:f>
              <c:numCache>
                <c:formatCode>0.0</c:formatCode>
                <c:ptCount val="8"/>
                <c:pt idx="0">
                  <c:v>55.799999999999955</c:v>
                </c:pt>
                <c:pt idx="1">
                  <c:v>130.69999999999999</c:v>
                </c:pt>
                <c:pt idx="2">
                  <c:v>221.99999999999994</c:v>
                </c:pt>
                <c:pt idx="3">
                  <c:v>335.49999999999994</c:v>
                </c:pt>
                <c:pt idx="4">
                  <c:v>434.29999999999995</c:v>
                </c:pt>
                <c:pt idx="5">
                  <c:v>540.6</c:v>
                </c:pt>
                <c:pt idx="6">
                  <c:v>625.6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layout>
                <c:manualLayout>
                  <c:x val="0.22686582781803447"/>
                  <c:y val="-4.2691256830601097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30-4180-A39C-A49E1B8CB68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F2-4708-BEA0-B7424D955A6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F2-4708-BEA0-B7424D955A60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'!$E$3:$E$10</c:f>
              <c:numCache>
                <c:formatCode>0</c:formatCode>
                <c:ptCount val="8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1.1194029850746268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Admin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_ReleaseData!$N$3:$N$10</c:f>
              <c:numCache>
                <c:formatCode>0%</c:formatCode>
                <c:ptCount val="8"/>
                <c:pt idx="0">
                  <c:v>0.28999999999999998</c:v>
                </c:pt>
                <c:pt idx="1">
                  <c:v>0.4</c:v>
                </c:pt>
                <c:pt idx="2">
                  <c:v>0.5</c:v>
                </c:pt>
                <c:pt idx="3">
                  <c:v>0.69</c:v>
                </c:pt>
                <c:pt idx="4">
                  <c:v>0.87</c:v>
                </c:pt>
                <c:pt idx="5">
                  <c:v>0.94</c:v>
                </c:pt>
                <c:pt idx="6">
                  <c:v>0.98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_ReleaseData!$S$3:$S$10</c:f>
              <c:numCache>
                <c:formatCode>0.0</c:formatCode>
                <c:ptCount val="8"/>
                <c:pt idx="0">
                  <c:v>260</c:v>
                </c:pt>
                <c:pt idx="1">
                  <c:v>225.07462686567166</c:v>
                </c:pt>
                <c:pt idx="2">
                  <c:v>186.26865671641792</c:v>
                </c:pt>
                <c:pt idx="3">
                  <c:v>147.46268656716421</c:v>
                </c:pt>
                <c:pt idx="4">
                  <c:v>108.65671641791045</c:v>
                </c:pt>
                <c:pt idx="5">
                  <c:v>73.731343283582106</c:v>
                </c:pt>
                <c:pt idx="6">
                  <c:v>34.925373134328375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_ReleaseData!$T$3:$T$10</c:f>
              <c:numCache>
                <c:formatCode>0.0</c:formatCode>
                <c:ptCount val="8"/>
                <c:pt idx="0">
                  <c:v>136</c:v>
                </c:pt>
                <c:pt idx="1">
                  <c:v>138.30000000000001</c:v>
                </c:pt>
                <c:pt idx="2">
                  <c:v>139.30000000000001</c:v>
                </c:pt>
                <c:pt idx="3">
                  <c:v>85.3</c:v>
                </c:pt>
                <c:pt idx="4">
                  <c:v>36</c:v>
                </c:pt>
                <c:pt idx="5">
                  <c:v>17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'!$L$3:$L$10</c:f>
              <c:numCache>
                <c:formatCode>0.0</c:formatCode>
                <c:ptCount val="8"/>
                <c:pt idx="0">
                  <c:v>191.8</c:v>
                </c:pt>
                <c:pt idx="1">
                  <c:v>232</c:v>
                </c:pt>
                <c:pt idx="2">
                  <c:v>275.8</c:v>
                </c:pt>
                <c:pt idx="3">
                  <c:v>277.8</c:v>
                </c:pt>
                <c:pt idx="4">
                  <c:v>279.8</c:v>
                </c:pt>
                <c:pt idx="5">
                  <c:v>290.60000000000002</c:v>
                </c:pt>
                <c:pt idx="6">
                  <c:v>289.60000000000002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'!$N$3:$N$10</c:f>
              <c:numCache>
                <c:formatCode>0.0</c:formatCode>
                <c:ptCount val="8"/>
                <c:pt idx="0">
                  <c:v>124.8</c:v>
                </c:pt>
                <c:pt idx="1">
                  <c:v>184</c:v>
                </c:pt>
                <c:pt idx="2">
                  <c:v>275.8</c:v>
                </c:pt>
                <c:pt idx="3">
                  <c:v>277.8</c:v>
                </c:pt>
                <c:pt idx="4">
                  <c:v>279.8</c:v>
                </c:pt>
                <c:pt idx="5">
                  <c:v>290.60000000000002</c:v>
                </c:pt>
                <c:pt idx="6">
                  <c:v>289.60000000000002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'!$O$3:$O$10</c:f>
              <c:numCache>
                <c:formatCode>0.0</c:formatCode>
                <c:ptCount val="8"/>
                <c:pt idx="0">
                  <c:v>120.8</c:v>
                </c:pt>
                <c:pt idx="1">
                  <c:v>184</c:v>
                </c:pt>
                <c:pt idx="2">
                  <c:v>275.8</c:v>
                </c:pt>
                <c:pt idx="3">
                  <c:v>277.8</c:v>
                </c:pt>
                <c:pt idx="4">
                  <c:v>279.8</c:v>
                </c:pt>
                <c:pt idx="5">
                  <c:v>290.60000000000002</c:v>
                </c:pt>
                <c:pt idx="6">
                  <c:v>289.60000000000002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'!$P$3:$P$10</c:f>
              <c:numCache>
                <c:formatCode>0.0</c:formatCode>
                <c:ptCount val="8"/>
                <c:pt idx="0">
                  <c:v>55.800000000000011</c:v>
                </c:pt>
                <c:pt idx="1">
                  <c:v>93.699999999999989</c:v>
                </c:pt>
                <c:pt idx="2">
                  <c:v>136.5</c:v>
                </c:pt>
                <c:pt idx="3">
                  <c:v>192.5</c:v>
                </c:pt>
                <c:pt idx="4">
                  <c:v>243.8</c:v>
                </c:pt>
                <c:pt idx="5">
                  <c:v>273.60000000000002</c:v>
                </c:pt>
                <c:pt idx="6">
                  <c:v>282.60000000000002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69-45BB-BB6F-B72BAE34338B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83-4513-810D-31530EEBEE59}"/>
                </c:ext>
              </c:extLst>
            </c:dLbl>
            <c:dLbl>
              <c:idx val="8"/>
              <c:layout>
                <c:manualLayout>
                  <c:x val="4.1297935103244948E-2"/>
                  <c:y val="-4.3357613596947623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83-4513-810D-31530EEBEE59}"/>
                </c:ext>
              </c:extLst>
            </c:dLbl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83-4513-810D-31530EEBEE59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'!$M$3:$M$10</c:f>
              <c:numCache>
                <c:formatCode>0</c:formatCode>
                <c:ptCount val="8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1.1194029850746268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Visio Import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-2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_ReleaseData!$L$3:$L$10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_ReleaseData!$O$3:$O$10</c:f>
              <c:numCache>
                <c:formatCode>0%</c:formatCode>
                <c:ptCount val="8"/>
                <c:pt idx="0">
                  <c:v>0</c:v>
                </c:pt>
                <c:pt idx="1">
                  <c:v>0.08</c:v>
                </c:pt>
                <c:pt idx="2">
                  <c:v>0.26</c:v>
                </c:pt>
                <c:pt idx="3">
                  <c:v>0.39</c:v>
                </c:pt>
                <c:pt idx="4">
                  <c:v>0.39</c:v>
                </c:pt>
                <c:pt idx="5">
                  <c:v>0.44</c:v>
                </c:pt>
                <c:pt idx="6">
                  <c:v>0.87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-100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_ReleaseData!$U$3:$U$10</c:f>
              <c:numCache>
                <c:formatCode>0.0</c:formatCode>
                <c:ptCount val="8"/>
                <c:pt idx="0">
                  <c:v>200</c:v>
                </c:pt>
                <c:pt idx="1">
                  <c:v>173.13432835820896</c:v>
                </c:pt>
                <c:pt idx="2">
                  <c:v>143.28358208955225</c:v>
                </c:pt>
                <c:pt idx="3">
                  <c:v>113.43283582089553</c:v>
                </c:pt>
                <c:pt idx="4">
                  <c:v>83.582089552238799</c:v>
                </c:pt>
                <c:pt idx="5">
                  <c:v>56.716417910447767</c:v>
                </c:pt>
                <c:pt idx="6">
                  <c:v>26.865671641791057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_ReleaseData!$V$3:$V$10</c:f>
              <c:numCache>
                <c:formatCode>0.0</c:formatCode>
                <c:ptCount val="8"/>
                <c:pt idx="0">
                  <c:v>178</c:v>
                </c:pt>
                <c:pt idx="1">
                  <c:v>173</c:v>
                </c:pt>
                <c:pt idx="2">
                  <c:v>139</c:v>
                </c:pt>
                <c:pt idx="3">
                  <c:v>115</c:v>
                </c:pt>
                <c:pt idx="4">
                  <c:v>115</c:v>
                </c:pt>
                <c:pt idx="5">
                  <c:v>105</c:v>
                </c:pt>
                <c:pt idx="6">
                  <c:v>21</c:v>
                </c:pt>
                <c:pt idx="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Visio Import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'!$T$3:$T$10</c:f>
              <c:numCache>
                <c:formatCode>0.0</c:formatCode>
                <c:ptCount val="8"/>
                <c:pt idx="0">
                  <c:v>178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163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'!$V$3:$V$10</c:f>
              <c:numCache>
                <c:formatCode>0.0</c:formatCode>
                <c:ptCount val="8"/>
                <c:pt idx="0">
                  <c:v>178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163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'!$W$3:$W$10</c:f>
              <c:numCache>
                <c:formatCode>0.0</c:formatCode>
                <c:ptCount val="8"/>
                <c:pt idx="0">
                  <c:v>117</c:v>
                </c:pt>
                <c:pt idx="1">
                  <c:v>137</c:v>
                </c:pt>
                <c:pt idx="2">
                  <c:v>183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163</c:v>
                </c:pt>
                <c:pt idx="7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'!$X$3:$X$10</c:f>
              <c:numCache>
                <c:formatCode>0.0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49</c:v>
                </c:pt>
                <c:pt idx="3">
                  <c:v>73</c:v>
                </c:pt>
                <c:pt idx="4">
                  <c:v>73</c:v>
                </c:pt>
                <c:pt idx="5">
                  <c:v>83</c:v>
                </c:pt>
                <c:pt idx="6">
                  <c:v>142</c:v>
                </c:pt>
                <c:pt idx="7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layout>
                <c:manualLayout>
                  <c:x val="0.21878133229950661"/>
                  <c:y val="-4.0529516619243908E-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AF-4776-9B86-DEE292B84CF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0D-4AEE-8A62-94B5A72450E4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0D-4AEE-8A62-94B5A72450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'!$U$3:$U$10</c:f>
              <c:numCache>
                <c:formatCode>0</c:formatCode>
                <c:ptCount val="8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_ReleaseData!$AG$17:$AG$18</c:f>
              <c:numCache>
                <c:formatCode>0.0%</c:formatCode>
                <c:ptCount val="2"/>
                <c:pt idx="0" formatCode="0%">
                  <c:v>1.2105263157894737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baseline="0"/>
              <a:t>BoA Audit Progress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-2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_ReleaseData!$P$3:$P$10</c:f>
              <c:numCache>
                <c:formatCode>0%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0.12</c:v>
                </c:pt>
                <c:pt idx="3">
                  <c:v>0.41</c:v>
                </c:pt>
                <c:pt idx="4">
                  <c:v>0.56000000000000005</c:v>
                </c:pt>
                <c:pt idx="5">
                  <c:v>0.83</c:v>
                </c:pt>
                <c:pt idx="6">
                  <c:v>0.83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_ReleaseData!$W$3:$W$10</c:f>
              <c:numCache>
                <c:formatCode>0.0</c:formatCode>
                <c:ptCount val="8"/>
                <c:pt idx="0">
                  <c:v>60</c:v>
                </c:pt>
                <c:pt idx="1">
                  <c:v>51.940298507462693</c:v>
                </c:pt>
                <c:pt idx="2">
                  <c:v>42.985074626865675</c:v>
                </c:pt>
                <c:pt idx="3">
                  <c:v>34.029850746268664</c:v>
                </c:pt>
                <c:pt idx="4">
                  <c:v>25.07462686567164</c:v>
                </c:pt>
                <c:pt idx="5">
                  <c:v>17.014925373134332</c:v>
                </c:pt>
                <c:pt idx="6">
                  <c:v>8.0597014925373163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_ReleaseData!$X$3:$X$10</c:f>
              <c:numCache>
                <c:formatCode>0.0</c:formatCode>
                <c:ptCount val="8"/>
                <c:pt idx="0">
                  <c:v>59</c:v>
                </c:pt>
                <c:pt idx="1">
                  <c:v>52</c:v>
                </c:pt>
                <c:pt idx="2">
                  <c:v>52</c:v>
                </c:pt>
                <c:pt idx="3">
                  <c:v>35</c:v>
                </c:pt>
                <c:pt idx="4">
                  <c:v>26</c:v>
                </c:pt>
                <c:pt idx="5">
                  <c:v>10</c:v>
                </c:pt>
                <c:pt idx="6">
                  <c:v>10</c:v>
                </c:pt>
                <c:pt idx="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 Audit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'!$AB$3:$AB$10</c:f>
              <c:numCache>
                <c:formatCode>0.0</c:formatCode>
                <c:ptCount val="8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60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'!$AD$3:$AD$10</c:f>
              <c:numCache>
                <c:formatCode>0.0</c:formatCode>
                <c:ptCount val="8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'!$AE$3:$AE$10</c:f>
              <c:numCache>
                <c:formatCode>0.0</c:formatCode>
                <c:ptCount val="8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60</c:v>
                </c:pt>
                <c:pt idx="7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'!$AF$3:$AF$10</c:f>
              <c:numCache>
                <c:formatCode>0.0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24</c:v>
                </c:pt>
                <c:pt idx="4">
                  <c:v>33</c:v>
                </c:pt>
                <c:pt idx="5">
                  <c:v>49</c:v>
                </c:pt>
                <c:pt idx="6">
                  <c:v>50</c:v>
                </c:pt>
                <c:pt idx="7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6D-4093-AE02-06F1CD42EE98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2F6-41AF-9A15-9ABE13CB370C}"/>
                </c:ext>
              </c:extLst>
            </c:dLbl>
            <c:dLbl>
              <c:idx val="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F6-41AF-9A15-9ABE13CB370C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'!$AC$3:$AC$10</c:f>
              <c:numCache>
                <c:formatCode>0</c:formatCode>
                <c:ptCount val="8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[Wavelength-Dashboard.xlsx]_ReleaseData!PivotTable6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-100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solidFill>
            <a:sysClr val="window" lastClr="FFFFFF">
              <a:alpha val="99000"/>
            </a:sys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UiPath Integration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'!$AR$2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'!$AR$3:$AR$10</c:f>
              <c:numCache>
                <c:formatCode>0.0</c:formatCode>
                <c:ptCount val="8"/>
                <c:pt idx="3">
                  <c:v>71.3</c:v>
                </c:pt>
                <c:pt idx="4">
                  <c:v>54.3</c:v>
                </c:pt>
                <c:pt idx="5">
                  <c:v>76.3</c:v>
                </c:pt>
                <c:pt idx="6">
                  <c:v>77.3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E-42EE-85B4-CAA15202646B}"/>
            </c:ext>
          </c:extLst>
        </c:ser>
        <c:ser>
          <c:idx val="2"/>
          <c:order val="2"/>
          <c:tx>
            <c:strRef>
              <c:f>'_CumulativeFlowData '!$AT$2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'!$AT$3:$AT$10</c:f>
              <c:numCache>
                <c:formatCode>0.0</c:formatCode>
                <c:ptCount val="8"/>
                <c:pt idx="3">
                  <c:v>53.3</c:v>
                </c:pt>
                <c:pt idx="4">
                  <c:v>54.3</c:v>
                </c:pt>
                <c:pt idx="5">
                  <c:v>76.3</c:v>
                </c:pt>
                <c:pt idx="6">
                  <c:v>77.3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E-42EE-85B4-CAA15202646B}"/>
            </c:ext>
          </c:extLst>
        </c:ser>
        <c:ser>
          <c:idx val="3"/>
          <c:order val="3"/>
          <c:tx>
            <c:strRef>
              <c:f>'_CumulativeFlowData '!$AU$2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'!$AU$3:$AU$10</c:f>
              <c:numCache>
                <c:formatCode>0.0</c:formatCode>
                <c:ptCount val="8"/>
                <c:pt idx="3">
                  <c:v>53.3</c:v>
                </c:pt>
                <c:pt idx="4">
                  <c:v>54.3</c:v>
                </c:pt>
                <c:pt idx="5">
                  <c:v>76.3</c:v>
                </c:pt>
                <c:pt idx="6">
                  <c:v>77.3</c:v>
                </c:pt>
                <c:pt idx="7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E-42EE-85B4-CAA15202646B}"/>
            </c:ext>
          </c:extLst>
        </c:ser>
        <c:ser>
          <c:idx val="4"/>
          <c:order val="4"/>
          <c:tx>
            <c:strRef>
              <c:f>'_CumulativeFlowData '!$AV$2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'!$AV$3:$AV$10</c:f>
              <c:numCache>
                <c:formatCode>0.0</c:formatCode>
                <c:ptCount val="8"/>
                <c:pt idx="3">
                  <c:v>0</c:v>
                </c:pt>
                <c:pt idx="4">
                  <c:v>34.299999999999997</c:v>
                </c:pt>
                <c:pt idx="5">
                  <c:v>66.3</c:v>
                </c:pt>
                <c:pt idx="6">
                  <c:v>75.3</c:v>
                </c:pt>
                <c:pt idx="7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3E-42EE-85B4-CAA152026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'!$AS$2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3E-42EE-85B4-CAA15202646B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3E-42EE-85B4-CAA15202646B}"/>
                </c:ext>
              </c:extLst>
            </c:dLbl>
            <c:dLbl>
              <c:idx val="2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3E-42EE-85B4-CAA15202646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83E-42EE-85B4-CAA15202646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83E-42EE-85B4-CAA15202646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3E-42EE-85B4-CAA15202646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83E-42EE-85B4-CAA15202646B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FA-49AC-B399-B6621AA74FCC}"/>
                </c:ext>
              </c:extLst>
            </c:dLbl>
            <c:dLbl>
              <c:idx val="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FA-49AC-B399-B6621AA74FCC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83E-42EE-85B4-CAA152026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'!$AS$3:$AS$10</c:f>
              <c:numCache>
                <c:formatCode>0</c:formatCode>
                <c:ptCount val="8"/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3E-42EE-85B4-CAA152026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8849557522123896E-2"/>
          <c:y val="0.88781166272009959"/>
          <c:w val="0.9"/>
          <c:h val="7.31664850426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Elapsed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EEECE1">
                <a:lumMod val="50000"/>
              </a:srgbClr>
            </a:solidFill>
          </c:spPr>
          <c:dPt>
            <c:idx val="0"/>
            <c:bubble3D val="0"/>
            <c:spPr>
              <a:solidFill>
                <a:srgbClr val="EEECE1">
                  <a:lumMod val="5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9-4665-B1B6-A353178D659B}"/>
              </c:ext>
            </c:extLst>
          </c:dPt>
          <c:dPt>
            <c:idx val="1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9-4665-B1B6-A353178D659B}"/>
              </c:ext>
            </c:extLst>
          </c:dPt>
          <c:cat>
            <c:strRef>
              <c:f>_ReleaseData!$AF$17:$AF$18</c:f>
              <c:strCache>
                <c:ptCount val="2"/>
                <c:pt idx="0">
                  <c:v>Actual</c:v>
                </c:pt>
                <c:pt idx="1">
                  <c:v>Remainder</c:v>
                </c:pt>
              </c:strCache>
            </c:strRef>
          </c:cat>
          <c:val>
            <c:numRef>
              <c:f>_ReleaseData!$AG$17:$AG$18</c:f>
              <c:numCache>
                <c:formatCode>0.0%</c:formatCode>
                <c:ptCount val="2"/>
                <c:pt idx="0" formatCode="0%">
                  <c:v>1.2105263157894737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69-4665-B1B6-A353178D6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100"/>
              <a:t>UiPath</a:t>
            </a:r>
            <a:r>
              <a:rPr lang="en-CA" sz="1100" baseline="0"/>
              <a:t> Integration Progress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5-4D4C-A4E4-F2874FBC47C7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95-4D4C-A4E4-F2874FBC47C7}"/>
              </c:ext>
            </c:extLst>
          </c:dPt>
          <c:cat>
            <c:strRef>
              <c:f>_ReleaseData!$AF$21:$AF$22</c:f>
              <c:strCache>
                <c:ptCount val="2"/>
                <c:pt idx="0">
                  <c:v>Actual</c:v>
                </c:pt>
                <c:pt idx="1">
                  <c:v>Remainder</c:v>
                </c:pt>
              </c:strCache>
            </c:strRef>
          </c:cat>
          <c:val>
            <c:numRef>
              <c:f>_ReleaseData!$AG$21:$AG$22</c:f>
              <c:numCache>
                <c:formatCode>0.0%</c:formatCode>
                <c:ptCount val="2"/>
                <c:pt idx="0" formatCode="0%">
                  <c:v>-0.5</c:v>
                </c:pt>
                <c:pt idx="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95-4D4C-A4E4-F2874FBC4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UiPath Integration Backlog by State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</c:pivotFmt>
      <c:pivotFmt>
        <c:idx val="16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5"/>
          </a:solidFill>
          <a:ln>
            <a:noFill/>
          </a:ln>
          <a:effectLst/>
        </c:spPr>
      </c:pivotFmt>
      <c:pivotFmt>
        <c:idx val="22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336922187161061"/>
          <c:y val="0.13003634475597092"/>
          <c:w val="0.72366542314233184"/>
          <c:h val="0.7223127774915985"/>
        </c:manualLayout>
      </c:layout>
      <c:doughnutChart>
        <c:varyColors val="1"/>
        <c:ser>
          <c:idx val="0"/>
          <c:order val="0"/>
          <c:tx>
            <c:strRef>
              <c:f>_ReleaseData!$N$29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10-4ECC-86B5-537450A4348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10-4ECC-86B5-537450A4348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10-4ECC-86B5-537450A4348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10-4ECC-86B5-537450A4348E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10-4ECC-86B5-537450A4348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_ReleaseData!$M$30:$M$34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_ReleaseData!$N$30:$N$34</c:f>
              <c:numCache>
                <c:formatCode>General</c:formatCode>
                <c:ptCount val="5"/>
                <c:pt idx="0">
                  <c:v>-50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10-4ECC-86B5-537450A4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solidFill>
            <a:sysClr val="window" lastClr="FFFFFF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UiPath</a:t>
            </a:r>
            <a:r>
              <a:rPr lang="en-CA" baseline="0"/>
              <a:t> Integration Progress</a:t>
            </a:r>
            <a:endParaRPr lang="en-CA"/>
          </a:p>
        </c:rich>
      </c:tx>
      <c:layout>
        <c:manualLayout>
          <c:xMode val="edge"/>
          <c:yMode val="edge"/>
          <c:x val="0.26056754479764099"/>
          <c:y val="4.1712504583791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_ReleaseData!$AF$2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_ReleaseData!$AF$3:$AF$10</c:f>
              <c:numCache>
                <c:formatCode>0%</c:formatCode>
                <c:ptCount val="8"/>
                <c:pt idx="3">
                  <c:v>0</c:v>
                </c:pt>
                <c:pt idx="4">
                  <c:v>0.26315789473684209</c:v>
                </c:pt>
                <c:pt idx="5">
                  <c:v>0.5</c:v>
                </c:pt>
                <c:pt idx="6">
                  <c:v>0.76315789473684215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A-4853-8262-20F77466DBA0}"/>
            </c:ext>
          </c:extLst>
        </c:ser>
        <c:ser>
          <c:idx val="1"/>
          <c:order val="1"/>
          <c:tx>
            <c:strRef>
              <c:f>_ReleaseData!$AG$2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3810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A1A-4853-8262-20F77466DBA0}"/>
              </c:ext>
            </c:extLst>
          </c:dPt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_ReleaseData!$AG$3:$AG$10</c:f>
              <c:numCache>
                <c:formatCode>0%</c:formatCode>
                <c:ptCount val="8"/>
                <c:pt idx="3">
                  <c:v>0</c:v>
                </c:pt>
                <c:pt idx="4">
                  <c:v>0.63</c:v>
                </c:pt>
                <c:pt idx="5">
                  <c:v>0.87</c:v>
                </c:pt>
                <c:pt idx="6">
                  <c:v>0.97</c:v>
                </c:pt>
                <c:pt idx="7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1A-4853-8262-20F77466D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364960"/>
        <c:axId val="639644080"/>
      </c:lineChart>
      <c:catAx>
        <c:axId val="7703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44080"/>
        <c:crosses val="autoZero"/>
        <c:auto val="1"/>
        <c:lblAlgn val="ctr"/>
        <c:lblOffset val="100"/>
        <c:tickMarkSkip val="1"/>
        <c:noMultiLvlLbl val="0"/>
      </c:catAx>
      <c:valAx>
        <c:axId val="6396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6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UiPath Integration Burndown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_ReleaseData!$AH$2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_ReleaseData!$AH$3:$AH$10</c:f>
              <c:numCache>
                <c:formatCode>0.0</c:formatCode>
                <c:ptCount val="8"/>
                <c:pt idx="3">
                  <c:v>70</c:v>
                </c:pt>
                <c:pt idx="4">
                  <c:v>51.578947368421055</c:v>
                </c:pt>
                <c:pt idx="5">
                  <c:v>35</c:v>
                </c:pt>
                <c:pt idx="6">
                  <c:v>16.578947368421051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4BBE-92DC-4C62D9DAAF2C}"/>
            </c:ext>
          </c:extLst>
        </c:ser>
        <c:ser>
          <c:idx val="1"/>
          <c:order val="1"/>
          <c:tx>
            <c:strRef>
              <c:f>_ReleaseData!$AI$2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_ReleaseData!$AI$3:$AI$10</c:f>
              <c:numCache>
                <c:formatCode>0.0</c:formatCode>
                <c:ptCount val="8"/>
                <c:pt idx="3">
                  <c:v>71.25</c:v>
                </c:pt>
                <c:pt idx="4">
                  <c:v>20</c:v>
                </c:pt>
                <c:pt idx="5">
                  <c:v>10</c:v>
                </c:pt>
                <c:pt idx="6">
                  <c:v>2</c:v>
                </c:pt>
                <c:pt idx="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3-4BBE-92DC-4C62D9DA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713408"/>
        <c:axId val="8517312"/>
      </c:lineChart>
      <c:catAx>
        <c:axId val="8517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312"/>
        <c:crosses val="autoZero"/>
        <c:auto val="1"/>
        <c:lblAlgn val="ctr"/>
        <c:lblOffset val="100"/>
        <c:noMultiLvlLbl val="0"/>
      </c:catAx>
      <c:valAx>
        <c:axId val="85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1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_ReadinessData!$C$16:$C$22</c:f>
              <c:numCache>
                <c:formatCode>General</c:formatCode>
                <c:ptCount val="7"/>
                <c:pt idx="0">
                  <c:v>112</c:v>
                </c:pt>
                <c:pt idx="1">
                  <c:v>24.5</c:v>
                </c:pt>
                <c:pt idx="2">
                  <c:v>27.5</c:v>
                </c:pt>
                <c:pt idx="3">
                  <c:v>15.5</c:v>
                </c:pt>
                <c:pt idx="4">
                  <c:v>7</c:v>
                </c:pt>
                <c:pt idx="5">
                  <c:v>60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_ReadinessData!$D$16:$D$22</c:f>
              <c:numCache>
                <c:formatCode>General</c:formatCode>
                <c:ptCount val="7"/>
                <c:pt idx="0">
                  <c:v>241.5</c:v>
                </c:pt>
                <c:pt idx="1">
                  <c:v>282.25</c:v>
                </c:pt>
                <c:pt idx="2">
                  <c:v>244.25</c:v>
                </c:pt>
                <c:pt idx="3">
                  <c:v>184</c:v>
                </c:pt>
                <c:pt idx="4">
                  <c:v>142</c:v>
                </c:pt>
                <c:pt idx="5">
                  <c:v>148.5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_TeamBacklogData!$A$7:$A$12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_TeamBacklogData!$B$7:$B$12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_TeamVelocityData!$B$6:$B$13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_TeamVelocityData!$C$6:$C$13</c:f>
              <c:numCache>
                <c:formatCode>General</c:formatCode>
                <c:ptCount val="7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Wavelength7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tx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8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  <c:pt idx="6">
                  <c:v>Unkown</c:v>
                </c:pt>
                <c:pt idx="7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Wavelength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Bugs Fixed by Sprint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_BugsData!$C$42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_BugsData!$B$43:$B$50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_BugsData!$C$43:$C$50</c15:sqref>
                  </c15:fullRef>
                </c:ext>
              </c:extLst>
              <c:f>_BugsData!$C$43:$C$50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5-4CE5-8D1D-8814E379625B}"/>
            </c:ext>
          </c:extLst>
        </c:ser>
        <c:ser>
          <c:idx val="1"/>
          <c:order val="1"/>
          <c:tx>
            <c:strRef>
              <c:f>_BugsData!$D$42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_BugsData!$B$43:$B$50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_BugsData!$D$43:$D$50</c15:sqref>
                  </c15:fullRef>
                </c:ext>
              </c:extLst>
              <c:f>_BugsData!$D$43:$D$50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5-4CE5-8D1D-8814E379625B}"/>
            </c:ext>
          </c:extLst>
        </c:ser>
        <c:ser>
          <c:idx val="2"/>
          <c:order val="2"/>
          <c:tx>
            <c:strRef>
              <c:f>_BugsData!$E$42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_BugsData!$B$43:$B$50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_BugsData!$E$43:$E$50</c15:sqref>
                  </c15:fullRef>
                </c:ext>
              </c:extLst>
              <c:f>_BugsData!$E$43:$E$50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5-4CE5-8D1D-8814E379625B}"/>
            </c:ext>
          </c:extLst>
        </c:ser>
        <c:ser>
          <c:idx val="3"/>
          <c:order val="3"/>
          <c:tx>
            <c:strRef>
              <c:f>_BugsData!$F$42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_BugsData!$B$43:$B$50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_BugsData!$F$43:$F$50</c15:sqref>
                  </c15:fullRef>
                </c:ext>
              </c:extLst>
              <c:f>_BugsData!$F$43:$F$50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5-4CE5-8D1D-8814E379625B}"/>
            </c:ext>
          </c:extLst>
        </c:ser>
        <c:ser>
          <c:idx val="4"/>
          <c:order val="4"/>
          <c:tx>
            <c:strRef>
              <c:f>_BugsData!$G$42</c:f>
              <c:strCache>
                <c:ptCount val="1"/>
                <c:pt idx="0">
                  <c:v>Lowest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_BugsData!$B$43:$B$50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_BugsData!$G$43:$G$50</c15:sqref>
                  </c15:fullRef>
                </c:ext>
              </c:extLst>
              <c:f>_BugsData!$G$43:$G$50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D5-4CE5-8D1D-8814E37962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18469231"/>
        <c:axId val="740907967"/>
      </c:barChart>
      <c:lineChart>
        <c:grouping val="standard"/>
        <c:varyColors val="0"/>
        <c:ser>
          <c:idx val="5"/>
          <c:order val="5"/>
          <c:tx>
            <c:strRef>
              <c:f>_BugsData!$H$42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_BugsData!$B$43:$B$51</c15:sqref>
                  </c15:fullRef>
                </c:ext>
              </c:extLst>
              <c:f>_BugsData!$B$43:$B$50</c:f>
              <c:strCache>
                <c:ptCount val="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_BugsData!$H$43:$H$50</c15:sqref>
                  </c15:fullRef>
                </c:ext>
              </c:extLst>
              <c:f>_BugsData!$H$43:$H$50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D5-4CE5-8D1D-8814E37962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8469231"/>
        <c:axId val="740907967"/>
      </c:lineChart>
      <c:catAx>
        <c:axId val="918469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07967"/>
        <c:crosses val="autoZero"/>
        <c:auto val="1"/>
        <c:lblAlgn val="ctr"/>
        <c:lblOffset val="100"/>
        <c:noMultiLvlLbl val="0"/>
      </c:catAx>
      <c:valAx>
        <c:axId val="7409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469231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hyperlink" Target="https://jira.blueprintsys.net/issues/?jql=project%20%3D%20Storyteller%20AND%20issuetype%20in%20(Bug)%20AND%20status%20%3D%20%22Bug:%20Triage%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281940</xdr:colOff>
      <xdr:row>21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51062" y="1366575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10</xdr:col>
      <xdr:colOff>87643</xdr:colOff>
      <xdr:row>10</xdr:row>
      <xdr:rowOff>57041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183643" y="1885841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600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479106</xdr:colOff>
      <xdr:row>0</xdr:row>
      <xdr:rowOff>144780</xdr:rowOff>
    </xdr:from>
    <xdr:to>
      <xdr:col>22</xdr:col>
      <xdr:colOff>68580</xdr:colOff>
      <xdr:row>21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32066" y="6741240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112%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0.38471</cdr:x>
      <cdr:y>0.46227</cdr:y>
    </cdr:from>
    <cdr:to>
      <cdr:x>0.6141</cdr:x>
      <cdr:y>0.56465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533536" y="1547682"/>
          <a:ext cx="914397" cy="34277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600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323849</xdr:colOff>
      <xdr:row>0</xdr:row>
      <xdr:rowOff>123825</xdr:rowOff>
    </xdr:from>
    <xdr:to>
      <xdr:col>16</xdr:col>
      <xdr:colOff>328612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112%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100%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112%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-200%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271463</xdr:colOff>
      <xdr:row>0</xdr:row>
      <xdr:rowOff>142874</xdr:rowOff>
    </xdr:from>
    <xdr:to>
      <xdr:col>16</xdr:col>
      <xdr:colOff>274511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112%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-200%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1578EFCC-1EC5-474F-8B62-BC672F7FD878}"/>
            </a:ext>
          </a:extLst>
        </xdr:cNvPr>
        <xdr:cNvSpPr txBox="1"/>
      </xdr:nvSpPr>
      <xdr:spPr>
        <a:xfrm>
          <a:off x="7419262" y="1387318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AA5FF4-1B76-4A9E-8330-F309E8EEC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0</xdr:row>
      <xdr:rowOff>160020</xdr:rowOff>
    </xdr:from>
    <xdr:to>
      <xdr:col>3</xdr:col>
      <xdr:colOff>472440</xdr:colOff>
      <xdr:row>11</xdr:row>
      <xdr:rowOff>41148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F9D8A6B-936F-4065-89DE-F65C96014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601980</xdr:colOff>
      <xdr:row>0</xdr:row>
      <xdr:rowOff>160020</xdr:rowOff>
    </xdr:from>
    <xdr:to>
      <xdr:col>7</xdr:col>
      <xdr:colOff>294132</xdr:colOff>
      <xdr:row>11</xdr:row>
      <xdr:rowOff>68580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0589405-CF7A-4DD4-B1E4-EDE0546BC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22860</xdr:colOff>
      <xdr:row>5</xdr:row>
      <xdr:rowOff>152400</xdr:rowOff>
    </xdr:from>
    <xdr:ext cx="861060" cy="374141"/>
    <xdr:sp macro="" textlink="_ReleaseData!$AG$21">
      <xdr:nvSpPr>
        <xdr:cNvPr id="17" name="TextBox 16">
          <a:extLst>
            <a:ext uri="{FF2B5EF4-FFF2-40B4-BE49-F238E27FC236}">
              <a16:creationId xmlns:a16="http://schemas.microsoft.com/office/drawing/2014/main" id="{5A34E17D-42BE-49F8-A53C-0393EC080113}"/>
            </a:ext>
          </a:extLst>
        </xdr:cNvPr>
        <xdr:cNvSpPr txBox="1"/>
      </xdr:nvSpPr>
      <xdr:spPr>
        <a:xfrm>
          <a:off x="3070860" y="1066800"/>
          <a:ext cx="86106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604110C-D291-4B22-AB59-93DB6E19BE8A}" type="TxLink">
            <a:rPr lang="en-US" sz="18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-50%</a:t>
          </a:fld>
          <a:endParaRPr lang="en-CA" sz="1800" b="1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297180</xdr:colOff>
      <xdr:row>0</xdr:row>
      <xdr:rowOff>152400</xdr:rowOff>
    </xdr:from>
    <xdr:to>
      <xdr:col>16</xdr:col>
      <xdr:colOff>303276</xdr:colOff>
      <xdr:row>27</xdr:row>
      <xdr:rowOff>106680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03BE98-097F-482C-B9AE-7F2308E57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121920</xdr:colOff>
      <xdr:row>12</xdr:row>
      <xdr:rowOff>22860</xdr:rowOff>
    </xdr:from>
    <xdr:to>
      <xdr:col>7</xdr:col>
      <xdr:colOff>298704</xdr:colOff>
      <xdr:row>27</xdr:row>
      <xdr:rowOff>50292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D7B83C-D351-42F0-98E7-AF503F578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114300</xdr:colOff>
      <xdr:row>28</xdr:row>
      <xdr:rowOff>99060</xdr:rowOff>
    </xdr:from>
    <xdr:to>
      <xdr:col>7</xdr:col>
      <xdr:colOff>272796</xdr:colOff>
      <xdr:row>44</xdr:row>
      <xdr:rowOff>99060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D36522-CAAF-4225-A070-B790B0C7F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0.32624</cdr:x>
      <cdr:y>0.48578</cdr:y>
    </cdr:from>
    <cdr:to>
      <cdr:x>0.67021</cdr:x>
      <cdr:y>0.68344</cdr:y>
    </cdr:to>
    <cdr:sp macro="" textlink="_ReleaseData!$AG$17">
      <cdr:nvSpPr>
        <cdr:cNvPr id="2" name="TextBox 14">
          <a:extLst xmlns:a="http://schemas.openxmlformats.org/drawingml/2006/main">
            <a:ext uri="{FF2B5EF4-FFF2-40B4-BE49-F238E27FC236}">
              <a16:creationId xmlns:a16="http://schemas.microsoft.com/office/drawing/2014/main" id="{8B2F6133-53A9-4A9A-AF00-792CD07B9D59}"/>
            </a:ext>
          </a:extLst>
        </cdr:cNvPr>
        <cdr:cNvSpPr txBox="1"/>
      </cdr:nvSpPr>
      <cdr:spPr>
        <a:xfrm xmlns:a="http://schemas.openxmlformats.org/drawingml/2006/main">
          <a:off x="701038" y="919488"/>
          <a:ext cx="739136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F77B77B-56B9-4BDE-8AB1-B2CFD906CFAE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121%</a:t>
          </a:fld>
          <a:endParaRPr lang="en-CA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0.34991</cdr:x>
      <cdr:y>0.42593</cdr:y>
    </cdr:from>
    <cdr:to>
      <cdr:x>0.66479</cdr:x>
      <cdr:y>0.55763</cdr:y>
    </cdr:to>
    <cdr:sp macro="" textlink="_ReleaseData!$M$4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3931E18-1EE8-4C92-A1ED-4F52ACB805DA}"/>
            </a:ext>
          </a:extLst>
        </cdr:cNvPr>
        <cdr:cNvSpPr txBox="1"/>
      </cdr:nvSpPr>
      <cdr:spPr>
        <a:xfrm xmlns:a="http://schemas.openxmlformats.org/drawingml/2006/main">
          <a:off x="1708584" y="2083669"/>
          <a:ext cx="1537536" cy="644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0DD7BB39-2368-49C3-843C-9A5FB4C356DF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100</a:t>
          </a:fld>
          <a:endParaRPr lang="en-CA" sz="2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490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213360</xdr:colOff>
      <xdr:row>2</xdr:row>
      <xdr:rowOff>175260</xdr:rowOff>
    </xdr:from>
    <xdr:to>
      <xdr:col>19</xdr:col>
      <xdr:colOff>589788</xdr:colOff>
      <xdr:row>25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212678-8925-47D9-8022-5748F32EF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981.467680439811" createdVersion="6" refreshedVersion="6" minRefreshableVersion="3" recordCount="109" xr:uid="{00000000-000A-0000-FFFF-FFFF0C000000}">
  <cacheSource type="worksheet">
    <worksheetSource name="issues"/>
  </cacheSource>
  <cacheFields count="49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0">
        <s v="${fieldHelper.getFieldValueByName(issue, &quot;ST:Components&quot;)}"/>
        <m/>
        <s v="UiPath Integration"/>
        <s v="Visio Import/Export"/>
        <s v="Logging and Audit"/>
        <s v="Admin"/>
        <s v="Doc Gen" u="1"/>
        <s v="Reuse" u="1"/>
        <s v="Diagram Editor" u="1"/>
        <s v="Traces" u="1"/>
        <s v="Excel Export" u="1"/>
        <s v="DevOps" u="1"/>
        <s v="Artifact List" u="1"/>
        <s v="Glossary" u="1"/>
        <s v="Cross Project Move" u="1"/>
        <s v="Drag &amp; Drop" u="1"/>
        <s v="Excel Import" u="1"/>
        <s v="Version Compare" u="1"/>
        <s v="Angular 8 Migration" u="1"/>
        <s v="Process Artifact" u="1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containsInteger="1" minValue="50" maxValue="750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68">
        <s v="${bpHelper.getLastSprint(issue)}"/>
        <m/>
        <s v="Wavelength1"/>
        <s v="Wavelength2"/>
        <s v="Wavelength3"/>
        <s v="Wavelength4"/>
        <s v="Wavelength5"/>
        <s v="Wavelength6"/>
        <s v="Wavelength7"/>
        <s v="Wavelength8"/>
        <s v="Quasar1" u="1"/>
        <s v="Titan7" u="1"/>
        <s v="Quasar2" u="1"/>
        <s v="Quasar3" u="1"/>
        <s v="Quasar4" u="1"/>
        <s v="Quasar5" u="1"/>
        <s v="Quasar6" u="1"/>
        <s v="Pegasus2" u="1"/>
        <s v="Quasar7" u="1"/>
        <s v="Quasar8" u="1"/>
        <s v="Quasar9" u="1"/>
        <s v="Pegasus5" u="1"/>
        <s v="Pegasus8" u="1"/>
        <s v="Ursa6" u="1"/>
        <s v="Ursa4" u="1"/>
        <s v="Venus3" u="1"/>
        <s v="Quasar12" u="1"/>
        <s v="Ursa2" u="1"/>
        <s v="Titan3" u="1"/>
        <s v="Venus6" u="1"/>
        <s v="Titan6" u="1"/>
        <s v="Pegasus3" u="1"/>
        <s v="Pegasus6" u="1"/>
        <s v="Venus2" u="1"/>
        <s v="Quasar10" u="1"/>
        <s v="Saturn1" u="1"/>
        <s v="Saturn2" u="1"/>
        <s v="Saturn3" u="1"/>
        <s v="Quasar13" u="1"/>
        <s v="Titan2" u="1"/>
        <s v="Saturn4" u="1"/>
        <s v="Saturn5" u="1"/>
        <s v="Saturn6" u="1"/>
        <s v="Saturn7" u="1"/>
        <s v="Venus5" u="1"/>
        <s v="Wavelength9" u="1"/>
        <s v="Titan5" u="1"/>
        <s v="Ursa7" u="1"/>
        <s v="Ursa5" u="1"/>
        <s v="Rocket1" u="1"/>
        <s v="Rocket2" u="1"/>
        <s v="Ursa3" u="1"/>
        <s v="Rocket3" u="1"/>
        <s v="Rocket4" u="1"/>
        <s v="Ursa1" u="1"/>
        <s v="Rocket5" u="1"/>
        <s v="Rocket6" u="1"/>
        <s v="Rocket7" u="1"/>
        <s v="Pegasus1" u="1"/>
        <s v="Pegasus4" u="1"/>
        <s v="Venus1" u="1"/>
        <s v="Pegasus7" u="1"/>
        <s v="Titan1" u="1"/>
        <s v="Quasar11" u="1"/>
        <s v="Quasar14" u="1"/>
        <s v="Venus4" u="1"/>
        <s v="Titan4" u="1"/>
        <s v="Venus7" u="1"/>
      </sharedItems>
    </cacheField>
    <cacheField name="Sprint Label" numFmtId="0">
      <sharedItems containsBlank="1" count="75">
        <s v="$[SUBSTITUTE(SUBSTITUTE(AE2, &quot;avelength&quot;, &quot;&quot;), &quot;enus&quot;, &quot;&quot;)]"/>
        <m/>
        <s v="W1"/>
        <s v="W2"/>
        <s v="W3"/>
        <s v="W4"/>
        <s v="W5"/>
        <s v="W6"/>
        <s v="W7"/>
        <s v="W8"/>
        <s v="U1" u="1"/>
        <s v="R6" u="1"/>
        <s v="Q1" u="1"/>
        <s v="S4" u="1"/>
        <s v="U7" u="1"/>
        <s v="T2" u="1"/>
        <s v="Q7" u="1"/>
        <s v="P2" u="1"/>
        <s v="V5" u="1"/>
        <s v="R5" u="1"/>
        <s v="S3" u="1"/>
        <s v="$[SUBSTITUTE(SUBSTITUTE(AE2, &quot;rsa&quot;, &quot;&quot;), &quot;itan&quot;, &quot;&quot;)]" u="1"/>
        <s v="U6" u="1"/>
        <s v="T1" u="1"/>
        <s v="$[SUBSTITUTE(SUBSTITUTE(AE2, &quot;aturn&quot;, &quot;&quot;), &quot;ocket&quot;, &quot;&quot;)]" u="1"/>
        <s v="Q6" u="1"/>
        <s v="P1" u="1"/>
        <s v="Q10" u="1"/>
        <s v="Q11" u="1"/>
        <s v="W9" u="1"/>
        <s v="Q12" u="1"/>
        <s v="V4" u="1"/>
        <s v="Q13" u="1"/>
        <s v="Q14" u="1"/>
        <s v="R4" u="1"/>
        <s v="T7" u="1"/>
        <s v="S2" u="1"/>
        <s v="$[SUBSTITUTE(SUBSTITUTE(SUBSTITUTE(AE2, &quot;ocket&quot;, &quot;&quot;), &quot;uasar&quot;, &quot;&quot;), &quot;egasus&quot;, &quot;&quot;)]" u="1"/>
        <s v="$[SUBSTITUTE(SUBSTITUTE(SUBSTITUTE(AE3, &quot;ocket&quot;, &quot;&quot;), &quot;uasar&quot;, &quot;&quot;), &quot;egasus&quot;, &quot;&quot;)]" u="1"/>
        <s v="U5" u="1"/>
        <s v="$[=SUBSTITUTE(SUBSTITUTE(SUBSTITUTE(AE3, &quot;ocket&quot;, &quot;&quot;), &quot;uasar&quot;, &quot;&quot;), &quot;egasus&quot;, &quot;&quot;)]" u="1"/>
        <s v="Q5" u="1"/>
        <s v="V3" u="1"/>
        <s v="R3" u="1"/>
        <s v="T6" u="1"/>
        <s v="S1" u="1"/>
        <s v="P6" u="1"/>
        <s v="U4" u="1"/>
        <s v="$[SUBSTITUTE(AE2, &quot;uasar&quot;, &quot;&quot;)]" u="1"/>
        <s v="Q4" u="1"/>
        <s v="V2" u="1"/>
        <s v="S7" u="1"/>
        <s v="$[SUBSTITUTE(SUBSTITUTE(AE2, &quot;itan&quot;, &quot;&quot;), &quot;aturn&quot;, &quot;&quot;)]" u="1"/>
        <s v="R2" u="1"/>
        <s v="$[= SUBSTITUTE('Last Sprint', &quot;uasar&quot;, &quot;&quot;)]" u="1"/>
        <s v="T5" u="1"/>
        <s v="P5" u="1"/>
        <s v="U3" u="1"/>
        <s v="Q3" u="1"/>
        <s v="V1" u="1"/>
        <s v="S6" u="1"/>
        <s v="R1" u="1"/>
        <s v="T4" u="1"/>
        <s v="Q9" u="1"/>
        <s v="P4" u="1"/>
        <s v="V7" u="1"/>
        <s v="U2" u="1"/>
        <s v="R7" u="1"/>
        <s v="Q2" u="1"/>
        <s v="S5" u="1"/>
        <s v="T3" u="1"/>
        <s v="$[SUBSTITUTE(SUBSTITUTE(AE2, &quot;enus&quot;, &quot;&quot;), &quot;rsa&quot;, &quot;&quot;)]" u="1"/>
        <s v="Q8" u="1"/>
        <s v="P3" u="1"/>
        <s v="V6" u="1"/>
      </sharedItems>
    </cacheField>
    <cacheField name="Release" numFmtId="0">
      <sharedItems containsBlank="1" count="10">
        <s v="${issue.fixVersions.name}"/>
        <m/>
        <s v="Venus"/>
        <s v="Wavelength"/>
        <s v="Titan" u="1"/>
        <s v="Ursa" u="1"/>
        <s v="Rocket" u="1"/>
        <s v="Saturn" u="1"/>
        <s v="Pegasus" u="1"/>
        <s v="Quasar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Release Component" numFmtId="0">
      <sharedItems containsBlank="1" count="9">
        <s v="${bpHelper.getWavelengthComponent(issue)}"/>
        <m/>
        <s v="Visio Import"/>
        <s v="Admin"/>
        <s v="BoA Audit"/>
        <s v="DevOps"/>
        <s v="R&amp;D Bucket"/>
        <s v="Other"/>
        <s v="UiPath Integration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RD"/>
        <s v="Unassigned"/>
        <s v="DevOps"/>
        <s v="NW"/>
        <s v="ngStars"/>
        <s v="Alpha"/>
        <s v="Titan"/>
        <s v="SoftTeco" u="1"/>
        <s v="QA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6">
        <s v="${bpHelper.isInBacklogHealth(issue)}&lt;/jt:forEach&gt;"/>
        <m/>
        <s v="Yes"/>
        <s v="No"/>
        <s v="&lt;/jt:forEach&gt;"/>
        <s v="$[IF(OR(E2=&quot;Story: Ready&quot;,E2=&quot;Tech Debt: Ready&quot;,AND(B2=&quot;Spike&quot;,E2=&quot;Story: New&quot;)), &quot;Yes&quot;, &quot;No&quot;)]&lt;/jt:forEach&gt;" u="1"/>
      </sharedItems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</r>
  <r>
    <s v="key 4"/>
    <x v="2"/>
    <m/>
    <s v="RD"/>
    <x v="2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2"/>
    <x v="1"/>
    <x v="2"/>
    <x v="2"/>
    <m/>
    <x v="2"/>
    <s v="RD"/>
    <m/>
    <m/>
    <m/>
    <m/>
    <m/>
    <x v="1"/>
    <x v="2"/>
    <x v="1"/>
  </r>
  <r>
    <s v="key 5"/>
    <x v="3"/>
    <m/>
    <s v="RD"/>
    <x v="3"/>
    <m/>
    <m/>
    <m/>
    <m/>
    <m/>
    <x v="1"/>
    <m/>
    <m/>
    <n v="5"/>
    <m/>
    <m/>
    <m/>
    <m/>
    <m/>
    <m/>
    <m/>
    <s v="RD"/>
    <m/>
    <m/>
    <m/>
    <m/>
    <m/>
    <m/>
    <m/>
    <m/>
    <x v="3"/>
    <x v="1"/>
    <x v="1"/>
    <x v="1"/>
    <x v="3"/>
    <x v="3"/>
    <m/>
    <x v="2"/>
    <s v="RD"/>
    <m/>
    <m/>
    <m/>
    <m/>
    <m/>
    <x v="1"/>
    <x v="2"/>
    <x v="2"/>
  </r>
  <r>
    <s v="key 6"/>
    <x v="4"/>
    <s v="NEEDS FOR FILTERING IN PIVOT TABLES"/>
    <s v="RD"/>
    <x v="4"/>
    <m/>
    <m/>
    <m/>
    <m/>
    <m/>
    <x v="1"/>
    <m/>
    <m/>
    <n v="10"/>
    <m/>
    <m/>
    <m/>
    <m/>
    <m/>
    <m/>
    <m/>
    <s v="RD"/>
    <m/>
    <m/>
    <m/>
    <m/>
    <m/>
    <m/>
    <m/>
    <m/>
    <x v="4"/>
    <x v="1"/>
    <x v="1"/>
    <x v="1"/>
    <x v="4"/>
    <x v="4"/>
    <m/>
    <x v="2"/>
    <s v="RD"/>
    <m/>
    <m/>
    <m/>
    <m/>
    <m/>
    <x v="1"/>
    <x v="2"/>
    <x v="2"/>
  </r>
  <r>
    <s v="key 7"/>
    <x v="5"/>
    <m/>
    <s v="RD"/>
    <x v="5"/>
    <m/>
    <m/>
    <m/>
    <m/>
    <m/>
    <x v="1"/>
    <m/>
    <m/>
    <n v="20"/>
    <m/>
    <m/>
    <m/>
    <m/>
    <m/>
    <m/>
    <m/>
    <s v="RD"/>
    <m/>
    <m/>
    <m/>
    <m/>
    <m/>
    <m/>
    <m/>
    <m/>
    <x v="5"/>
    <x v="1"/>
    <x v="1"/>
    <x v="1"/>
    <x v="5"/>
    <x v="5"/>
    <m/>
    <x v="2"/>
    <s v="RD"/>
    <m/>
    <m/>
    <m/>
    <m/>
    <m/>
    <x v="1"/>
    <x v="1"/>
    <x v="2"/>
  </r>
  <r>
    <s v="key 8"/>
    <x v="6"/>
    <m/>
    <s v="RD"/>
    <x v="6"/>
    <m/>
    <m/>
    <m/>
    <m/>
    <m/>
    <x v="1"/>
    <m/>
    <m/>
    <m/>
    <m/>
    <m/>
    <m/>
    <m/>
    <m/>
    <m/>
    <m/>
    <s v="RD"/>
    <m/>
    <m/>
    <m/>
    <m/>
    <m/>
    <m/>
    <m/>
    <m/>
    <x v="6"/>
    <x v="1"/>
    <x v="1"/>
    <x v="1"/>
    <x v="6"/>
    <x v="6"/>
    <m/>
    <x v="2"/>
    <s v="RD"/>
    <m/>
    <m/>
    <m/>
    <m/>
    <m/>
    <x v="1"/>
    <x v="2"/>
    <x v="3"/>
  </r>
  <r>
    <s v="key 9"/>
    <x v="7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7"/>
    <m/>
    <x v="3"/>
    <s v="Unassigned"/>
    <m/>
    <m/>
    <m/>
    <m/>
    <m/>
    <x v="1"/>
    <x v="2"/>
    <x v="3"/>
  </r>
  <r>
    <s v="key 10"/>
    <x v="7"/>
    <m/>
    <s v="RD"/>
    <x v="8"/>
    <m/>
    <m/>
    <m/>
    <m/>
    <m/>
    <x v="1"/>
    <m/>
    <m/>
    <m/>
    <m/>
    <m/>
    <m/>
    <m/>
    <m/>
    <m/>
    <m/>
    <s v="RD"/>
    <m/>
    <m/>
    <m/>
    <m/>
    <m/>
    <m/>
    <m/>
    <m/>
    <x v="8"/>
    <x v="1"/>
    <x v="1"/>
    <x v="1"/>
    <x v="8"/>
    <x v="1"/>
    <m/>
    <x v="2"/>
    <s v="RD"/>
    <m/>
    <m/>
    <m/>
    <m/>
    <m/>
    <x v="1"/>
    <x v="2"/>
    <x v="3"/>
  </r>
  <r>
    <s v="key 11"/>
    <x v="7"/>
    <m/>
    <s v="RD"/>
    <x v="9"/>
    <m/>
    <m/>
    <m/>
    <m/>
    <m/>
    <x v="1"/>
    <m/>
    <m/>
    <m/>
    <m/>
    <m/>
    <m/>
    <m/>
    <m/>
    <m/>
    <m/>
    <s v="RD"/>
    <m/>
    <m/>
    <m/>
    <m/>
    <m/>
    <m/>
    <m/>
    <m/>
    <x v="3"/>
    <x v="1"/>
    <x v="1"/>
    <x v="1"/>
    <x v="1"/>
    <x v="1"/>
    <m/>
    <x v="2"/>
    <s v="RD"/>
    <m/>
    <m/>
    <m/>
    <m/>
    <m/>
    <x v="1"/>
    <x v="2"/>
    <x v="1"/>
  </r>
  <r>
    <s v="key 12"/>
    <x v="7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4"/>
    <s v="DevOps"/>
    <m/>
    <m/>
    <m/>
    <m/>
    <m/>
    <x v="1"/>
    <x v="2"/>
    <x v="1"/>
  </r>
  <r>
    <s v="key 13"/>
    <x v="1"/>
    <m/>
    <s v="RD"/>
    <x v="11"/>
    <m/>
    <m/>
    <m/>
    <m/>
    <m/>
    <x v="1"/>
    <m/>
    <m/>
    <m/>
    <m/>
    <m/>
    <m/>
    <m/>
    <m/>
    <m/>
    <m/>
    <s v="RD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</r>
  <r>
    <s v="key 14"/>
    <x v="3"/>
    <m/>
    <s v="RD"/>
    <x v="12"/>
    <m/>
    <m/>
    <m/>
    <m/>
    <m/>
    <x v="1"/>
    <m/>
    <m/>
    <n v="20"/>
    <m/>
    <m/>
    <m/>
    <m/>
    <m/>
    <m/>
    <m/>
    <s v="RD"/>
    <m/>
    <m/>
    <m/>
    <m/>
    <m/>
    <m/>
    <m/>
    <m/>
    <x v="6"/>
    <x v="4"/>
    <x v="1"/>
    <x v="1"/>
    <x v="1"/>
    <x v="1"/>
    <m/>
    <x v="1"/>
    <m/>
    <m/>
    <m/>
    <m/>
    <m/>
    <m/>
    <x v="1"/>
    <x v="2"/>
    <x v="2"/>
  </r>
  <r>
    <s v="key 15"/>
    <x v="1"/>
    <m/>
    <s v="RD"/>
    <x v="13"/>
    <m/>
    <m/>
    <m/>
    <m/>
    <m/>
    <x v="1"/>
    <m/>
    <m/>
    <m/>
    <m/>
    <m/>
    <m/>
    <m/>
    <m/>
    <m/>
    <m/>
    <s v="RD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</r>
  <r>
    <s v="key 16"/>
    <x v="7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</r>
  <r>
    <s v="key 17"/>
    <x v="7"/>
    <m/>
    <m/>
    <x v="15"/>
    <m/>
    <m/>
    <m/>
    <m/>
    <m/>
    <x v="1"/>
    <m/>
    <m/>
    <n v="10"/>
    <m/>
    <m/>
    <m/>
    <m/>
    <m/>
    <m/>
    <m/>
    <m/>
    <m/>
    <m/>
    <m/>
    <m/>
    <m/>
    <m/>
    <m/>
    <m/>
    <x v="8"/>
    <x v="7"/>
    <x v="1"/>
    <x v="1"/>
    <x v="1"/>
    <x v="1"/>
    <m/>
    <x v="1"/>
    <m/>
    <m/>
    <m/>
    <m/>
    <m/>
    <m/>
    <x v="3"/>
    <x v="2"/>
    <x v="1"/>
  </r>
  <r>
    <s v="key 18"/>
    <x v="7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</r>
  <r>
    <s v="key 19"/>
    <x v="7"/>
    <m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</r>
  <r>
    <s v="key 20"/>
    <x v="7"/>
    <m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</r>
  <r>
    <s v="key 21"/>
    <x v="7"/>
    <m/>
    <m/>
    <x v="19"/>
    <m/>
    <m/>
    <m/>
    <m/>
    <m/>
    <x v="1"/>
    <m/>
    <m/>
    <n v="10"/>
    <m/>
    <m/>
    <m/>
    <m/>
    <m/>
    <m/>
    <m/>
    <m/>
    <m/>
    <m/>
    <m/>
    <m/>
    <m/>
    <m/>
    <m/>
    <m/>
    <x v="7"/>
    <x v="5"/>
    <x v="1"/>
    <x v="1"/>
    <x v="1"/>
    <x v="1"/>
    <m/>
    <x v="1"/>
    <m/>
    <m/>
    <m/>
    <m/>
    <m/>
    <m/>
    <x v="7"/>
    <x v="2"/>
    <x v="1"/>
  </r>
  <r>
    <s v="key 22"/>
    <x v="7"/>
    <m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</r>
  <r>
    <s v="key 23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1"/>
    <x v="2"/>
    <x v="1"/>
  </r>
  <r>
    <s v="key 24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8"/>
    <x v="2"/>
    <x v="1"/>
    <x v="1"/>
    <x v="1"/>
    <x v="1"/>
    <m/>
    <x v="1"/>
    <m/>
    <m/>
    <m/>
    <m/>
    <m/>
    <m/>
    <x v="1"/>
    <x v="2"/>
    <x v="1"/>
  </r>
  <r>
    <s v="key 25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5"/>
    <x v="2"/>
    <x v="1"/>
    <x v="1"/>
    <x v="1"/>
    <x v="1"/>
    <m/>
    <x v="1"/>
    <m/>
    <m/>
    <m/>
    <m/>
    <m/>
    <m/>
    <x v="1"/>
    <x v="2"/>
    <x v="1"/>
  </r>
  <r>
    <s v="key 26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27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28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2"/>
    <x v="1"/>
    <x v="1"/>
    <x v="1"/>
    <m/>
    <x v="1"/>
    <m/>
    <m/>
    <m/>
    <m/>
    <m/>
    <m/>
    <x v="1"/>
    <x v="2"/>
    <x v="1"/>
  </r>
  <r>
    <s v="key 29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30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2"/>
    <x v="1"/>
    <m/>
    <x v="1"/>
    <m/>
    <m/>
    <m/>
    <m/>
    <m/>
    <m/>
    <x v="1"/>
    <x v="2"/>
    <x v="1"/>
  </r>
  <r>
    <s v="key 31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3"/>
    <x v="1"/>
    <m/>
    <x v="1"/>
    <m/>
    <m/>
    <m/>
    <m/>
    <m/>
    <m/>
    <x v="1"/>
    <x v="2"/>
    <x v="1"/>
  </r>
  <r>
    <s v="key 32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4"/>
    <x v="1"/>
    <m/>
    <x v="1"/>
    <m/>
    <m/>
    <m/>
    <m/>
    <m/>
    <m/>
    <x v="1"/>
    <x v="2"/>
    <x v="1"/>
  </r>
  <r>
    <s v="key 33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5"/>
    <x v="1"/>
    <m/>
    <x v="1"/>
    <m/>
    <m/>
    <m/>
    <m/>
    <m/>
    <m/>
    <x v="1"/>
    <x v="2"/>
    <x v="1"/>
  </r>
  <r>
    <s v="key 34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6"/>
    <x v="1"/>
    <m/>
    <x v="1"/>
    <m/>
    <m/>
    <m/>
    <m/>
    <m/>
    <m/>
    <x v="1"/>
    <x v="2"/>
    <x v="1"/>
  </r>
  <r>
    <s v="key 35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7"/>
    <x v="1"/>
    <m/>
    <x v="1"/>
    <m/>
    <m/>
    <m/>
    <m/>
    <m/>
    <m/>
    <x v="1"/>
    <x v="2"/>
    <x v="1"/>
  </r>
  <r>
    <s v="key 36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8"/>
    <x v="1"/>
    <x v="1"/>
    <x v="1"/>
    <x v="8"/>
    <x v="1"/>
    <m/>
    <x v="1"/>
    <m/>
    <m/>
    <m/>
    <m/>
    <m/>
    <m/>
    <x v="1"/>
    <x v="2"/>
    <x v="1"/>
  </r>
  <r>
    <s v="key 37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2"/>
    <x v="1"/>
    <x v="1"/>
    <x v="1"/>
    <x v="1"/>
    <x v="1"/>
    <m/>
    <x v="1"/>
    <m/>
    <m/>
    <m/>
    <m/>
    <m/>
    <m/>
    <x v="1"/>
    <x v="2"/>
    <x v="1"/>
  </r>
  <r>
    <s v="key 38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39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40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2"/>
    <m/>
    <m/>
    <m/>
    <m/>
    <m/>
    <m/>
    <x v="1"/>
    <x v="2"/>
    <x v="1"/>
  </r>
  <r>
    <s v="key 41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3"/>
    <x v="3"/>
    <x v="1"/>
    <x v="1"/>
    <m/>
    <x v="2"/>
    <m/>
    <m/>
    <m/>
    <m/>
    <m/>
    <m/>
    <x v="1"/>
    <x v="2"/>
    <x v="1"/>
  </r>
  <r>
    <s v="key 42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3"/>
    <x v="4"/>
    <x v="1"/>
    <x v="1"/>
    <m/>
    <x v="2"/>
    <m/>
    <m/>
    <m/>
    <m/>
    <m/>
    <m/>
    <x v="1"/>
    <x v="2"/>
    <x v="1"/>
  </r>
  <r>
    <s v="key 43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3"/>
    <x v="5"/>
    <x v="1"/>
    <x v="1"/>
    <m/>
    <x v="2"/>
    <m/>
    <m/>
    <m/>
    <m/>
    <m/>
    <m/>
    <x v="1"/>
    <x v="2"/>
    <x v="1"/>
  </r>
  <r>
    <s v="key 44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3"/>
    <x v="6"/>
    <x v="1"/>
    <x v="1"/>
    <m/>
    <x v="2"/>
    <m/>
    <m/>
    <m/>
    <m/>
    <m/>
    <m/>
    <x v="1"/>
    <x v="2"/>
    <x v="1"/>
  </r>
  <r>
    <s v="key 45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7"/>
    <x v="3"/>
    <x v="5"/>
    <x v="1"/>
    <x v="1"/>
    <m/>
    <x v="2"/>
    <m/>
    <m/>
    <m/>
    <m/>
    <m/>
    <m/>
    <x v="1"/>
    <x v="2"/>
    <x v="1"/>
  </r>
  <r>
    <s v="key 46"/>
    <x v="6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8"/>
    <x v="3"/>
    <x v="1"/>
    <x v="1"/>
    <x v="1"/>
    <m/>
    <x v="1"/>
    <m/>
    <m/>
    <m/>
    <m/>
    <m/>
    <m/>
    <x v="1"/>
    <x v="2"/>
    <x v="1"/>
  </r>
  <r>
    <s v="key 47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48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49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2"/>
    <m/>
    <m/>
    <m/>
    <m/>
    <m/>
    <m/>
    <x v="1"/>
    <x v="2"/>
    <x v="1"/>
  </r>
  <r>
    <s v="key 50"/>
    <x v="2"/>
    <m/>
    <m/>
    <x v="1"/>
    <m/>
    <m/>
    <m/>
    <m/>
    <m/>
    <x v="2"/>
    <m/>
    <m/>
    <m/>
    <m/>
    <n v="100"/>
    <n v="150"/>
    <m/>
    <m/>
    <m/>
    <m/>
    <m/>
    <n v="180"/>
    <m/>
    <m/>
    <m/>
    <m/>
    <m/>
    <m/>
    <m/>
    <x v="1"/>
    <x v="1"/>
    <x v="3"/>
    <x v="1"/>
    <x v="1"/>
    <x v="8"/>
    <m/>
    <x v="2"/>
    <m/>
    <n v="30"/>
    <n v="60"/>
    <n v="40"/>
    <m/>
    <m/>
    <x v="1"/>
    <x v="2"/>
    <x v="1"/>
  </r>
  <r>
    <s v="key 51"/>
    <x v="2"/>
    <m/>
    <m/>
    <x v="1"/>
    <m/>
    <m/>
    <m/>
    <m/>
    <m/>
    <x v="3"/>
    <m/>
    <m/>
    <m/>
    <m/>
    <n v="50"/>
    <n v="150"/>
    <m/>
    <m/>
    <m/>
    <m/>
    <m/>
    <n v="180"/>
    <m/>
    <m/>
    <m/>
    <m/>
    <m/>
    <m/>
    <m/>
    <x v="1"/>
    <x v="1"/>
    <x v="3"/>
    <x v="1"/>
    <x v="1"/>
    <x v="3"/>
    <m/>
    <x v="2"/>
    <m/>
    <n v="30"/>
    <n v="60"/>
    <n v="40"/>
    <m/>
    <m/>
    <x v="1"/>
    <x v="2"/>
    <x v="1"/>
  </r>
  <r>
    <s v="key 52"/>
    <x v="2"/>
    <m/>
    <m/>
    <x v="10"/>
    <m/>
    <m/>
    <m/>
    <m/>
    <m/>
    <x v="4"/>
    <m/>
    <m/>
    <n v="10"/>
    <m/>
    <n v="50"/>
    <n v="150"/>
    <m/>
    <m/>
    <m/>
    <m/>
    <m/>
    <n v="180"/>
    <m/>
    <m/>
    <m/>
    <m/>
    <m/>
    <m/>
    <m/>
    <x v="1"/>
    <x v="1"/>
    <x v="3"/>
    <x v="1"/>
    <x v="2"/>
    <x v="4"/>
    <m/>
    <x v="2"/>
    <m/>
    <n v="30"/>
    <n v="60"/>
    <n v="40"/>
    <m/>
    <m/>
    <x v="1"/>
    <x v="2"/>
    <x v="1"/>
  </r>
  <r>
    <s v="key 53"/>
    <x v="3"/>
    <m/>
    <m/>
    <x v="12"/>
    <m/>
    <m/>
    <m/>
    <m/>
    <m/>
    <x v="4"/>
    <m/>
    <m/>
    <n v="10"/>
    <m/>
    <n v="50"/>
    <n v="150"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 54"/>
    <x v="3"/>
    <m/>
    <m/>
    <x v="13"/>
    <m/>
    <m/>
    <m/>
    <m/>
    <m/>
    <x v="4"/>
    <m/>
    <m/>
    <n v="10"/>
    <m/>
    <n v="750"/>
    <n v="150"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 55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 56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 57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 58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 59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 60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 61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 62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 63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 64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9"/>
    <x v="9"/>
    <x v="3"/>
    <x v="1"/>
    <x v="4"/>
    <x v="1"/>
    <m/>
    <x v="2"/>
    <m/>
    <m/>
    <m/>
    <m/>
    <m/>
    <m/>
    <x v="1"/>
    <x v="2"/>
    <x v="1"/>
  </r>
  <r>
    <s v="key 65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9"/>
    <x v="9"/>
    <x v="3"/>
    <x v="1"/>
    <x v="5"/>
    <x v="1"/>
    <m/>
    <x v="2"/>
    <m/>
    <m/>
    <m/>
    <m/>
    <m/>
    <m/>
    <x v="1"/>
    <x v="2"/>
    <x v="1"/>
  </r>
  <r>
    <s v="key 66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 67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 68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 69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 70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 71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 72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73"/>
    <x v="2"/>
    <m/>
    <m/>
    <x v="1"/>
    <m/>
    <m/>
    <m/>
    <m/>
    <m/>
    <x v="5"/>
    <m/>
    <m/>
    <m/>
    <m/>
    <n v="100"/>
    <m/>
    <m/>
    <m/>
    <m/>
    <m/>
    <m/>
    <m/>
    <m/>
    <m/>
    <m/>
    <m/>
    <m/>
    <m/>
    <m/>
    <x v="1"/>
    <x v="1"/>
    <x v="3"/>
    <x v="1"/>
    <x v="1"/>
    <x v="4"/>
    <m/>
    <x v="1"/>
    <m/>
    <m/>
    <m/>
    <m/>
    <m/>
    <m/>
    <x v="1"/>
    <x v="2"/>
    <x v="1"/>
  </r>
  <r>
    <s v="key 74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3"/>
    <m/>
    <x v="1"/>
    <m/>
    <m/>
    <m/>
    <m/>
    <m/>
    <m/>
    <x v="1"/>
    <x v="2"/>
    <x v="1"/>
  </r>
  <r>
    <s v="key 75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6"/>
    <m/>
    <x v="1"/>
    <m/>
    <m/>
    <m/>
    <m/>
    <m/>
    <m/>
    <x v="1"/>
    <x v="2"/>
    <x v="1"/>
  </r>
  <r>
    <s v="key 76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7"/>
    <m/>
    <x v="1"/>
    <m/>
    <m/>
    <m/>
    <m/>
    <m/>
    <m/>
    <x v="1"/>
    <x v="2"/>
    <x v="1"/>
  </r>
  <r>
    <s v="key 77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2"/>
    <m/>
    <x v="1"/>
    <m/>
    <m/>
    <m/>
    <m/>
    <m/>
    <m/>
    <x v="1"/>
    <x v="2"/>
    <x v="1"/>
  </r>
  <r>
    <s v="key 78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2"/>
    <x v="3"/>
    <x v="1"/>
    <x v="1"/>
    <x v="3"/>
    <m/>
    <x v="5"/>
    <m/>
    <m/>
    <m/>
    <m/>
    <m/>
    <m/>
    <x v="1"/>
    <x v="1"/>
    <x v="1"/>
  </r>
  <r>
    <s v="key 79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3"/>
    <x v="3"/>
    <x v="1"/>
    <x v="1"/>
    <x v="2"/>
    <m/>
    <x v="6"/>
    <m/>
    <m/>
    <m/>
    <m/>
    <m/>
    <m/>
    <x v="1"/>
    <x v="2"/>
    <x v="1"/>
  </r>
  <r>
    <s v="key 80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4"/>
    <x v="3"/>
    <x v="1"/>
    <x v="1"/>
    <x v="3"/>
    <m/>
    <x v="7"/>
    <m/>
    <m/>
    <m/>
    <m/>
    <m/>
    <m/>
    <x v="1"/>
    <x v="2"/>
    <x v="1"/>
  </r>
  <r>
    <s v="key 81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8"/>
    <m/>
    <m/>
    <m/>
    <m/>
    <m/>
    <m/>
    <x v="1"/>
    <x v="2"/>
    <x v="1"/>
  </r>
  <r>
    <s v="key 82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2"/>
    <m/>
    <m/>
    <m/>
    <m/>
    <m/>
    <m/>
    <x v="1"/>
    <x v="2"/>
    <x v="1"/>
  </r>
  <r>
    <s v="key 83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5"/>
    <m/>
    <m/>
    <m/>
    <m/>
    <m/>
    <m/>
    <x v="1"/>
    <x v="2"/>
    <x v="1"/>
  </r>
  <r>
    <s v="key 84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</r>
  <r>
    <s v="key 85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7"/>
    <m/>
    <m/>
    <m/>
    <m/>
    <m/>
    <m/>
    <x v="1"/>
    <x v="2"/>
    <x v="1"/>
  </r>
  <r>
    <s v="key 86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8"/>
    <m/>
    <m/>
    <m/>
    <m/>
    <m/>
    <m/>
    <x v="1"/>
    <x v="2"/>
    <x v="1"/>
  </r>
  <r>
    <s v="key 87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2"/>
    <m/>
    <m/>
    <m/>
    <m/>
    <m/>
    <m/>
    <x v="1"/>
    <x v="2"/>
    <x v="1"/>
  </r>
  <r>
    <s v="key 88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</r>
  <r>
    <s v="key 89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6"/>
    <m/>
    <m/>
    <m/>
    <m/>
    <m/>
    <m/>
    <x v="1"/>
    <x v="2"/>
    <x v="1"/>
  </r>
  <r>
    <s v="key 90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7"/>
    <m/>
    <m/>
    <m/>
    <m/>
    <m/>
    <m/>
    <x v="1"/>
    <x v="2"/>
    <x v="1"/>
  </r>
  <r>
    <s v="key 91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8"/>
    <m/>
    <m/>
    <m/>
    <m/>
    <m/>
    <m/>
    <x v="1"/>
    <x v="2"/>
    <x v="1"/>
  </r>
  <r>
    <s v="key 92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1"/>
    <m/>
    <m/>
    <m/>
    <m/>
    <m/>
    <m/>
    <x v="1"/>
    <x v="2"/>
    <x v="1"/>
  </r>
  <r>
    <s v="key 93"/>
    <x v="7"/>
    <m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4"/>
    <x v="7"/>
    <m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5"/>
    <x v="7"/>
    <m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6"/>
    <x v="7"/>
    <m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7"/>
    <x v="7"/>
    <m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8"/>
    <x v="7"/>
    <m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99"/>
    <x v="7"/>
    <m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0"/>
    <x v="7"/>
    <m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1"/>
    <x v="7"/>
    <m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2"/>
    <x v="7"/>
    <m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3"/>
    <x v="7"/>
    <m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4"/>
    <x v="7"/>
    <m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 105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2"/>
    <m/>
    <m/>
    <m/>
    <m/>
    <m/>
    <m/>
    <x v="1"/>
    <x v="2"/>
    <x v="1"/>
  </r>
  <r>
    <s v="key 106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3"/>
    <x v="1"/>
    <x v="1"/>
    <m/>
    <x v="2"/>
    <m/>
    <m/>
    <m/>
    <m/>
    <m/>
    <m/>
    <x v="1"/>
    <x v="2"/>
    <x v="1"/>
  </r>
  <r>
    <s v="key 107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4"/>
    <x v="1"/>
    <x v="1"/>
    <m/>
    <x v="2"/>
    <m/>
    <m/>
    <m/>
    <m/>
    <m/>
    <m/>
    <x v="1"/>
    <x v="2"/>
    <x v="1"/>
  </r>
  <r>
    <s v="key 108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5"/>
    <x v="1"/>
    <x v="1"/>
    <m/>
    <x v="2"/>
    <m/>
    <m/>
    <m/>
    <m/>
    <m/>
    <m/>
    <x v="1"/>
    <x v="2"/>
    <x v="1"/>
  </r>
  <r>
    <s v="key 109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6"/>
    <x v="1"/>
    <x v="1"/>
    <m/>
    <x v="2"/>
    <m/>
    <m/>
    <m/>
    <m/>
    <m/>
    <m/>
    <x v="1"/>
    <x v="2"/>
    <x v="1"/>
  </r>
  <r>
    <s v="key 110"/>
    <x v="7"/>
    <m/>
    <m/>
    <x v="5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8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61" firstHeaderRow="1" firstDataRow="1" firstDataCol="1" rowPageCount="3" colPageCount="1"/>
  <pivotFields count="49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axis="axisRow" showAll="0">
      <items count="10">
        <item x="0"/>
        <item x="3"/>
        <item x="2"/>
        <item x="4"/>
        <item x="5"/>
        <item x="8"/>
        <item x="6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7">
    <i>
      <x v="1"/>
    </i>
    <i>
      <x v="2"/>
    </i>
    <i>
      <x v="3"/>
    </i>
    <i>
      <x v="5"/>
    </i>
    <i>
      <x v="6"/>
    </i>
    <i>
      <x v="7"/>
    </i>
    <i t="grand">
      <x/>
    </i>
  </rowItems>
  <colItems count="1">
    <i/>
  </colItems>
  <pageFields count="3">
    <pageField fld="1" item="2" hier="-1"/>
    <pageField fld="32" item="9" hier="-1"/>
    <pageField fld="45" item="2" hier="-1"/>
  </pageFields>
  <dataFields count="1">
    <dataField name="Sum of Epic Total Estimate" fld="15" baseField="35" baseItem="0"/>
  </dataFields>
  <chartFormats count="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8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4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9" hier="-1"/>
    <pageField fld="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11" firstHeaderRow="0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1">
        <item x="0"/>
        <item x="1"/>
        <item m="1" x="12"/>
        <item m="1" x="8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multipleItemSelectionAllowed="1" showAll="0">
      <items count="11">
        <item h="1" x="0"/>
        <item m="1" x="8"/>
        <item m="1" x="9"/>
        <item h="1" x="1"/>
        <item m="1" x="6"/>
        <item m="1" x="7"/>
        <item h="1" m="1" x="4"/>
        <item h="1" m="1" x="5"/>
        <item h="1" x="2"/>
        <item x="3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6">
    <i>
      <x v="1"/>
    </i>
    <i>
      <x v="14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3">
    <pageField fld="32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D29:E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4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3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3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36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69582-C552-4C5C-A024-B28C39E179E3}" name="PivotTable14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M41:M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9" hier="-1"/>
  </pageFields>
  <dataFields count="1">
    <dataField name="Sum of Epic Total Estimat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7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03FE3B-6F58-440E-8011-79AC47E82693}" name="PivotTable16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M29:N34" firstHeaderRow="1" firstDataRow="1" firstDataCol="1" rowPageCount="4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1">
        <item x="0"/>
        <item x="5"/>
        <item m="1" x="18"/>
        <item m="1" x="12"/>
        <item m="1" x="14"/>
        <item m="1" x="11"/>
        <item m="1" x="8"/>
        <item m="1" x="6"/>
        <item m="1" x="15"/>
        <item m="1" x="10"/>
        <item m="1" x="16"/>
        <item m="1" x="13"/>
        <item x="4"/>
        <item m="1" x="19"/>
        <item m="1" x="7"/>
        <item m="1" x="9"/>
        <item x="2"/>
        <item m="1" x="17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m="1" x="8"/>
        <item m="1" x="9"/>
        <item m="1" x="6"/>
        <item m="1" x="7"/>
        <item m="1" x="4"/>
        <item m="1" x="5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8" hier="-1"/>
    <pageField fld="1" item="3" hier="-1"/>
    <pageField fld="10" item="16" hier="-1"/>
    <pageField fld="45" item="2" hier="-1"/>
  </pageFields>
  <dataFields count="5">
    <dataField name="Done" fld="47" baseField="0" baseItem="0"/>
    <dataField name="In Validation" fld="41" baseField="0" baseItem="0"/>
    <dataField name="In Dev" fld="40" baseField="0" baseItem="0"/>
    <dataField name="Ready" fld="39" baseField="0" baseItem="0"/>
    <dataField name="Not Decomposed" fld="48" baseField="0" baseItem="0"/>
  </dataFields>
  <chartFormats count="12"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6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7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8" firstHeaderRow="1" firstDataRow="3" firstDataCol="1" rowPageCount="2" colPageCount="1"/>
  <pivotFields count="49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1">
        <item x="0"/>
        <item m="1" x="12"/>
        <item m="1" x="8"/>
        <item x="1"/>
        <item m="1" x="14"/>
        <item m="1" x="16"/>
        <item m="1" x="11"/>
        <item m="1" x="7"/>
        <item m="1" x="15"/>
        <item m="1" x="13"/>
        <item m="1" x="6"/>
        <item m="1" x="17"/>
        <item m="1" x="9"/>
        <item m="1" x="19"/>
        <item x="5"/>
        <item m="1" x="18"/>
        <item m="1" x="10"/>
        <item x="3"/>
        <item x="4"/>
        <item x="2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6">
    <i>
      <x v="3"/>
    </i>
    <i>
      <x v="14"/>
    </i>
    <i>
      <x v="17"/>
    </i>
    <i>
      <x v="18"/>
    </i>
    <i>
      <x v="19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9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49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4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" firstHeaderRow="1" firstDataRow="1" firstDataCol="1" rowPageCount="2" colPageCount="1"/>
  <pivotFields count="4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Row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7">
        <item m="1" x="5"/>
        <item x="3"/>
        <item x="2"/>
        <item x="1"/>
        <item x="4"/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3">
    <i>
      <x v="10"/>
    </i>
    <i>
      <x v="11"/>
    </i>
    <i t="grand">
      <x/>
    </i>
  </rowItems>
  <colItems count="1">
    <i/>
  </colItems>
  <pageFields count="2"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12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9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>
      <items count="76">
        <item h="1" m="1" x="54"/>
        <item h="1" m="1" x="48"/>
        <item h="1" m="1" x="12"/>
        <item h="1" m="1" x="68"/>
        <item h="1" m="1" x="58"/>
        <item h="1" m="1" x="49"/>
        <item h="1" m="1" x="41"/>
        <item h="1" m="1" x="25"/>
        <item h="1" m="1" x="16"/>
        <item h="1" m="1" x="72"/>
        <item h="1" m="1" x="63"/>
        <item h="1" x="1"/>
        <item h="1" m="1" x="27"/>
        <item h="1" m="1" x="28"/>
        <item h="1" m="1" x="30"/>
        <item h="1" m="1" x="32"/>
        <item h="1" m="1" x="33"/>
        <item h="1" m="1" x="40"/>
        <item h="1" m="1" x="38"/>
        <item h="1" m="1" x="37"/>
        <item h="1" m="1" x="26"/>
        <item h="1" m="1" x="17"/>
        <item h="1" m="1" x="73"/>
        <item h="1" m="1" x="64"/>
        <item h="1" m="1" x="56"/>
        <item h="1" m="1" x="46"/>
        <item h="1" m="1" x="61"/>
        <item h="1" m="1" x="53"/>
        <item h="1" m="1" x="43"/>
        <item h="1" m="1" x="34"/>
        <item h="1" m="1" x="19"/>
        <item h="1" m="1" x="11"/>
        <item h="1" m="1" x="67"/>
        <item h="1" m="1" x="45"/>
        <item h="1" m="1" x="36"/>
        <item h="1" m="1" x="20"/>
        <item h="1" m="1" x="13"/>
        <item h="1" m="1" x="69"/>
        <item h="1" m="1" x="60"/>
        <item h="1" m="1" x="51"/>
        <item h="1" m="1" x="24"/>
        <item h="1" m="1" x="52"/>
        <item h="1" m="1" x="23"/>
        <item h="1" m="1" x="15"/>
        <item h="1" m="1" x="70"/>
        <item h="1" m="1" x="62"/>
        <item h="1" m="1" x="55"/>
        <item h="1" m="1" x="44"/>
        <item h="1" m="1" x="35"/>
        <item h="1" m="1" x="10"/>
        <item h="1" m="1" x="66"/>
        <item h="1" m="1" x="57"/>
        <item h="1" m="1" x="47"/>
        <item h="1" m="1" x="39"/>
        <item h="1" m="1" x="22"/>
        <item h="1" m="1" x="14"/>
        <item h="1" m="1" x="21"/>
        <item h="1" m="1" x="71"/>
        <item h="1" m="1" x="59"/>
        <item h="1" m="1" x="50"/>
        <item h="1" m="1" x="42"/>
        <item h="1" m="1" x="31"/>
        <item h="1" m="1" x="18"/>
        <item h="1" m="1" x="74"/>
        <item h="1" m="1" x="65"/>
        <item h="1" x="0"/>
        <item x="2"/>
        <item x="3"/>
        <item x="4"/>
        <item x="5"/>
        <item x="6"/>
        <item x="7"/>
        <item x="8"/>
        <item h="1" x="9"/>
        <item h="1" m="1" x="29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8"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1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9">
        <item x="0"/>
        <item m="1" x="58"/>
        <item m="1" x="17"/>
        <item m="1" x="31"/>
        <item m="1" x="59"/>
        <item m="1" x="21"/>
        <item m="1" x="32"/>
        <item m="1" x="61"/>
        <item m="1" x="22"/>
        <item m="1" x="10"/>
        <item m="1" x="34"/>
        <item m="1" x="63"/>
        <item m="1" x="26"/>
        <item m="1" x="38"/>
        <item m="1" x="64"/>
        <item m="1" x="12"/>
        <item m="1" x="13"/>
        <item m="1" x="14"/>
        <item m="1" x="15"/>
        <item m="1" x="16"/>
        <item m="1" x="18"/>
        <item m="1" x="19"/>
        <item m="1" x="20"/>
        <item x="1"/>
        <item m="1" x="49"/>
        <item m="1" x="50"/>
        <item m="1" x="52"/>
        <item m="1" x="53"/>
        <item m="1" x="55"/>
        <item m="1" x="56"/>
        <item m="1" x="57"/>
        <item m="1" x="35"/>
        <item m="1" x="36"/>
        <item m="1" x="37"/>
        <item m="1" x="40"/>
        <item m="1" x="41"/>
        <item m="1" x="42"/>
        <item m="1" x="43"/>
        <item m="1" x="62"/>
        <item m="1" x="39"/>
        <item m="1" x="28"/>
        <item m="1" x="66"/>
        <item m="1" x="46"/>
        <item m="1" x="30"/>
        <item m="1" x="11"/>
        <item m="1" x="54"/>
        <item m="1" x="27"/>
        <item m="1" x="51"/>
        <item m="1" x="24"/>
        <item m="1" x="48"/>
        <item m="1" x="23"/>
        <item m="1" x="47"/>
        <item m="1" x="60"/>
        <item m="1" x="33"/>
        <item m="1" x="25"/>
        <item m="1" x="65"/>
        <item m="1" x="44"/>
        <item m="1" x="29"/>
        <item m="1" x="67"/>
        <item x="2"/>
        <item x="3"/>
        <item x="4"/>
        <item x="5"/>
        <item x="6"/>
        <item x="7"/>
        <item x="8"/>
        <item x="9"/>
        <item m="1" x="45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3">
    <pageField fld="1" hier="-1"/>
    <pageField fld="30" item="65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9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H39" firstHeaderRow="1" firstDataRow="2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76">
        <item h="1" m="1" x="54"/>
        <item h="1" m="1" x="12"/>
        <item h="1" m="1" x="68"/>
        <item h="1" m="1" x="58"/>
        <item h="1" m="1" x="49"/>
        <item h="1" m="1" x="41"/>
        <item h="1" m="1" x="25"/>
        <item h="1" m="1" x="16"/>
        <item h="1" m="1" x="72"/>
        <item h="1" m="1" x="63"/>
        <item h="1" x="1"/>
        <item h="1" m="1" x="27"/>
        <item h="1" m="1" x="28"/>
        <item h="1" m="1" x="30"/>
        <item h="1" m="1" x="32"/>
        <item h="1" m="1" x="33"/>
        <item h="1" m="1" x="48"/>
        <item h="1" m="1" x="40"/>
        <item h="1" m="1" x="38"/>
        <item h="1" m="1" x="37"/>
        <item h="1" m="1" x="26"/>
        <item h="1" m="1" x="17"/>
        <item h="1" m="1" x="73"/>
        <item h="1" m="1" x="64"/>
        <item h="1" m="1" x="56"/>
        <item h="1" m="1" x="46"/>
        <item h="1" m="1" x="61"/>
        <item h="1" m="1" x="53"/>
        <item h="1" m="1" x="43"/>
        <item h="1" m="1" x="34"/>
        <item h="1" m="1" x="19"/>
        <item h="1" m="1" x="11"/>
        <item h="1" m="1" x="67"/>
        <item h="1" m="1" x="45"/>
        <item h="1" m="1" x="36"/>
        <item h="1" m="1" x="20"/>
        <item h="1" m="1" x="13"/>
        <item h="1" m="1" x="69"/>
        <item h="1" m="1" x="60"/>
        <item h="1" m="1" x="51"/>
        <item h="1" m="1" x="24"/>
        <item h="1" m="1" x="52"/>
        <item h="1" m="1" x="23"/>
        <item h="1" m="1" x="15"/>
        <item h="1" m="1" x="70"/>
        <item h="1" m="1" x="62"/>
        <item h="1" m="1" x="55"/>
        <item h="1" m="1" x="44"/>
        <item h="1" m="1" x="35"/>
        <item h="1" m="1" x="10"/>
        <item h="1" m="1" x="66"/>
        <item h="1" m="1" x="57"/>
        <item h="1" m="1" x="47"/>
        <item h="1" m="1" x="39"/>
        <item h="1" m="1" x="22"/>
        <item h="1" m="1" x="14"/>
        <item h="1" m="1" x="21"/>
        <item h="1" m="1" x="71"/>
        <item h="1" m="1" x="59"/>
        <item h="1" m="1" x="50"/>
        <item h="1" m="1" x="42"/>
        <item h="1" m="1" x="31"/>
        <item h="1" m="1" x="18"/>
        <item h="1" m="1" x="74"/>
        <item h="1" m="1" x="65"/>
        <item h="1" x="0"/>
        <item x="2"/>
        <item x="3"/>
        <item x="4"/>
        <item x="5"/>
        <item x="6"/>
        <item x="7"/>
        <item x="8"/>
        <item x="9"/>
        <item h="1" m="1" x="29"/>
        <item t="default"/>
      </items>
    </pivotField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axis="axisCol" subtotalTop="0">
      <items count="8">
        <item h="1" x="0"/>
        <item x="2"/>
        <item x="3"/>
        <item x="4"/>
        <item h="1" x="1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1"/>
  </rowFields>
  <rowItems count="9"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3"/>
  </colFields>
  <colItems count="6">
    <i>
      <x v="1"/>
    </i>
    <i>
      <x v="2"/>
    </i>
    <i>
      <x v="3"/>
    </i>
    <i>
      <x v="5"/>
    </i>
    <i>
      <x v="6"/>
    </i>
    <i t="grand">
      <x/>
    </i>
  </colItems>
  <pageFields count="4">
    <pageField fld="32" item="9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31" count="1" selected="0">
            <x v="66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20" dataDxfId="18" headerRowBorderDxfId="19" tableBorderDxfId="17" totalsRowBorderDxfId="16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15"/>
    <tableColumn id="2" xr3:uid="{00000000-0010-0000-0000-000002000000}" name="End Date" dataDxfId="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13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1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9" totalsRowShown="0">
  <autoFilter ref="P24:Q29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2" totalsRowShown="0">
  <autoFilter ref="B15:D22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11">
      <calculatedColumnFormula>GETPIVOTDATA("Epic Not Decomposed Estimate",$B$3)</calculatedColumnFormula>
    </tableColumn>
    <tableColumn id="3" xr3:uid="{00000000-0010-0000-0200-000003000000}" name="Stories Ready" dataDxfId="10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4" totalsRowCount="1">
  <autoFilter ref="K6:M1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9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06B5DC-C656-4F36-966E-68B99D385350}" name="Table7" displayName="Table7" ref="B42:H50" totalsRowShown="0" headerRowDxfId="8" headerRowBorderDxfId="7">
  <autoFilter ref="B42:H50" xr:uid="{E2B1157D-61E0-4EC3-8665-FFED255F56B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B2D279E-AB16-4A9E-8A02-D3D6F92D2F54}" name="Row Labels" dataDxfId="6"/>
    <tableColumn id="2" xr3:uid="{BDB0DE5D-1E26-4E6D-93E1-F979B4A421BF}" name="Highest" dataDxfId="5"/>
    <tableColumn id="3" xr3:uid="{FBCCBBAC-FFB1-4CD3-A886-F077831EB47F}" name="High" dataDxfId="4"/>
    <tableColumn id="4" xr3:uid="{3C450AC4-B28C-40A5-9B08-A7AA848F7CB7}" name="Medium" dataDxfId="3"/>
    <tableColumn id="5" xr3:uid="{83F6B828-53A7-40A7-875F-28C1262EB29C}" name="Low" dataDxfId="2"/>
    <tableColumn id="6" xr3:uid="{A6706322-699F-45DA-A52B-8793EE07D82C}" name="Lowest" dataDxfId="1"/>
    <tableColumn id="7" xr3:uid="{CA021076-F152-4649-A69C-A330EF2F2ECF}" name="Grand Total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Relationship Id="rId4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6:B9"/>
  <sheetViews>
    <sheetView showGridLines="0" tabSelected="1" zoomScaleNormal="10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"/>
  <sheetViews>
    <sheetView showGridLines="0" workbookViewId="0">
      <selection activeCell="B3" sqref="B3"/>
    </sheetView>
  </sheetViews>
  <sheetFormatPr defaultRowHeight="14.4" x14ac:dyDescent="0.3"/>
  <sheetData>
    <row r="3" spans="1:2" ht="13.2" customHeight="1" x14ac:dyDescent="0.3"/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BA04-FE8B-4634-A933-1DDA26483A49}">
  <dimension ref="A6:B9"/>
  <sheetViews>
    <sheetView showGridLines="0" zoomScaleNormal="10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6"/>
  <sheetViews>
    <sheetView zoomScale="90" zoomScaleNormal="90" workbookViewId="0"/>
  </sheetViews>
  <sheetFormatPr defaultRowHeight="14.4" x14ac:dyDescent="0.3"/>
  <cols>
    <col min="1" max="1" width="24.44140625" bestFit="1" customWidth="1"/>
    <col min="2" max="2" width="13.77734375" bestFit="1" customWidth="1"/>
    <col min="3" max="3" width="10.21875" bestFit="1" customWidth="1"/>
    <col min="4" max="4" width="16" bestFit="1" customWidth="1"/>
    <col min="5" max="5" width="31.21875" bestFit="1" customWidth="1"/>
    <col min="6" max="6" width="18.21875" bestFit="1" customWidth="1"/>
    <col min="7" max="7" width="24.44140625" bestFit="1" customWidth="1"/>
    <col min="8" max="8" width="20.77734375" bestFit="1" customWidth="1"/>
    <col min="9" max="9" width="12" customWidth="1"/>
    <col min="10" max="10" width="24.44140625" bestFit="1" customWidth="1"/>
    <col min="11" max="11" width="19.109375" bestFit="1" customWidth="1"/>
    <col min="12" max="12" width="14.5546875" customWidth="1"/>
    <col min="13" max="13" width="16" bestFit="1" customWidth="1"/>
    <col min="14" max="14" width="19.44140625" bestFit="1" customWidth="1"/>
    <col min="15" max="15" width="30.33203125" bestFit="1" customWidth="1"/>
    <col min="16" max="16" width="16.77734375" customWidth="1"/>
    <col min="17" max="17" width="14.109375" customWidth="1"/>
    <col min="18" max="18" width="15.77734375" customWidth="1"/>
    <col min="19" max="19" width="14.109375" customWidth="1"/>
    <col min="20" max="20" width="15.33203125" customWidth="1"/>
    <col min="21" max="21" width="14.109375" customWidth="1"/>
    <col min="22" max="24" width="15.77734375" customWidth="1"/>
    <col min="26" max="26" width="22.77734375" customWidth="1"/>
    <col min="28" max="28" width="18.21875" bestFit="1" customWidth="1"/>
    <col min="29" max="29" width="24.44140625" bestFit="1" customWidth="1"/>
    <col min="30" max="30" width="29.44140625" bestFit="1" customWidth="1"/>
    <col min="32" max="33" width="21.88671875" customWidth="1"/>
    <col min="34" max="34" width="24.21875" customWidth="1"/>
    <col min="35" max="35" width="19.21875" customWidth="1"/>
  </cols>
  <sheetData>
    <row r="1" spans="1:35" x14ac:dyDescent="0.3">
      <c r="A1" s="39" t="s">
        <v>179</v>
      </c>
      <c r="B1" t="s">
        <v>153</v>
      </c>
      <c r="K1" t="s">
        <v>279</v>
      </c>
      <c r="L1" t="s">
        <v>259</v>
      </c>
      <c r="M1" t="s">
        <v>134</v>
      </c>
      <c r="N1" t="s">
        <v>254</v>
      </c>
      <c r="O1" t="s">
        <v>258</v>
      </c>
      <c r="P1" t="s">
        <v>259</v>
      </c>
      <c r="Q1" s="91" t="s">
        <v>134</v>
      </c>
      <c r="R1" s="91"/>
      <c r="S1" s="91" t="s">
        <v>254</v>
      </c>
      <c r="T1" s="91"/>
      <c r="U1" s="91" t="s">
        <v>258</v>
      </c>
      <c r="V1" s="91"/>
      <c r="W1" s="91" t="s">
        <v>259</v>
      </c>
      <c r="X1" s="91"/>
      <c r="AB1" s="16" t="s">
        <v>134</v>
      </c>
      <c r="AC1" t="s">
        <v>260</v>
      </c>
      <c r="AF1" s="91" t="s">
        <v>281</v>
      </c>
      <c r="AG1" s="91"/>
      <c r="AH1" s="91"/>
      <c r="AI1" s="91"/>
    </row>
    <row r="2" spans="1:35" x14ac:dyDescent="0.3">
      <c r="A2" t="s">
        <v>136</v>
      </c>
      <c r="B2" s="44">
        <f ca="1">MAX(NETWORKDAYS($D$3,$E$6,$Z$3:$Z$9)/NETWORKDAYS($D$3,$E$3,$Z$3:$Z$9),0%)</f>
        <v>1.1194029850746268</v>
      </c>
      <c r="D2" s="28" t="s">
        <v>123</v>
      </c>
      <c r="E2" s="29" t="s">
        <v>124</v>
      </c>
      <c r="G2" s="22" t="s">
        <v>138</v>
      </c>
      <c r="H2" s="22" t="s">
        <v>123</v>
      </c>
      <c r="I2" s="22" t="s">
        <v>124</v>
      </c>
      <c r="J2" s="22" t="s">
        <v>167</v>
      </c>
      <c r="K2" s="22" t="s">
        <v>177</v>
      </c>
      <c r="L2" s="22" t="s">
        <v>177</v>
      </c>
      <c r="M2" s="64" t="s">
        <v>178</v>
      </c>
      <c r="N2" s="22" t="s">
        <v>178</v>
      </c>
      <c r="O2" s="22" t="s">
        <v>178</v>
      </c>
      <c r="P2" s="22" t="s">
        <v>178</v>
      </c>
      <c r="Q2" s="22" t="s">
        <v>192</v>
      </c>
      <c r="R2" s="79" t="s">
        <v>193</v>
      </c>
      <c r="S2" s="22" t="s">
        <v>192</v>
      </c>
      <c r="T2" s="22" t="s">
        <v>193</v>
      </c>
      <c r="U2" s="22" t="s">
        <v>192</v>
      </c>
      <c r="V2" s="22" t="s">
        <v>193</v>
      </c>
      <c r="W2" s="22" t="s">
        <v>192</v>
      </c>
      <c r="X2" s="22" t="s">
        <v>193</v>
      </c>
      <c r="Z2" s="25" t="s">
        <v>166</v>
      </c>
      <c r="AB2" s="16" t="s">
        <v>9</v>
      </c>
      <c r="AC2" t="s">
        <v>61</v>
      </c>
      <c r="AF2" s="22" t="s">
        <v>177</v>
      </c>
      <c r="AG2" s="79" t="s">
        <v>178</v>
      </c>
      <c r="AH2" s="22" t="s">
        <v>192</v>
      </c>
      <c r="AI2" s="22" t="s">
        <v>193</v>
      </c>
    </row>
    <row r="3" spans="1:35" x14ac:dyDescent="0.3">
      <c r="A3" t="s">
        <v>137</v>
      </c>
      <c r="B3" s="30">
        <f ca="1">MAX(100%,B2)-B2</f>
        <v>0</v>
      </c>
      <c r="D3" s="26">
        <v>43873</v>
      </c>
      <c r="E3" s="27">
        <v>43970</v>
      </c>
      <c r="J3" s="34"/>
      <c r="K3" s="33">
        <v>0</v>
      </c>
      <c r="L3" s="33">
        <v>0</v>
      </c>
      <c r="M3" s="78">
        <v>0.11</v>
      </c>
      <c r="N3" s="76">
        <v>0.28999999999999998</v>
      </c>
      <c r="O3" s="76">
        <v>0</v>
      </c>
      <c r="P3" s="76">
        <v>0</v>
      </c>
      <c r="Q3" s="40">
        <f>$Q$25*(100%-K3)</f>
        <v>700</v>
      </c>
      <c r="R3" s="42">
        <v>465</v>
      </c>
      <c r="S3" s="40">
        <f>$Q$26*(100%-K3)</f>
        <v>260</v>
      </c>
      <c r="T3" s="42">
        <v>136</v>
      </c>
      <c r="U3" s="40">
        <f>$Q$27*(100%-L3)</f>
        <v>200</v>
      </c>
      <c r="V3" s="42">
        <v>178</v>
      </c>
      <c r="W3" s="40">
        <f>$Q$28*(100%-K3)</f>
        <v>60</v>
      </c>
      <c r="X3" s="42">
        <v>59</v>
      </c>
      <c r="Z3" s="32">
        <v>43878</v>
      </c>
      <c r="AB3" s="16" t="s">
        <v>246</v>
      </c>
      <c r="AC3" t="s">
        <v>217</v>
      </c>
      <c r="AF3" s="33"/>
      <c r="AG3" s="76"/>
      <c r="AH3" s="40"/>
      <c r="AI3" s="42"/>
    </row>
    <row r="4" spans="1:35" x14ac:dyDescent="0.3">
      <c r="D4" s="45"/>
      <c r="E4" s="46">
        <v>43970</v>
      </c>
      <c r="G4" s="23" t="s">
        <v>261</v>
      </c>
      <c r="H4" s="24">
        <v>43873</v>
      </c>
      <c r="I4" s="24">
        <f>H4+13</f>
        <v>43886</v>
      </c>
      <c r="J4" s="35">
        <f t="shared" ref="J4:J9" si="0">NETWORKDAYS(H4,I4,$Z$3:$Z$9)</f>
        <v>9</v>
      </c>
      <c r="K4" s="36">
        <f>SUM($J$4:J4)/SUM($J$4:$J$10)</f>
        <v>0.13432835820895522</v>
      </c>
      <c r="L4" s="36">
        <f>SUM($J$4:J4)/SUM($J$4:$J$10)</f>
        <v>0.13432835820895522</v>
      </c>
      <c r="M4" s="70">
        <v>0.23</v>
      </c>
      <c r="N4" s="76">
        <v>0.4</v>
      </c>
      <c r="O4" s="76">
        <v>0.08</v>
      </c>
      <c r="P4" s="76">
        <v>0.12</v>
      </c>
      <c r="Q4" s="40">
        <f>$Q$25*(100%-K4)</f>
        <v>605.97014925373139</v>
      </c>
      <c r="R4" s="42">
        <v>442.3</v>
      </c>
      <c r="S4" s="42">
        <f>$Q$26*(100%-K4)</f>
        <v>225.07462686567166</v>
      </c>
      <c r="T4" s="42">
        <v>138.30000000000001</v>
      </c>
      <c r="U4" s="40">
        <f>$Q$27*(100%-L4)</f>
        <v>173.13432835820896</v>
      </c>
      <c r="V4" s="42">
        <v>173</v>
      </c>
      <c r="W4" s="40">
        <f>$Q$28*(100%-K4)</f>
        <v>51.940298507462693</v>
      </c>
      <c r="X4" s="42">
        <v>52</v>
      </c>
      <c r="Z4" s="32">
        <v>43931</v>
      </c>
      <c r="AF4" s="36"/>
      <c r="AG4" s="76"/>
      <c r="AH4" s="40"/>
      <c r="AI4" s="42"/>
    </row>
    <row r="5" spans="1:35" x14ac:dyDescent="0.3">
      <c r="A5" s="39" t="s">
        <v>134</v>
      </c>
      <c r="D5" t="s">
        <v>182</v>
      </c>
      <c r="E5" s="25" t="s">
        <v>180</v>
      </c>
      <c r="G5" s="23" t="s">
        <v>262</v>
      </c>
      <c r="H5" s="24">
        <f>I4+1</f>
        <v>43887</v>
      </c>
      <c r="I5" s="24">
        <f>I4+14</f>
        <v>43900</v>
      </c>
      <c r="J5" s="35">
        <f t="shared" si="0"/>
        <v>10</v>
      </c>
      <c r="K5" s="36">
        <f>SUM($J$4:J5)/SUM($J$4:$J$10)</f>
        <v>0.28358208955223879</v>
      </c>
      <c r="L5" s="36">
        <f>SUM($J$4:J5)/SUM($J$4:$J$10)</f>
        <v>0.28358208955223879</v>
      </c>
      <c r="M5" s="70">
        <v>0.35</v>
      </c>
      <c r="N5" s="76">
        <v>0.5</v>
      </c>
      <c r="O5" s="76">
        <v>0.26</v>
      </c>
      <c r="P5" s="76">
        <v>0.12</v>
      </c>
      <c r="Q5" s="40">
        <f t="shared" ref="Q5:Q9" si="1">$Q$25*(100%-K5)</f>
        <v>501.49253731343288</v>
      </c>
      <c r="R5" s="40">
        <v>408.8</v>
      </c>
      <c r="S5" s="42">
        <f t="shared" ref="S5:S9" si="2">$Q$26*(100%-K5)</f>
        <v>186.26865671641792</v>
      </c>
      <c r="T5" s="42">
        <v>139.30000000000001</v>
      </c>
      <c r="U5" s="40">
        <f t="shared" ref="U5:U9" si="3">$Q$27*(100%-L5)</f>
        <v>143.28358208955225</v>
      </c>
      <c r="V5" s="42">
        <v>139</v>
      </c>
      <c r="W5" s="40">
        <f t="shared" ref="W5:W9" si="4">$Q$28*(100%-K5)</f>
        <v>42.985074626865675</v>
      </c>
      <c r="X5" s="42">
        <v>52</v>
      </c>
      <c r="Z5" s="32">
        <v>43969</v>
      </c>
      <c r="AB5" s="16" t="s">
        <v>139</v>
      </c>
      <c r="AC5" t="s">
        <v>111</v>
      </c>
      <c r="AD5" t="s">
        <v>110</v>
      </c>
      <c r="AF5" s="36"/>
      <c r="AG5" s="76"/>
      <c r="AH5" s="40"/>
      <c r="AI5" s="42"/>
    </row>
    <row r="6" spans="1:35" x14ac:dyDescent="0.3">
      <c r="A6" t="s">
        <v>136</v>
      </c>
      <c r="B6" s="44">
        <f>100%-GETPIVOTDATA("Epic Remaining Estimate",$AB$4)/GETPIVOTDATA("Epic Total Estimate",$AB$4)</f>
        <v>0.25</v>
      </c>
      <c r="C6" s="21"/>
      <c r="D6" s="21" t="s">
        <v>181</v>
      </c>
      <c r="E6" s="25">
        <f ca="1">TODAY()</f>
        <v>43981</v>
      </c>
      <c r="G6" s="23" t="s">
        <v>263</v>
      </c>
      <c r="H6" s="24">
        <f>I5+1</f>
        <v>43901</v>
      </c>
      <c r="I6" s="24">
        <f>I5+14</f>
        <v>43914</v>
      </c>
      <c r="J6" s="35">
        <f t="shared" si="0"/>
        <v>10</v>
      </c>
      <c r="K6" s="36">
        <f>SUM($J$4:J6)/SUM($J$4:$J$10)</f>
        <v>0.43283582089552236</v>
      </c>
      <c r="L6" s="36">
        <f>SUM($J$4:J6)/SUM($J$4:$J$10)</f>
        <v>0.43283582089552236</v>
      </c>
      <c r="M6" s="70">
        <v>0.46</v>
      </c>
      <c r="N6" s="76">
        <v>0.69</v>
      </c>
      <c r="O6" s="76">
        <v>0.39</v>
      </c>
      <c r="P6" s="76">
        <v>0.41</v>
      </c>
      <c r="Q6" s="40">
        <f t="shared" ref="Q6" si="5">$Q$25*(100%-K6)</f>
        <v>397.01492537313436</v>
      </c>
      <c r="R6" s="42">
        <v>387.8</v>
      </c>
      <c r="S6" s="42">
        <f t="shared" ref="S6" si="6">$Q$26*(100%-K6)</f>
        <v>147.46268656716421</v>
      </c>
      <c r="T6" s="42">
        <v>85.3</v>
      </c>
      <c r="U6" s="40">
        <f t="shared" ref="U6" si="7">$Q$27*(100%-L6)</f>
        <v>113.43283582089553</v>
      </c>
      <c r="V6" s="42">
        <v>115</v>
      </c>
      <c r="W6" s="40">
        <f t="shared" ref="W6" si="8">$Q$28*(100%-K6)</f>
        <v>34.029850746268664</v>
      </c>
      <c r="X6" s="42">
        <v>35</v>
      </c>
      <c r="Z6" s="32"/>
      <c r="AB6" s="17" t="s">
        <v>183</v>
      </c>
      <c r="AC6" s="20">
        <v>300</v>
      </c>
      <c r="AD6" s="20"/>
      <c r="AF6" s="36">
        <v>0</v>
      </c>
      <c r="AG6" s="76">
        <v>0</v>
      </c>
      <c r="AH6" s="40">
        <f t="shared" ref="AH6:AH10" si="9">$Q$29*(100%-AF6)</f>
        <v>70</v>
      </c>
      <c r="AI6" s="42">
        <v>71.25</v>
      </c>
    </row>
    <row r="7" spans="1:35" x14ac:dyDescent="0.3">
      <c r="A7" t="s">
        <v>137</v>
      </c>
      <c r="B7" s="30">
        <f>MAX(100%,B6)-B6</f>
        <v>0.75</v>
      </c>
      <c r="D7" s="21"/>
      <c r="E7" s="20"/>
      <c r="G7" s="23" t="s">
        <v>264</v>
      </c>
      <c r="H7" s="24">
        <f t="shared" ref="H7:H9" si="10">I6+1</f>
        <v>43915</v>
      </c>
      <c r="I7" s="24">
        <f t="shared" ref="I7:I10" si="11">I6+14</f>
        <v>43928</v>
      </c>
      <c r="J7" s="35">
        <f t="shared" si="0"/>
        <v>10</v>
      </c>
      <c r="K7" s="36">
        <f>SUM($J$4:J7)/SUM($J$4:$J$10)</f>
        <v>0.58208955223880599</v>
      </c>
      <c r="L7" s="36">
        <f>SUM($J$4:J7)/SUM($J$4:$J$10)</f>
        <v>0.58208955223880599</v>
      </c>
      <c r="M7" s="70">
        <v>0.57999999999999996</v>
      </c>
      <c r="N7" s="76">
        <v>0.87</v>
      </c>
      <c r="O7" s="76">
        <v>0.39</v>
      </c>
      <c r="P7" s="76">
        <v>0.56000000000000005</v>
      </c>
      <c r="Q7" s="40">
        <f t="shared" si="1"/>
        <v>292.53731343283579</v>
      </c>
      <c r="R7" s="42">
        <v>311.5</v>
      </c>
      <c r="S7" s="42">
        <f t="shared" si="2"/>
        <v>108.65671641791045</v>
      </c>
      <c r="T7" s="42">
        <v>36</v>
      </c>
      <c r="U7" s="40">
        <f t="shared" si="3"/>
        <v>83.582089552238799</v>
      </c>
      <c r="V7" s="42">
        <v>115</v>
      </c>
      <c r="W7" s="40">
        <f t="shared" si="4"/>
        <v>25.07462686567164</v>
      </c>
      <c r="X7" s="42">
        <v>26</v>
      </c>
      <c r="Z7" s="32"/>
      <c r="AB7" s="17" t="s">
        <v>254</v>
      </c>
      <c r="AC7" s="20">
        <v>100</v>
      </c>
      <c r="AD7" s="20"/>
      <c r="AF7" s="36">
        <f>SUM($J$7:J7)/SUM($J$7:$J$10)</f>
        <v>0.26315789473684209</v>
      </c>
      <c r="AG7" s="76">
        <v>0.63</v>
      </c>
      <c r="AH7" s="40">
        <f t="shared" si="9"/>
        <v>51.578947368421055</v>
      </c>
      <c r="AI7" s="42">
        <v>20</v>
      </c>
    </row>
    <row r="8" spans="1:35" x14ac:dyDescent="0.3">
      <c r="B8" s="21"/>
      <c r="C8" s="21"/>
      <c r="G8" s="23" t="s">
        <v>265</v>
      </c>
      <c r="H8" s="24">
        <f t="shared" si="10"/>
        <v>43929</v>
      </c>
      <c r="I8" s="24">
        <f t="shared" si="11"/>
        <v>43942</v>
      </c>
      <c r="J8" s="35">
        <f t="shared" si="0"/>
        <v>9</v>
      </c>
      <c r="K8" s="36">
        <f>SUM($J$4:J8)/SUM($J$4:$J$10)</f>
        <v>0.71641791044776115</v>
      </c>
      <c r="L8" s="36">
        <f>SUM($J$4:J8)/SUM($J$4:$J$10)</f>
        <v>0.71641791044776115</v>
      </c>
      <c r="M8" s="70">
        <v>0.72</v>
      </c>
      <c r="N8" s="76">
        <v>0.94</v>
      </c>
      <c r="O8" s="76">
        <v>0.44</v>
      </c>
      <c r="P8" s="76">
        <v>0.83</v>
      </c>
      <c r="Q8" s="40">
        <f t="shared" si="1"/>
        <v>198.50746268656718</v>
      </c>
      <c r="R8" s="42">
        <v>212</v>
      </c>
      <c r="S8" s="42">
        <f t="shared" si="2"/>
        <v>73.731343283582106</v>
      </c>
      <c r="T8" s="42">
        <v>17</v>
      </c>
      <c r="U8" s="40">
        <f t="shared" si="3"/>
        <v>56.716417910447767</v>
      </c>
      <c r="V8" s="42">
        <v>105</v>
      </c>
      <c r="W8" s="40">
        <f t="shared" si="4"/>
        <v>17.014925373134332</v>
      </c>
      <c r="X8" s="42">
        <v>10</v>
      </c>
      <c r="Z8" s="32"/>
      <c r="AB8" s="17" t="s">
        <v>277</v>
      </c>
      <c r="AC8" s="20">
        <v>50</v>
      </c>
      <c r="AD8" s="20">
        <v>150</v>
      </c>
      <c r="AF8" s="36">
        <f>SUM($J$7:J8)/SUM($J$7:$J$10)</f>
        <v>0.5</v>
      </c>
      <c r="AG8" s="76">
        <v>0.87</v>
      </c>
      <c r="AH8" s="40">
        <f t="shared" si="9"/>
        <v>35</v>
      </c>
      <c r="AI8" s="42">
        <v>10</v>
      </c>
    </row>
    <row r="9" spans="1:35" x14ac:dyDescent="0.3">
      <c r="A9" s="39" t="s">
        <v>254</v>
      </c>
      <c r="B9" s="21"/>
      <c r="C9" s="21"/>
      <c r="D9" s="21"/>
      <c r="G9" s="67" t="s">
        <v>266</v>
      </c>
      <c r="H9" s="68">
        <f t="shared" si="10"/>
        <v>43943</v>
      </c>
      <c r="I9" s="68">
        <f t="shared" si="11"/>
        <v>43956</v>
      </c>
      <c r="J9" s="69">
        <f t="shared" si="0"/>
        <v>10</v>
      </c>
      <c r="K9" s="36">
        <f>SUM($J$4:J9)/SUM($J$4:$J$10)</f>
        <v>0.86567164179104472</v>
      </c>
      <c r="L9" s="36">
        <f>SUM($J$4:J9)/SUM($J$4:$J$10)</f>
        <v>0.86567164179104472</v>
      </c>
      <c r="M9" s="70">
        <v>0.87</v>
      </c>
      <c r="N9" s="76">
        <v>0.98</v>
      </c>
      <c r="O9" s="76">
        <v>0.87</v>
      </c>
      <c r="P9" s="76">
        <v>0.83</v>
      </c>
      <c r="Q9" s="42">
        <f t="shared" si="1"/>
        <v>94.029850746268693</v>
      </c>
      <c r="R9" s="42">
        <v>92.5</v>
      </c>
      <c r="S9" s="42">
        <f t="shared" si="2"/>
        <v>34.925373134328375</v>
      </c>
      <c r="T9" s="42">
        <v>7</v>
      </c>
      <c r="U9" s="42">
        <f t="shared" si="3"/>
        <v>26.865671641791057</v>
      </c>
      <c r="V9" s="42">
        <v>21</v>
      </c>
      <c r="W9" s="42">
        <f t="shared" si="4"/>
        <v>8.0597014925373163</v>
      </c>
      <c r="X9" s="42">
        <v>10</v>
      </c>
      <c r="Z9" s="32"/>
      <c r="AB9" s="17" t="s">
        <v>278</v>
      </c>
      <c r="AC9" s="20">
        <v>50</v>
      </c>
      <c r="AD9" s="20">
        <v>150</v>
      </c>
      <c r="AF9" s="36">
        <f>SUM($J$7:J9)/SUM($J$7:$J$10)</f>
        <v>0.76315789473684215</v>
      </c>
      <c r="AG9" s="76">
        <v>0.97</v>
      </c>
      <c r="AH9" s="40">
        <f t="shared" si="9"/>
        <v>16.578947368421051</v>
      </c>
      <c r="AI9" s="42">
        <v>2</v>
      </c>
    </row>
    <row r="10" spans="1:35" x14ac:dyDescent="0.3">
      <c r="A10" t="s">
        <v>136</v>
      </c>
      <c r="B10" s="44">
        <f>100%-GETPIVOTDATA("Epic Remaining Estimate",$AB$4,"ST:Components","Admin")/GETPIVOTDATA("Epic Total Estimate",$AB$4,"ST:Components","Admin")</f>
        <v>1</v>
      </c>
      <c r="G10" s="72" t="s">
        <v>267</v>
      </c>
      <c r="H10" s="73">
        <f t="shared" ref="H10" si="12">I9+1</f>
        <v>43957</v>
      </c>
      <c r="I10" s="73">
        <f t="shared" si="11"/>
        <v>43970</v>
      </c>
      <c r="J10" s="74">
        <f t="shared" ref="J10" si="13">NETWORKDAYS(H10,I10,$Z$3:$Z$9)</f>
        <v>9</v>
      </c>
      <c r="K10" s="75">
        <f>SUM($J$4:J10)/SUM($J$4:$J$10)</f>
        <v>1</v>
      </c>
      <c r="L10" s="75">
        <f>SUM($J$4:J10)/SUM($J$4:$J$10)</f>
        <v>1</v>
      </c>
      <c r="M10" s="75">
        <f>100%-GETPIVOTDATA("Epic Remaining Estimate",$AB$4)/GETPIVOTDATA("Epic Total Estimate",$AB$4)</f>
        <v>0.25</v>
      </c>
      <c r="N10" s="77">
        <f>100%-GETPIVOTDATA("Epic Remaining Estimate",$AB$4,"ST:Components","Admin")/GETPIVOTDATA("Epic Total Estimate",$AB$4,"ST:Components","Admin")</f>
        <v>1</v>
      </c>
      <c r="O10" s="77">
        <f>100%-GETPIVOTDATA("Epic Remaining Estimate",$AB$4,"ST:Components","Visio Import/Export")/GETPIVOTDATA("Epic Total Estimate",$AB$4,"ST:Components","Visio Import/Export")</f>
        <v>-2</v>
      </c>
      <c r="P10" s="77">
        <f>100%-GETPIVOTDATA("Epic Remaining Estimate",$AB$4,"ST:Components","Logging and Audit")/GETPIVOTDATA("Epic Total Estimate",$AB$4,"ST:Components","Logging and Audit")</f>
        <v>-2</v>
      </c>
      <c r="Q10" s="71">
        <f t="shared" ref="Q10" si="14">$Q$25*(100%-K10)</f>
        <v>0</v>
      </c>
      <c r="R10" s="71">
        <f>GETPIVOTDATA("Epic Remaining Estimate",$AB$4)</f>
        <v>450</v>
      </c>
      <c r="S10" s="71">
        <f t="shared" ref="S10" si="15">$Q$26*(100%-K10)</f>
        <v>0</v>
      </c>
      <c r="T10" s="71">
        <f>GETPIVOTDATA("Epic Remaining Estimate",$AB$4,"ST:Components","Admin")</f>
        <v>0</v>
      </c>
      <c r="U10" s="71">
        <f t="shared" ref="U10" si="16">$Q$27*(100%-L10)</f>
        <v>0</v>
      </c>
      <c r="V10" s="71">
        <f>GETPIVOTDATA("Epic Remaining Estimate",$AB$4,"ST:Components","Visio Import/Export")</f>
        <v>150</v>
      </c>
      <c r="W10" s="71">
        <f t="shared" ref="W10" si="17">$Q$28*(100%-K10)</f>
        <v>0</v>
      </c>
      <c r="X10" s="71">
        <f>GETPIVOTDATA("Epic Remaining Estimate",$AB$4,"ST:Components","Logging and Audit")</f>
        <v>150</v>
      </c>
      <c r="Z10" s="32"/>
      <c r="AB10" s="17" t="s">
        <v>281</v>
      </c>
      <c r="AC10" s="20">
        <v>100</v>
      </c>
      <c r="AD10" s="20">
        <v>150</v>
      </c>
      <c r="AF10" s="75">
        <f>SUM($J$7:J10)/SUM($J$7:$J$10)</f>
        <v>1</v>
      </c>
      <c r="AG10" s="77">
        <f>100%-GETPIVOTDATA("Epic Remaining Estimate",$AB$4,"ST:Components","UiPath Integration")/GETPIVOTDATA("Epic Total Estimate",$AB$4,"ST:Components","UiPath Integration")</f>
        <v>-0.5</v>
      </c>
      <c r="AH10" s="71">
        <f t="shared" si="9"/>
        <v>0</v>
      </c>
      <c r="AI10" s="71">
        <f>GETPIVOTDATA("Epic Remaining Estimate",$AB$4,"ST:Components","UiPath Integration")</f>
        <v>150</v>
      </c>
    </row>
    <row r="11" spans="1:35" x14ac:dyDescent="0.3">
      <c r="A11" t="s">
        <v>137</v>
      </c>
      <c r="B11" s="30">
        <f>MAX(100%,B10)-B10</f>
        <v>0</v>
      </c>
      <c r="G11" s="82"/>
      <c r="H11" s="68"/>
      <c r="I11" s="68"/>
      <c r="J11" s="69"/>
      <c r="K11" s="36"/>
      <c r="L11" s="36"/>
      <c r="M11" s="65"/>
      <c r="N11" s="65"/>
      <c r="O11" s="65"/>
      <c r="P11" s="65"/>
      <c r="Q11" s="42"/>
      <c r="R11" s="66"/>
      <c r="S11" s="42"/>
      <c r="T11" s="66"/>
      <c r="U11" s="42"/>
      <c r="V11" s="66"/>
      <c r="W11" s="42"/>
      <c r="X11" s="66"/>
      <c r="Z11" s="32"/>
      <c r="AB11" s="17" t="s">
        <v>50</v>
      </c>
      <c r="AC11" s="20">
        <v>600</v>
      </c>
      <c r="AD11" s="20">
        <v>450</v>
      </c>
      <c r="AF11" s="70"/>
      <c r="AG11" s="63"/>
      <c r="AH11" s="42"/>
      <c r="AI11" s="63"/>
    </row>
    <row r="12" spans="1:35" x14ac:dyDescent="0.3">
      <c r="G12" s="82"/>
      <c r="H12" s="68"/>
      <c r="I12" s="68"/>
      <c r="J12" s="69"/>
      <c r="K12" s="70"/>
      <c r="L12" s="70"/>
      <c r="M12" s="65"/>
      <c r="N12" s="65"/>
      <c r="O12" s="65"/>
      <c r="P12" s="65"/>
      <c r="Q12" s="42"/>
      <c r="R12" s="66"/>
      <c r="S12" s="42"/>
      <c r="T12" s="66"/>
      <c r="U12" s="42"/>
      <c r="V12" s="66"/>
      <c r="W12" s="42"/>
      <c r="X12" s="66"/>
      <c r="Z12" s="32"/>
      <c r="AF12" s="70"/>
      <c r="AG12" s="63"/>
      <c r="AH12" s="42"/>
      <c r="AI12" s="63"/>
    </row>
    <row r="13" spans="1:35" x14ac:dyDescent="0.3">
      <c r="A13" s="39" t="s">
        <v>258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5" x14ac:dyDescent="0.3">
      <c r="A14" t="s">
        <v>136</v>
      </c>
      <c r="B14" s="44">
        <f>100%-GETPIVOTDATA("Epic Remaining Estimate",$AB$4,"ST:Components","Visio Import/Export")/GETPIVOTDATA("Epic Total Estimate",$AB$4,"ST:Components","Visio Import/Export")</f>
        <v>-2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5" x14ac:dyDescent="0.3">
      <c r="A15" t="s">
        <v>137</v>
      </c>
      <c r="B15" s="30">
        <f>MAX(100%,B14)-B14</f>
        <v>3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5" x14ac:dyDescent="0.3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  <c r="AF16" s="39" t="s">
        <v>179</v>
      </c>
    </row>
    <row r="17" spans="1:33" x14ac:dyDescent="0.3">
      <c r="A17" s="39" t="s">
        <v>259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  <c r="AF17" t="s">
        <v>136</v>
      </c>
      <c r="AG17" s="44">
        <f ca="1">MAX(NETWORKDAYS($H$7,$E$6,$Z$3:$Z$9)/NETWORKDAYS($H$7,$E$3,$Z$3:$Z$9),0%)</f>
        <v>1.2105263157894737</v>
      </c>
    </row>
    <row r="18" spans="1:33" x14ac:dyDescent="0.3">
      <c r="A18" t="s">
        <v>136</v>
      </c>
      <c r="B18" s="44">
        <f>100%-GETPIVOTDATA("Epic Remaining Estimate",$AB$4,"ST:Components","Logging and Audit")/GETPIVOTDATA("Epic Total Estimate",$AB$4,"ST:Components","Logging and Audit")</f>
        <v>-2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  <c r="AF18" t="s">
        <v>137</v>
      </c>
      <c r="AG18" s="30">
        <f ca="1">MAX(100%,AG17)-AG17</f>
        <v>0</v>
      </c>
    </row>
    <row r="19" spans="1:33" x14ac:dyDescent="0.3">
      <c r="A19" t="s">
        <v>137</v>
      </c>
      <c r="B19" s="30">
        <f>MAX(100%,B18)-B18</f>
        <v>3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33" x14ac:dyDescent="0.3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  <c r="AF20" s="39" t="s">
        <v>281</v>
      </c>
      <c r="AG20" s="21"/>
    </row>
    <row r="21" spans="1:33" x14ac:dyDescent="0.3">
      <c r="A21" s="39" t="s">
        <v>276</v>
      </c>
      <c r="B21" s="39"/>
      <c r="AF21" t="s">
        <v>136</v>
      </c>
      <c r="AG21" s="44">
        <f>100%-GETPIVOTDATA("Epic Remaining Estimate",$AB$4,"ST:Components","UiPath Integration")/GETPIVOTDATA("Epic Total Estimate",$AB$4,"ST:Components","UiPath Integration")</f>
        <v>-0.5</v>
      </c>
    </row>
    <row r="22" spans="1:33" x14ac:dyDescent="0.3">
      <c r="A22" t="s">
        <v>136</v>
      </c>
      <c r="B22" s="44">
        <f ca="1">MAX(NETWORKDAYS($D$3,$E$6,$Z$3:$Z$9)/NETWORKDAYS($D$3,$E$3,$Z$3:$Z$9),0%)</f>
        <v>1.1194029850746268</v>
      </c>
      <c r="AF22" t="s">
        <v>137</v>
      </c>
      <c r="AG22" s="30">
        <f>MAX(100%,AG21)-AG21</f>
        <v>1.5</v>
      </c>
    </row>
    <row r="23" spans="1:33" x14ac:dyDescent="0.3">
      <c r="A23" t="s">
        <v>137</v>
      </c>
      <c r="B23" s="30">
        <f ca="1">MAX(100%,B22)-B22</f>
        <v>0</v>
      </c>
    </row>
    <row r="24" spans="1:33" x14ac:dyDescent="0.3">
      <c r="D24" s="16" t="s">
        <v>134</v>
      </c>
      <c r="E24" t="s">
        <v>260</v>
      </c>
      <c r="G24" s="16" t="s">
        <v>134</v>
      </c>
      <c r="H24" t="s">
        <v>260</v>
      </c>
      <c r="J24" s="16" t="s">
        <v>134</v>
      </c>
      <c r="K24" t="s">
        <v>260</v>
      </c>
      <c r="M24" s="16" t="s">
        <v>134</v>
      </c>
      <c r="N24" t="s">
        <v>260</v>
      </c>
      <c r="P24" t="s">
        <v>220</v>
      </c>
      <c r="Q24" t="s">
        <v>221</v>
      </c>
    </row>
    <row r="25" spans="1:33" x14ac:dyDescent="0.3">
      <c r="A25" s="16" t="s">
        <v>134</v>
      </c>
      <c r="B25" t="s">
        <v>260</v>
      </c>
      <c r="D25" s="16" t="s">
        <v>9</v>
      </c>
      <c r="E25" t="s">
        <v>61</v>
      </c>
      <c r="G25" s="16" t="s">
        <v>9</v>
      </c>
      <c r="H25" t="s">
        <v>61</v>
      </c>
      <c r="J25" s="16" t="s">
        <v>9</v>
      </c>
      <c r="K25" t="s">
        <v>61</v>
      </c>
      <c r="M25" s="16" t="s">
        <v>9</v>
      </c>
      <c r="N25" t="s">
        <v>61</v>
      </c>
      <c r="P25" t="s">
        <v>134</v>
      </c>
      <c r="Q25">
        <v>700</v>
      </c>
    </row>
    <row r="26" spans="1:33" x14ac:dyDescent="0.3">
      <c r="A26" s="16" t="s">
        <v>9</v>
      </c>
      <c r="B26" t="s">
        <v>61</v>
      </c>
      <c r="C26" s="37"/>
      <c r="D26" s="16" t="s">
        <v>20</v>
      </c>
      <c r="E26" t="s">
        <v>254</v>
      </c>
      <c r="G26" s="16" t="s">
        <v>20</v>
      </c>
      <c r="H26" t="s">
        <v>277</v>
      </c>
      <c r="J26" s="16" t="s">
        <v>20</v>
      </c>
      <c r="K26" t="s">
        <v>278</v>
      </c>
      <c r="M26" s="16" t="s">
        <v>20</v>
      </c>
      <c r="N26" t="s">
        <v>281</v>
      </c>
      <c r="P26" t="s">
        <v>254</v>
      </c>
      <c r="Q26">
        <v>260</v>
      </c>
    </row>
    <row r="27" spans="1:33" x14ac:dyDescent="0.3">
      <c r="A27" s="16" t="s">
        <v>246</v>
      </c>
      <c r="B27" t="s">
        <v>217</v>
      </c>
      <c r="D27" s="16" t="s">
        <v>246</v>
      </c>
      <c r="E27" t="s">
        <v>217</v>
      </c>
      <c r="G27" s="16" t="s">
        <v>246</v>
      </c>
      <c r="H27" t="s">
        <v>217</v>
      </c>
      <c r="J27" s="16" t="s">
        <v>246</v>
      </c>
      <c r="K27" t="s">
        <v>217</v>
      </c>
      <c r="M27" s="16" t="s">
        <v>246</v>
      </c>
      <c r="N27" t="s">
        <v>217</v>
      </c>
      <c r="P27" t="s">
        <v>258</v>
      </c>
      <c r="Q27">
        <v>200</v>
      </c>
    </row>
    <row r="28" spans="1:33" x14ac:dyDescent="0.3">
      <c r="L28" s="16"/>
      <c r="O28" s="16"/>
      <c r="P28" t="s">
        <v>259</v>
      </c>
      <c r="Q28" s="16">
        <v>60</v>
      </c>
    </row>
    <row r="29" spans="1:33" x14ac:dyDescent="0.3">
      <c r="A29" s="16" t="s">
        <v>171</v>
      </c>
      <c r="D29" s="16" t="s">
        <v>171</v>
      </c>
      <c r="G29" s="16" t="s">
        <v>171</v>
      </c>
      <c r="J29" s="16" t="s">
        <v>171</v>
      </c>
      <c r="M29" s="16" t="s">
        <v>171</v>
      </c>
      <c r="O29" s="16"/>
      <c r="P29" s="16" t="s">
        <v>281</v>
      </c>
      <c r="Q29" s="16">
        <v>70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x14ac:dyDescent="0.3">
      <c r="A30" s="17" t="s">
        <v>172</v>
      </c>
      <c r="B30" s="20">
        <v>150</v>
      </c>
      <c r="D30" s="17" t="s">
        <v>172</v>
      </c>
      <c r="E30" s="20">
        <v>100</v>
      </c>
      <c r="G30" s="17" t="s">
        <v>172</v>
      </c>
      <c r="H30" s="20">
        <v>-100</v>
      </c>
      <c r="J30" s="17" t="s">
        <v>172</v>
      </c>
      <c r="K30" s="20">
        <v>-100</v>
      </c>
      <c r="M30" s="17" t="s">
        <v>172</v>
      </c>
      <c r="N30" s="20">
        <v>-50</v>
      </c>
    </row>
    <row r="31" spans="1:33" x14ac:dyDescent="0.3">
      <c r="A31" s="17" t="s">
        <v>173</v>
      </c>
      <c r="B31" s="20">
        <v>120</v>
      </c>
      <c r="D31" s="17" t="s">
        <v>173</v>
      </c>
      <c r="E31" s="20"/>
      <c r="G31" s="17" t="s">
        <v>173</v>
      </c>
      <c r="H31" s="20">
        <v>40</v>
      </c>
      <c r="J31" s="17" t="s">
        <v>173</v>
      </c>
      <c r="K31" s="20">
        <v>40</v>
      </c>
      <c r="M31" s="17" t="s">
        <v>173</v>
      </c>
      <c r="N31" s="20">
        <v>40</v>
      </c>
    </row>
    <row r="32" spans="1:33" x14ac:dyDescent="0.3">
      <c r="A32" s="17" t="s">
        <v>147</v>
      </c>
      <c r="B32" s="20">
        <v>180</v>
      </c>
      <c r="D32" s="17" t="s">
        <v>147</v>
      </c>
      <c r="E32" s="20"/>
      <c r="G32" s="17" t="s">
        <v>147</v>
      </c>
      <c r="H32" s="20">
        <v>60</v>
      </c>
      <c r="J32" s="17" t="s">
        <v>147</v>
      </c>
      <c r="K32" s="20">
        <v>60</v>
      </c>
      <c r="M32" s="17" t="s">
        <v>147</v>
      </c>
      <c r="N32" s="20">
        <v>60</v>
      </c>
    </row>
    <row r="33" spans="1:14" x14ac:dyDescent="0.3">
      <c r="A33" s="17" t="s">
        <v>174</v>
      </c>
      <c r="B33" s="20">
        <v>90</v>
      </c>
      <c r="D33" s="17" t="s">
        <v>174</v>
      </c>
      <c r="E33" s="20"/>
      <c r="G33" s="17" t="s">
        <v>174</v>
      </c>
      <c r="H33" s="20">
        <v>30</v>
      </c>
      <c r="J33" s="17" t="s">
        <v>174</v>
      </c>
      <c r="K33" s="20">
        <v>30</v>
      </c>
      <c r="M33" s="17" t="s">
        <v>174</v>
      </c>
      <c r="N33" s="20">
        <v>30</v>
      </c>
    </row>
    <row r="34" spans="1:14" x14ac:dyDescent="0.3">
      <c r="A34" s="17" t="s">
        <v>175</v>
      </c>
      <c r="B34" s="20">
        <v>60</v>
      </c>
      <c r="D34" s="17" t="s">
        <v>175</v>
      </c>
      <c r="E34" s="20">
        <v>100</v>
      </c>
      <c r="G34" s="17" t="s">
        <v>175</v>
      </c>
      <c r="H34" s="20">
        <v>-130</v>
      </c>
      <c r="J34" s="17" t="s">
        <v>175</v>
      </c>
      <c r="K34" s="20">
        <v>-130</v>
      </c>
      <c r="M34" s="17" t="s">
        <v>175</v>
      </c>
      <c r="N34" s="20">
        <v>-80</v>
      </c>
    </row>
    <row r="35" spans="1:14" x14ac:dyDescent="0.3">
      <c r="A35" s="17"/>
      <c r="B35" s="20"/>
      <c r="D35" s="17"/>
      <c r="E35" s="20"/>
      <c r="G35" s="17"/>
      <c r="H35" s="20"/>
      <c r="J35" s="17"/>
      <c r="K35" s="20"/>
    </row>
    <row r="36" spans="1:14" x14ac:dyDescent="0.3">
      <c r="A36" s="16" t="s">
        <v>134</v>
      </c>
      <c r="B36" t="s">
        <v>260</v>
      </c>
    </row>
    <row r="37" spans="1:14" x14ac:dyDescent="0.3">
      <c r="A37" s="16" t="s">
        <v>9</v>
      </c>
      <c r="B37" t="s">
        <v>61</v>
      </c>
      <c r="D37" s="16" t="s">
        <v>134</v>
      </c>
      <c r="E37" t="s">
        <v>260</v>
      </c>
      <c r="G37" s="16" t="s">
        <v>134</v>
      </c>
      <c r="H37" t="s">
        <v>260</v>
      </c>
      <c r="J37" s="16" t="s">
        <v>134</v>
      </c>
      <c r="K37" t="s">
        <v>260</v>
      </c>
      <c r="M37" s="16" t="s">
        <v>134</v>
      </c>
      <c r="N37" t="s">
        <v>260</v>
      </c>
    </row>
    <row r="38" spans="1:14" x14ac:dyDescent="0.3">
      <c r="A38" s="16" t="s">
        <v>246</v>
      </c>
      <c r="B38" t="s">
        <v>217</v>
      </c>
      <c r="D38" s="16" t="s">
        <v>9</v>
      </c>
      <c r="E38" t="s">
        <v>61</v>
      </c>
      <c r="G38" s="16" t="s">
        <v>9</v>
      </c>
      <c r="H38" t="s">
        <v>61</v>
      </c>
      <c r="J38" s="16" t="s">
        <v>9</v>
      </c>
      <c r="K38" t="s">
        <v>61</v>
      </c>
      <c r="M38" s="16" t="s">
        <v>9</v>
      </c>
      <c r="N38" t="s">
        <v>61</v>
      </c>
    </row>
    <row r="39" spans="1:14" x14ac:dyDescent="0.3">
      <c r="D39" s="16" t="s">
        <v>20</v>
      </c>
      <c r="E39" t="s">
        <v>254</v>
      </c>
      <c r="G39" s="16" t="s">
        <v>20</v>
      </c>
      <c r="H39" t="s">
        <v>277</v>
      </c>
      <c r="J39" s="16" t="s">
        <v>20</v>
      </c>
      <c r="K39" t="s">
        <v>278</v>
      </c>
      <c r="M39" s="16" t="s">
        <v>20</v>
      </c>
      <c r="N39" t="s">
        <v>281</v>
      </c>
    </row>
    <row r="40" spans="1:14" x14ac:dyDescent="0.3">
      <c r="A40" t="s">
        <v>111</v>
      </c>
    </row>
    <row r="41" spans="1:14" x14ac:dyDescent="0.3">
      <c r="A41" s="20">
        <v>600</v>
      </c>
      <c r="B41">
        <f>SUM(B30:B34)</f>
        <v>600</v>
      </c>
      <c r="D41" t="s">
        <v>111</v>
      </c>
      <c r="G41" t="s">
        <v>111</v>
      </c>
      <c r="J41" t="s">
        <v>111</v>
      </c>
      <c r="M41" t="s">
        <v>111</v>
      </c>
    </row>
    <row r="42" spans="1:14" x14ac:dyDescent="0.3">
      <c r="D42" s="20">
        <v>100</v>
      </c>
      <c r="E42">
        <f>SUM(E30:E34)</f>
        <v>200</v>
      </c>
      <c r="G42" s="20">
        <v>50</v>
      </c>
      <c r="H42">
        <f>SUM(H30:H34)</f>
        <v>-100</v>
      </c>
      <c r="J42" s="20">
        <v>50</v>
      </c>
      <c r="K42">
        <f>SUM(K30:K34)</f>
        <v>-100</v>
      </c>
      <c r="M42" s="20">
        <v>100</v>
      </c>
      <c r="N42">
        <f>SUM(N30:N34)</f>
        <v>0</v>
      </c>
    </row>
    <row r="43" spans="1:14" x14ac:dyDescent="0.3">
      <c r="D43" s="20"/>
      <c r="G43" s="20"/>
    </row>
    <row r="44" spans="1:14" x14ac:dyDescent="0.3">
      <c r="D44" s="20"/>
      <c r="G44" s="20"/>
    </row>
    <row r="45" spans="1:14" x14ac:dyDescent="0.3">
      <c r="D45" s="20"/>
      <c r="G45" s="20"/>
    </row>
    <row r="46" spans="1:14" x14ac:dyDescent="0.3">
      <c r="D46" s="20"/>
      <c r="G46" s="20"/>
    </row>
    <row r="47" spans="1:14" x14ac:dyDescent="0.3">
      <c r="D47" s="20"/>
      <c r="G47" s="20"/>
    </row>
    <row r="48" spans="1:14" x14ac:dyDescent="0.3">
      <c r="D48" s="20"/>
      <c r="G48" s="20"/>
    </row>
    <row r="49" spans="1:7" x14ac:dyDescent="0.3">
      <c r="D49" s="20"/>
      <c r="E49" s="16" t="s">
        <v>9</v>
      </c>
      <c r="F49" t="s">
        <v>57</v>
      </c>
      <c r="G49" s="20"/>
    </row>
    <row r="50" spans="1:7" x14ac:dyDescent="0.3">
      <c r="A50" s="16" t="s">
        <v>9</v>
      </c>
      <c r="B50" t="s">
        <v>61</v>
      </c>
    </row>
    <row r="51" spans="1:7" x14ac:dyDescent="0.3">
      <c r="A51" s="16" t="s">
        <v>134</v>
      </c>
      <c r="B51" t="s">
        <v>260</v>
      </c>
      <c r="E51" s="16" t="s">
        <v>139</v>
      </c>
      <c r="F51" t="s">
        <v>143</v>
      </c>
    </row>
    <row r="52" spans="1:7" x14ac:dyDescent="0.3">
      <c r="A52" s="16" t="s">
        <v>246</v>
      </c>
      <c r="B52" t="s">
        <v>217</v>
      </c>
      <c r="E52" s="17" t="s">
        <v>239</v>
      </c>
      <c r="F52" s="20">
        <v>10</v>
      </c>
    </row>
    <row r="53" spans="1:7" x14ac:dyDescent="0.3">
      <c r="E53" s="17" t="s">
        <v>241</v>
      </c>
      <c r="F53" s="20">
        <v>10</v>
      </c>
    </row>
    <row r="54" spans="1:7" x14ac:dyDescent="0.3">
      <c r="A54" s="16" t="s">
        <v>139</v>
      </c>
      <c r="B54" t="s">
        <v>111</v>
      </c>
      <c r="E54" s="17" t="s">
        <v>242</v>
      </c>
      <c r="F54" s="20">
        <v>10</v>
      </c>
    </row>
    <row r="55" spans="1:7" x14ac:dyDescent="0.3">
      <c r="A55" s="17" t="s">
        <v>254</v>
      </c>
      <c r="B55" s="20">
        <v>150</v>
      </c>
      <c r="E55" s="17" t="s">
        <v>243</v>
      </c>
      <c r="F55" s="20">
        <v>10</v>
      </c>
    </row>
    <row r="56" spans="1:7" x14ac:dyDescent="0.3">
      <c r="A56" s="17" t="s">
        <v>258</v>
      </c>
      <c r="B56" s="20">
        <v>100</v>
      </c>
      <c r="E56" s="17" t="s">
        <v>244</v>
      </c>
      <c r="F56" s="20">
        <v>10</v>
      </c>
    </row>
    <row r="57" spans="1:7" x14ac:dyDescent="0.3">
      <c r="A57" s="17" t="s">
        <v>259</v>
      </c>
      <c r="B57" s="20">
        <v>150</v>
      </c>
      <c r="E57" s="17" t="s">
        <v>240</v>
      </c>
      <c r="F57" s="20">
        <v>10</v>
      </c>
    </row>
    <row r="58" spans="1:7" x14ac:dyDescent="0.3">
      <c r="A58" s="17" t="s">
        <v>281</v>
      </c>
      <c r="B58" s="20">
        <v>100</v>
      </c>
      <c r="E58" s="17" t="s">
        <v>245</v>
      </c>
      <c r="F58" s="20">
        <v>10</v>
      </c>
    </row>
    <row r="59" spans="1:7" x14ac:dyDescent="0.3">
      <c r="A59" s="17" t="s">
        <v>184</v>
      </c>
      <c r="B59" s="20">
        <v>50</v>
      </c>
      <c r="E59" s="17" t="s">
        <v>183</v>
      </c>
      <c r="F59" s="20"/>
    </row>
    <row r="60" spans="1:7" x14ac:dyDescent="0.3">
      <c r="A60" s="17" t="s">
        <v>185</v>
      </c>
      <c r="B60" s="20">
        <v>50</v>
      </c>
      <c r="E60" s="17" t="s">
        <v>50</v>
      </c>
      <c r="F60" s="20">
        <v>70</v>
      </c>
    </row>
    <row r="61" spans="1:7" x14ac:dyDescent="0.3">
      <c r="A61" s="17" t="s">
        <v>50</v>
      </c>
      <c r="B61" s="20">
        <v>600</v>
      </c>
    </row>
    <row r="66" spans="2:6" x14ac:dyDescent="0.3">
      <c r="B66">
        <f>GETPIVOTDATA("Epic Total Estimate",$A$54)</f>
        <v>600</v>
      </c>
      <c r="F66">
        <f>GETPIVOTDATA("Story Points",$E$51)</f>
        <v>70</v>
      </c>
    </row>
  </sheetData>
  <mergeCells count="5">
    <mergeCell ref="Q1:R1"/>
    <mergeCell ref="S1:T1"/>
    <mergeCell ref="U1:V1"/>
    <mergeCell ref="W1:X1"/>
    <mergeCell ref="AF1:AI1"/>
  </mergeCells>
  <conditionalFormatting sqref="B41">
    <cfRule type="cellIs" dxfId="25" priority="6" operator="notEqual">
      <formula>$A$41</formula>
    </cfRule>
  </conditionalFormatting>
  <conditionalFormatting sqref="E42">
    <cfRule type="cellIs" dxfId="24" priority="5" operator="notEqual">
      <formula>$D$42</formula>
    </cfRule>
  </conditionalFormatting>
  <conditionalFormatting sqref="H42">
    <cfRule type="cellIs" dxfId="23" priority="4" operator="notEqual">
      <formula>$G$42</formula>
    </cfRule>
  </conditionalFormatting>
  <conditionalFormatting sqref="K42">
    <cfRule type="cellIs" dxfId="22" priority="3" operator="notEqual">
      <formula>$J$42</formula>
    </cfRule>
  </conditionalFormatting>
  <conditionalFormatting sqref="N42">
    <cfRule type="cellIs" dxfId="21" priority="1" operator="notEqual">
      <formula>$M$42</formula>
    </cfRule>
  </conditionalFormatting>
  <pageMargins left="0.7" right="0.7" top="0.75" bottom="0.75" header="0.3" footer="0.3"/>
  <pageSetup orientation="portrait" r:id="rId14"/>
  <tableParts count="3">
    <tablePart r:id="rId15"/>
    <tablePart r:id="rId16"/>
    <tablePart r:id="rId1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4" x14ac:dyDescent="0.3"/>
  <cols>
    <col min="1" max="1" width="7.21875" customWidth="1"/>
    <col min="2" max="2" width="10.21875" customWidth="1"/>
    <col min="3" max="3" width="9.88671875" customWidth="1"/>
    <col min="4" max="4" width="8.109375" style="61" customWidth="1"/>
    <col min="5" max="5" width="8.109375" style="63" customWidth="1"/>
    <col min="6" max="6" width="11.44140625" customWidth="1"/>
    <col min="7" max="7" width="11.33203125" customWidth="1"/>
    <col min="8" max="8" width="10" customWidth="1"/>
    <col min="9" max="9" width="9.33203125" customWidth="1"/>
    <col min="10" max="10" width="12.5546875" customWidth="1"/>
    <col min="11" max="11" width="12.21875" customWidth="1"/>
    <col min="12" max="12" width="9.109375" style="47"/>
    <col min="13" max="13" width="9.109375" style="63"/>
    <col min="14" max="15" width="11.44140625" customWidth="1"/>
    <col min="16" max="16" width="10.44140625" customWidth="1"/>
    <col min="17" max="17" width="9.88671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1875" customWidth="1"/>
    <col min="23" max="24" width="12.21875" customWidth="1"/>
    <col min="25" max="25" width="12.44140625" customWidth="1"/>
    <col min="26" max="26" width="12.77734375" customWidth="1"/>
    <col min="27" max="27" width="12.33203125" customWidth="1"/>
    <col min="28" max="28" width="8" style="61" customWidth="1"/>
    <col min="29" max="29" width="8" style="63" customWidth="1"/>
    <col min="30" max="30" width="11.21875" customWidth="1"/>
    <col min="31" max="32" width="12.21875" customWidth="1"/>
    <col min="33" max="33" width="12.44140625" customWidth="1"/>
    <col min="34" max="34" width="12.77734375" customWidth="1"/>
    <col min="35" max="35" width="12.33203125" customWidth="1"/>
    <col min="36" max="36" width="9.109375" style="47"/>
    <col min="38" max="38" width="17.21875" bestFit="1" customWidth="1"/>
    <col min="39" max="39" width="23.5546875" bestFit="1" customWidth="1"/>
    <col min="40" max="40" width="21" bestFit="1" customWidth="1"/>
    <col min="41" max="41" width="22.6640625" bestFit="1" customWidth="1"/>
    <col min="42" max="42" width="28.33203125" bestFit="1" customWidth="1"/>
    <col min="43" max="43" width="12.33203125" customWidth="1"/>
    <col min="44" max="44" width="8" style="61" customWidth="1"/>
    <col min="45" max="45" width="8" style="63" customWidth="1"/>
    <col min="46" max="46" width="11.21875" customWidth="1"/>
    <col min="47" max="48" width="12.21875" customWidth="1"/>
    <col min="49" max="49" width="12.44140625" customWidth="1"/>
    <col min="50" max="50" width="12.77734375" customWidth="1"/>
    <col min="51" max="51" width="12.33203125" customWidth="1"/>
    <col min="52" max="52" width="24.77734375" bestFit="1" customWidth="1"/>
    <col min="53" max="53" width="26.109375" bestFit="1" customWidth="1"/>
    <col min="54" max="54" width="31.6640625" bestFit="1" customWidth="1"/>
  </cols>
  <sheetData>
    <row r="1" spans="1:51" x14ac:dyDescent="0.3">
      <c r="A1" s="93"/>
      <c r="B1" s="93"/>
      <c r="C1" s="93"/>
      <c r="D1" s="92" t="s">
        <v>134</v>
      </c>
      <c r="E1" s="92"/>
      <c r="F1" s="92"/>
      <c r="G1" s="92"/>
      <c r="H1" s="92"/>
      <c r="I1" s="92"/>
      <c r="J1" s="92"/>
      <c r="K1" s="92"/>
      <c r="L1" s="92" t="s">
        <v>254</v>
      </c>
      <c r="M1" s="92"/>
      <c r="N1" s="92"/>
      <c r="O1" s="92"/>
      <c r="P1" s="92"/>
      <c r="Q1" s="92"/>
      <c r="R1" s="92"/>
      <c r="S1" s="92"/>
      <c r="T1" s="92" t="s">
        <v>258</v>
      </c>
      <c r="U1" s="92"/>
      <c r="V1" s="92"/>
      <c r="W1" s="92"/>
      <c r="X1" s="92"/>
      <c r="Y1" s="92"/>
      <c r="Z1" s="92"/>
      <c r="AA1" s="92"/>
      <c r="AB1" s="92" t="s">
        <v>259</v>
      </c>
      <c r="AC1" s="92"/>
      <c r="AD1" s="92"/>
      <c r="AE1" s="92"/>
      <c r="AF1" s="92"/>
      <c r="AG1" s="92"/>
      <c r="AH1" s="92"/>
      <c r="AI1" s="92"/>
      <c r="AR1" s="92" t="s">
        <v>281</v>
      </c>
      <c r="AS1" s="92"/>
      <c r="AT1" s="92"/>
      <c r="AU1" s="92"/>
      <c r="AV1" s="92"/>
      <c r="AW1" s="92"/>
      <c r="AX1" s="92"/>
      <c r="AY1" s="92"/>
    </row>
    <row r="2" spans="1:51" s="55" customFormat="1" ht="43.2" x14ac:dyDescent="0.3">
      <c r="A2" s="48" t="s">
        <v>187</v>
      </c>
      <c r="B2" s="48" t="s">
        <v>123</v>
      </c>
      <c r="C2" s="48" t="s">
        <v>124</v>
      </c>
      <c r="D2" s="49" t="s">
        <v>202</v>
      </c>
      <c r="E2" s="50" t="s">
        <v>203</v>
      </c>
      <c r="F2" s="51" t="s">
        <v>116</v>
      </c>
      <c r="G2" s="51" t="s">
        <v>204</v>
      </c>
      <c r="H2" s="51" t="s">
        <v>205</v>
      </c>
      <c r="I2" s="51" t="s">
        <v>206</v>
      </c>
      <c r="J2" s="51" t="s">
        <v>207</v>
      </c>
      <c r="K2" s="52" t="s">
        <v>208</v>
      </c>
      <c r="L2" s="49" t="s">
        <v>202</v>
      </c>
      <c r="M2" s="50" t="s">
        <v>203</v>
      </c>
      <c r="N2" s="51" t="s">
        <v>116</v>
      </c>
      <c r="O2" s="51" t="s">
        <v>204</v>
      </c>
      <c r="P2" s="51" t="s">
        <v>205</v>
      </c>
      <c r="Q2" s="51" t="s">
        <v>206</v>
      </c>
      <c r="R2" s="51" t="s">
        <v>207</v>
      </c>
      <c r="S2" s="52" t="s">
        <v>208</v>
      </c>
      <c r="T2" s="53" t="s">
        <v>202</v>
      </c>
      <c r="U2" s="50" t="s">
        <v>203</v>
      </c>
      <c r="V2" s="51" t="s">
        <v>116</v>
      </c>
      <c r="W2" s="51" t="s">
        <v>204</v>
      </c>
      <c r="X2" s="51" t="s">
        <v>205</v>
      </c>
      <c r="Y2" s="51" t="s">
        <v>206</v>
      </c>
      <c r="Z2" s="51" t="s">
        <v>207</v>
      </c>
      <c r="AA2" s="52" t="s">
        <v>208</v>
      </c>
      <c r="AB2" s="53" t="s">
        <v>202</v>
      </c>
      <c r="AC2" s="50" t="s">
        <v>203</v>
      </c>
      <c r="AD2" s="51" t="s">
        <v>116</v>
      </c>
      <c r="AE2" s="51" t="s">
        <v>204</v>
      </c>
      <c r="AF2" s="51" t="s">
        <v>205</v>
      </c>
      <c r="AG2" s="51" t="s">
        <v>206</v>
      </c>
      <c r="AH2" s="51" t="s">
        <v>207</v>
      </c>
      <c r="AI2" s="52" t="s">
        <v>208</v>
      </c>
      <c r="AJ2" s="54"/>
      <c r="AR2" s="53" t="s">
        <v>202</v>
      </c>
      <c r="AS2" s="50" t="s">
        <v>203</v>
      </c>
      <c r="AT2" s="51" t="s">
        <v>116</v>
      </c>
      <c r="AU2" s="51" t="s">
        <v>204</v>
      </c>
      <c r="AV2" s="51" t="s">
        <v>205</v>
      </c>
      <c r="AW2" s="51" t="s">
        <v>206</v>
      </c>
      <c r="AX2" s="51" t="s">
        <v>207</v>
      </c>
      <c r="AY2" s="52" t="s">
        <v>208</v>
      </c>
    </row>
    <row r="3" spans="1:51" x14ac:dyDescent="0.3">
      <c r="B3" s="56"/>
      <c r="C3" s="56"/>
      <c r="D3" s="57">
        <v>520.79999999999995</v>
      </c>
      <c r="E3" s="58">
        <f>_ReleaseData!$Q$25</f>
        <v>700</v>
      </c>
      <c r="F3" s="40">
        <v>443.8</v>
      </c>
      <c r="G3" s="40">
        <v>378.3</v>
      </c>
      <c r="H3" s="40">
        <f t="shared" ref="H3:H4" si="0">D3-I3</f>
        <v>55.799999999999955</v>
      </c>
      <c r="I3" s="40">
        <v>465</v>
      </c>
      <c r="J3" s="33">
        <f t="shared" ref="J3:J4" si="1" xml:space="preserve"> G3/D3</f>
        <v>0.72638248847926279</v>
      </c>
      <c r="K3" s="33">
        <f t="shared" ref="K3:K4" si="2" xml:space="preserve"> H3/D3</f>
        <v>0.10714285714285707</v>
      </c>
      <c r="L3" s="59">
        <v>191.8</v>
      </c>
      <c r="M3" s="58">
        <f>_ReleaseData!$Q$26</f>
        <v>260</v>
      </c>
      <c r="N3" s="40">
        <v>124.8</v>
      </c>
      <c r="O3" s="40">
        <v>120.8</v>
      </c>
      <c r="P3" s="40">
        <f t="shared" ref="P3:P4" si="3">L3-Q3</f>
        <v>55.800000000000011</v>
      </c>
      <c r="Q3" s="40">
        <v>136</v>
      </c>
      <c r="R3" s="33">
        <f t="shared" ref="R3:R4" si="4" xml:space="preserve"> O3/L3</f>
        <v>0.62982273201251293</v>
      </c>
      <c r="S3" s="33">
        <f t="shared" ref="S3:S4" si="5" xml:space="preserve"> P3/L3</f>
        <v>0.29092805005213768</v>
      </c>
      <c r="T3" s="57">
        <v>178</v>
      </c>
      <c r="U3" s="58">
        <f>_ReleaseData!$Q$27</f>
        <v>200</v>
      </c>
      <c r="V3" s="40">
        <v>178</v>
      </c>
      <c r="W3" s="40">
        <v>117</v>
      </c>
      <c r="X3" s="40">
        <f t="shared" ref="X3:X4" si="6">T3-Y3</f>
        <v>0</v>
      </c>
      <c r="Y3" s="40">
        <v>178</v>
      </c>
      <c r="Z3" s="33">
        <f t="shared" ref="Z3:Z4" si="7" xml:space="preserve"> W3/T3</f>
        <v>0.65730337078651691</v>
      </c>
      <c r="AA3" s="33">
        <f t="shared" ref="AA3:AA4" si="8">X3/T3</f>
        <v>0</v>
      </c>
      <c r="AB3" s="57">
        <v>59</v>
      </c>
      <c r="AC3" s="58">
        <f>_ReleaseData!$Q$28</f>
        <v>60</v>
      </c>
      <c r="AD3" s="40">
        <v>59</v>
      </c>
      <c r="AE3" s="40">
        <v>59</v>
      </c>
      <c r="AF3" s="40">
        <f t="shared" ref="AF3:AF4" si="9">AB3-AG3</f>
        <v>0</v>
      </c>
      <c r="AG3" s="40">
        <v>59</v>
      </c>
      <c r="AH3" s="33">
        <f t="shared" ref="AH3:AH4" si="10" xml:space="preserve"> AE3/AB3</f>
        <v>1</v>
      </c>
      <c r="AI3" s="33">
        <f t="shared" ref="AI3:AI4" si="11">AF3/AB3</f>
        <v>0</v>
      </c>
      <c r="AR3" s="57"/>
      <c r="AS3" s="58"/>
      <c r="AT3" s="40"/>
      <c r="AU3" s="40"/>
      <c r="AV3" s="40"/>
      <c r="AW3" s="40"/>
      <c r="AX3" s="33"/>
      <c r="AY3" s="33"/>
    </row>
    <row r="4" spans="1:51" x14ac:dyDescent="0.3">
      <c r="A4" t="s">
        <v>261</v>
      </c>
      <c r="B4" s="60">
        <v>43873</v>
      </c>
      <c r="C4" s="60">
        <v>43886</v>
      </c>
      <c r="D4" s="57">
        <v>573</v>
      </c>
      <c r="E4" s="58">
        <f>_ReleaseData!$Q$25</f>
        <v>700</v>
      </c>
      <c r="F4" s="40">
        <v>525</v>
      </c>
      <c r="G4" s="40">
        <v>461.5</v>
      </c>
      <c r="H4" s="40">
        <f t="shared" si="0"/>
        <v>130.69999999999999</v>
      </c>
      <c r="I4" s="40">
        <v>442.3</v>
      </c>
      <c r="J4" s="33">
        <f t="shared" si="1"/>
        <v>0.80541012216404884</v>
      </c>
      <c r="K4" s="33">
        <f t="shared" si="2"/>
        <v>0.22809773123909247</v>
      </c>
      <c r="L4" s="59">
        <v>232</v>
      </c>
      <c r="M4" s="58">
        <f>_ReleaseData!$Q$26</f>
        <v>260</v>
      </c>
      <c r="N4" s="40">
        <v>184</v>
      </c>
      <c r="O4" s="40">
        <v>184</v>
      </c>
      <c r="P4" s="40">
        <f t="shared" si="3"/>
        <v>93.699999999999989</v>
      </c>
      <c r="Q4" s="40">
        <v>138.30000000000001</v>
      </c>
      <c r="R4" s="33">
        <f t="shared" si="4"/>
        <v>0.7931034482758621</v>
      </c>
      <c r="S4" s="33">
        <f t="shared" si="5"/>
        <v>0.40387931034482755</v>
      </c>
      <c r="T4" s="57">
        <v>188</v>
      </c>
      <c r="U4" s="58">
        <f>_ReleaseData!$Q$27</f>
        <v>200</v>
      </c>
      <c r="V4" s="40">
        <v>188</v>
      </c>
      <c r="W4" s="40">
        <v>137</v>
      </c>
      <c r="X4" s="40">
        <f t="shared" si="6"/>
        <v>15</v>
      </c>
      <c r="Y4" s="40">
        <v>173</v>
      </c>
      <c r="Z4" s="33">
        <f t="shared" si="7"/>
        <v>0.72872340425531912</v>
      </c>
      <c r="AA4" s="33">
        <f t="shared" si="8"/>
        <v>7.9787234042553196E-2</v>
      </c>
      <c r="AB4" s="57">
        <v>59</v>
      </c>
      <c r="AC4" s="58">
        <f>_ReleaseData!$Q$28</f>
        <v>60</v>
      </c>
      <c r="AD4" s="40">
        <v>59</v>
      </c>
      <c r="AE4" s="40">
        <v>59</v>
      </c>
      <c r="AF4" s="40">
        <f t="shared" si="9"/>
        <v>7</v>
      </c>
      <c r="AG4" s="40">
        <v>52</v>
      </c>
      <c r="AH4" s="33">
        <f t="shared" si="10"/>
        <v>1</v>
      </c>
      <c r="AI4" s="33">
        <f t="shared" si="11"/>
        <v>0.11864406779661017</v>
      </c>
      <c r="AR4" s="57"/>
      <c r="AS4" s="58"/>
      <c r="AT4" s="40"/>
      <c r="AU4" s="40"/>
      <c r="AV4" s="40"/>
      <c r="AW4" s="40"/>
      <c r="AX4" s="33"/>
      <c r="AY4" s="33"/>
    </row>
    <row r="5" spans="1:51" x14ac:dyDescent="0.3">
      <c r="A5" t="s">
        <v>262</v>
      </c>
      <c r="B5" s="60">
        <v>43887</v>
      </c>
      <c r="C5" s="60">
        <v>43900</v>
      </c>
      <c r="D5" s="57">
        <v>630.79999999999995</v>
      </c>
      <c r="E5" s="58">
        <f>_ReleaseData!$Q$25</f>
        <v>700</v>
      </c>
      <c r="F5" s="40">
        <v>630.79999999999995</v>
      </c>
      <c r="G5" s="40">
        <v>606.29999999999995</v>
      </c>
      <c r="H5" s="40">
        <f t="shared" ref="H5" si="12">D5-I5</f>
        <v>221.99999999999994</v>
      </c>
      <c r="I5" s="40">
        <v>408.8</v>
      </c>
      <c r="J5" s="33">
        <f t="shared" ref="J5" si="13" xml:space="preserve"> G5/D5</f>
        <v>0.96116043119847816</v>
      </c>
      <c r="K5" s="33">
        <f t="shared" ref="K5" si="14" xml:space="preserve"> H5/D5</f>
        <v>0.35193405199746347</v>
      </c>
      <c r="L5" s="59">
        <v>275.8</v>
      </c>
      <c r="M5" s="58">
        <f>_ReleaseData!$Q$26</f>
        <v>260</v>
      </c>
      <c r="N5" s="40">
        <v>275.8</v>
      </c>
      <c r="O5" s="40">
        <v>275.8</v>
      </c>
      <c r="P5" s="40">
        <f t="shared" ref="P5" si="15">L5-Q5</f>
        <v>136.5</v>
      </c>
      <c r="Q5" s="40">
        <v>139.30000000000001</v>
      </c>
      <c r="R5" s="33">
        <f t="shared" ref="R5" si="16" xml:space="preserve"> O5/L5</f>
        <v>1</v>
      </c>
      <c r="S5" s="33">
        <f t="shared" ref="S5" si="17" xml:space="preserve"> P5/L5</f>
        <v>0.49492385786802029</v>
      </c>
      <c r="T5" s="57">
        <v>188</v>
      </c>
      <c r="U5" s="58">
        <f>_ReleaseData!$Q$27</f>
        <v>200</v>
      </c>
      <c r="V5" s="40">
        <v>188</v>
      </c>
      <c r="W5" s="40">
        <v>183</v>
      </c>
      <c r="X5" s="40">
        <f t="shared" ref="X5" si="18">T5-Y5</f>
        <v>49</v>
      </c>
      <c r="Y5" s="40">
        <v>139</v>
      </c>
      <c r="Z5" s="33">
        <f t="shared" ref="Z5" si="19" xml:space="preserve"> W5/T5</f>
        <v>0.97340425531914898</v>
      </c>
      <c r="AA5" s="33">
        <f t="shared" ref="AA5" si="20">X5/T5</f>
        <v>0.26063829787234044</v>
      </c>
      <c r="AB5" s="57">
        <v>59</v>
      </c>
      <c r="AC5" s="58">
        <f>_ReleaseData!$Q$28</f>
        <v>60</v>
      </c>
      <c r="AD5" s="40">
        <v>59</v>
      </c>
      <c r="AE5" s="40">
        <v>59</v>
      </c>
      <c r="AF5" s="40">
        <f t="shared" ref="AF5" si="21">AB5-AG5</f>
        <v>7</v>
      </c>
      <c r="AG5" s="40">
        <v>52</v>
      </c>
      <c r="AH5" s="33">
        <f t="shared" ref="AH5" si="22" xml:space="preserve"> AE5/AB5</f>
        <v>1</v>
      </c>
      <c r="AI5" s="33">
        <f t="shared" ref="AI5" si="23">AF5/AB5</f>
        <v>0.11864406779661017</v>
      </c>
      <c r="AR5" s="57"/>
      <c r="AS5" s="58"/>
      <c r="AT5" s="40"/>
      <c r="AU5" s="40"/>
      <c r="AV5" s="40"/>
      <c r="AW5" s="40"/>
      <c r="AX5" s="33"/>
      <c r="AY5" s="33"/>
    </row>
    <row r="6" spans="1:51" x14ac:dyDescent="0.3">
      <c r="A6" t="s">
        <v>263</v>
      </c>
      <c r="B6" s="60">
        <v>43901</v>
      </c>
      <c r="C6" s="60">
        <v>43914</v>
      </c>
      <c r="D6" s="57">
        <v>723.3</v>
      </c>
      <c r="E6" s="58">
        <f>_ReleaseData!$Q$25</f>
        <v>700</v>
      </c>
      <c r="F6" s="40">
        <v>705.3</v>
      </c>
      <c r="G6" s="40">
        <v>695.8</v>
      </c>
      <c r="H6" s="40">
        <f t="shared" ref="H6" si="24">D6-I6</f>
        <v>335.49999999999994</v>
      </c>
      <c r="I6" s="40">
        <v>387.8</v>
      </c>
      <c r="J6" s="33">
        <f t="shared" ref="J6" si="25" xml:space="preserve"> G6/D6</f>
        <v>0.96197981473800631</v>
      </c>
      <c r="K6" s="33">
        <f t="shared" ref="K6" si="26" xml:space="preserve"> H6/D6</f>
        <v>0.46384626019632236</v>
      </c>
      <c r="L6" s="59">
        <v>277.8</v>
      </c>
      <c r="M6" s="58">
        <f>_ReleaseData!$Q$26</f>
        <v>260</v>
      </c>
      <c r="N6" s="40">
        <v>277.8</v>
      </c>
      <c r="O6" s="40">
        <v>277.8</v>
      </c>
      <c r="P6" s="40">
        <f t="shared" ref="P6" si="27">L6-Q6</f>
        <v>192.5</v>
      </c>
      <c r="Q6" s="40">
        <v>85.3</v>
      </c>
      <c r="R6" s="33">
        <f t="shared" ref="R6" si="28" xml:space="preserve"> O6/L6</f>
        <v>1</v>
      </c>
      <c r="S6" s="33">
        <f t="shared" ref="S6" si="29" xml:space="preserve"> P6/L6</f>
        <v>0.6929445644348452</v>
      </c>
      <c r="T6" s="57">
        <v>188</v>
      </c>
      <c r="U6" s="58">
        <f>_ReleaseData!$Q$27</f>
        <v>200</v>
      </c>
      <c r="V6" s="40">
        <v>188</v>
      </c>
      <c r="W6" s="40">
        <v>188</v>
      </c>
      <c r="X6" s="40">
        <f t="shared" ref="X6" si="30">T6-Y6</f>
        <v>73</v>
      </c>
      <c r="Y6" s="40">
        <v>115</v>
      </c>
      <c r="Z6" s="33">
        <f t="shared" ref="Z6" si="31" xml:space="preserve"> W6/T6</f>
        <v>1</v>
      </c>
      <c r="AA6" s="33">
        <f t="shared" ref="AA6" si="32">X6/T6</f>
        <v>0.38829787234042551</v>
      </c>
      <c r="AB6" s="57">
        <v>59</v>
      </c>
      <c r="AC6" s="58">
        <f>_ReleaseData!$Q$28</f>
        <v>60</v>
      </c>
      <c r="AD6" s="40">
        <v>59</v>
      </c>
      <c r="AE6" s="40">
        <v>59</v>
      </c>
      <c r="AF6" s="40">
        <f t="shared" ref="AF6" si="33">AB6-AG6</f>
        <v>24</v>
      </c>
      <c r="AG6" s="40">
        <v>35</v>
      </c>
      <c r="AH6" s="33">
        <f t="shared" ref="AH6" si="34" xml:space="preserve"> AE6/AB6</f>
        <v>1</v>
      </c>
      <c r="AI6" s="33">
        <f t="shared" ref="AI6" si="35">AF6/AB6</f>
        <v>0.40677966101694918</v>
      </c>
      <c r="AR6" s="57">
        <v>71.3</v>
      </c>
      <c r="AS6" s="58">
        <f>_ReleaseData!$Q$29</f>
        <v>70</v>
      </c>
      <c r="AT6" s="40">
        <v>53.3</v>
      </c>
      <c r="AU6" s="40">
        <v>53.3</v>
      </c>
      <c r="AV6" s="40">
        <f t="shared" ref="AV6:AV7" si="36">AR6-AW6</f>
        <v>0</v>
      </c>
      <c r="AW6" s="40">
        <v>71.3</v>
      </c>
      <c r="AX6" s="33">
        <f t="shared" ref="AX6:AX7" si="37" xml:space="preserve"> AU6/AR6</f>
        <v>0.74754558204768584</v>
      </c>
      <c r="AY6" s="33">
        <f t="shared" ref="AY6:AY7" si="38">AV6/AR6</f>
        <v>0</v>
      </c>
    </row>
    <row r="7" spans="1:51" x14ac:dyDescent="0.3">
      <c r="A7" t="s">
        <v>264</v>
      </c>
      <c r="B7" s="60">
        <v>43915</v>
      </c>
      <c r="C7" s="60">
        <v>43928</v>
      </c>
      <c r="D7" s="57">
        <v>745.8</v>
      </c>
      <c r="E7" s="58">
        <f>_ReleaseData!$Q$25</f>
        <v>700</v>
      </c>
      <c r="F7" s="40">
        <v>745.8</v>
      </c>
      <c r="G7" s="40">
        <v>730.3</v>
      </c>
      <c r="H7" s="40">
        <f t="shared" ref="H7" si="39">D7-I7</f>
        <v>434.29999999999995</v>
      </c>
      <c r="I7" s="40">
        <v>311.5</v>
      </c>
      <c r="J7" s="33">
        <f t="shared" ref="J7" si="40" xml:space="preserve"> G7/D7</f>
        <v>0.97921694824349692</v>
      </c>
      <c r="K7" s="33">
        <f t="shared" ref="K7" si="41" xml:space="preserve"> H7/D7</f>
        <v>0.58232770179672833</v>
      </c>
      <c r="L7" s="59">
        <v>279.8</v>
      </c>
      <c r="M7" s="58">
        <f>_ReleaseData!$Q$26</f>
        <v>260</v>
      </c>
      <c r="N7" s="40">
        <v>279.8</v>
      </c>
      <c r="O7" s="40">
        <v>279.8</v>
      </c>
      <c r="P7" s="40">
        <f t="shared" ref="P7" si="42">L7-Q7</f>
        <v>243.8</v>
      </c>
      <c r="Q7" s="40">
        <v>36</v>
      </c>
      <c r="R7" s="33">
        <f t="shared" ref="R7" si="43" xml:space="preserve"> O7/L7</f>
        <v>1</v>
      </c>
      <c r="S7" s="33">
        <f t="shared" ref="S7" si="44" xml:space="preserve"> P7/L7</f>
        <v>0.87133666904932094</v>
      </c>
      <c r="T7" s="57">
        <v>188</v>
      </c>
      <c r="U7" s="58">
        <f>_ReleaseData!$Q$27</f>
        <v>200</v>
      </c>
      <c r="V7" s="40">
        <v>188</v>
      </c>
      <c r="W7" s="40">
        <v>188</v>
      </c>
      <c r="X7" s="40">
        <f t="shared" ref="X7" si="45">T7-Y7</f>
        <v>73</v>
      </c>
      <c r="Y7" s="40">
        <v>115</v>
      </c>
      <c r="Z7" s="33">
        <f t="shared" ref="Z7" si="46" xml:space="preserve"> W7/T7</f>
        <v>1</v>
      </c>
      <c r="AA7" s="33">
        <f t="shared" ref="AA7" si="47">X7/T7</f>
        <v>0.38829787234042551</v>
      </c>
      <c r="AB7" s="57">
        <v>59</v>
      </c>
      <c r="AC7" s="58">
        <f>_ReleaseData!$Q$28</f>
        <v>60</v>
      </c>
      <c r="AD7" s="40">
        <v>59</v>
      </c>
      <c r="AE7" s="40">
        <v>59</v>
      </c>
      <c r="AF7" s="40">
        <f t="shared" ref="AF7" si="48">AB7-AG7</f>
        <v>33</v>
      </c>
      <c r="AG7" s="40">
        <v>26</v>
      </c>
      <c r="AH7" s="33">
        <f t="shared" ref="AH7" si="49" xml:space="preserve"> AE7/AB7</f>
        <v>1</v>
      </c>
      <c r="AI7" s="33">
        <f t="shared" ref="AI7" si="50">AF7/AB7</f>
        <v>0.55932203389830504</v>
      </c>
      <c r="AL7" s="16" t="s">
        <v>134</v>
      </c>
      <c r="AM7" t="s">
        <v>260</v>
      </c>
      <c r="AR7" s="57">
        <v>54.3</v>
      </c>
      <c r="AS7" s="58">
        <f>_ReleaseData!$Q$29</f>
        <v>70</v>
      </c>
      <c r="AT7" s="40">
        <v>54.3</v>
      </c>
      <c r="AU7" s="40">
        <v>54.3</v>
      </c>
      <c r="AV7" s="40">
        <f t="shared" si="36"/>
        <v>34.299999999999997</v>
      </c>
      <c r="AW7" s="40">
        <v>20</v>
      </c>
      <c r="AX7" s="33">
        <f t="shared" si="37"/>
        <v>1</v>
      </c>
      <c r="AY7" s="33">
        <f t="shared" si="38"/>
        <v>0.63167587476979736</v>
      </c>
    </row>
    <row r="8" spans="1:51" x14ac:dyDescent="0.3">
      <c r="A8" t="s">
        <v>265</v>
      </c>
      <c r="B8" s="60">
        <v>43929</v>
      </c>
      <c r="C8" s="60">
        <v>43942</v>
      </c>
      <c r="D8" s="57">
        <v>752.6</v>
      </c>
      <c r="E8" s="58">
        <f>_ReleaseData!$Q$25</f>
        <v>700</v>
      </c>
      <c r="F8" s="40">
        <v>752.6</v>
      </c>
      <c r="G8" s="40">
        <v>745.6</v>
      </c>
      <c r="H8" s="40">
        <f t="shared" ref="H8" si="51">D8-I8</f>
        <v>540.6</v>
      </c>
      <c r="I8" s="40">
        <v>212</v>
      </c>
      <c r="J8" s="33">
        <f t="shared" ref="J8" si="52" xml:space="preserve"> G8/D8</f>
        <v>0.99069891044379488</v>
      </c>
      <c r="K8" s="33">
        <f t="shared" ref="K8" si="53" xml:space="preserve"> H8/D8</f>
        <v>0.71830985915492962</v>
      </c>
      <c r="L8" s="59">
        <v>290.60000000000002</v>
      </c>
      <c r="M8" s="58">
        <f>_ReleaseData!$Q$26</f>
        <v>260</v>
      </c>
      <c r="N8" s="40">
        <v>290.60000000000002</v>
      </c>
      <c r="O8" s="40">
        <v>290.60000000000002</v>
      </c>
      <c r="P8" s="40">
        <f t="shared" ref="P8" si="54">L8-Q8</f>
        <v>273.60000000000002</v>
      </c>
      <c r="Q8" s="40">
        <v>17</v>
      </c>
      <c r="R8" s="33">
        <f t="shared" ref="R8" si="55" xml:space="preserve"> O8/L8</f>
        <v>1</v>
      </c>
      <c r="S8" s="33">
        <f t="shared" ref="S8" si="56" xml:space="preserve"> P8/L8</f>
        <v>0.94150034411562289</v>
      </c>
      <c r="T8" s="57">
        <v>188</v>
      </c>
      <c r="U8" s="58">
        <f>_ReleaseData!$Q$27</f>
        <v>200</v>
      </c>
      <c r="V8" s="40">
        <v>188</v>
      </c>
      <c r="W8" s="40">
        <v>188</v>
      </c>
      <c r="X8" s="40">
        <f t="shared" ref="X8" si="57">T8-Y8</f>
        <v>83</v>
      </c>
      <c r="Y8" s="40">
        <v>105</v>
      </c>
      <c r="Z8" s="33">
        <f t="shared" ref="Z8" si="58" xml:space="preserve"> W8/T8</f>
        <v>1</v>
      </c>
      <c r="AA8" s="33">
        <f t="shared" ref="AA8" si="59">X8/T8</f>
        <v>0.44148936170212766</v>
      </c>
      <c r="AB8" s="57">
        <v>59</v>
      </c>
      <c r="AC8" s="58">
        <f>_ReleaseData!$Q$28</f>
        <v>60</v>
      </c>
      <c r="AD8" s="40">
        <v>59</v>
      </c>
      <c r="AE8" s="40">
        <v>59</v>
      </c>
      <c r="AF8" s="40">
        <f t="shared" ref="AF8" si="60">AB8-AG8</f>
        <v>49</v>
      </c>
      <c r="AG8" s="40">
        <v>10</v>
      </c>
      <c r="AH8" s="33">
        <f t="shared" ref="AH8" si="61" xml:space="preserve"> AE8/AB8</f>
        <v>1</v>
      </c>
      <c r="AI8" s="33">
        <f t="shared" ref="AI8" si="62">AF8/AB8</f>
        <v>0.83050847457627119</v>
      </c>
      <c r="AL8" s="16" t="s">
        <v>246</v>
      </c>
      <c r="AM8" t="s">
        <v>217</v>
      </c>
      <c r="AR8" s="57">
        <v>76.3</v>
      </c>
      <c r="AS8" s="58">
        <f>_ReleaseData!$Q$29</f>
        <v>70</v>
      </c>
      <c r="AT8" s="40">
        <v>76.3</v>
      </c>
      <c r="AU8" s="40">
        <v>76.3</v>
      </c>
      <c r="AV8" s="40">
        <f t="shared" ref="AV8" si="63">AR8-AW8</f>
        <v>66.3</v>
      </c>
      <c r="AW8" s="40">
        <v>10</v>
      </c>
      <c r="AX8" s="33">
        <f t="shared" ref="AX8" si="64" xml:space="preserve"> AU8/AR8</f>
        <v>1</v>
      </c>
      <c r="AY8" s="33">
        <f t="shared" ref="AY8" si="65">AV8/AR8</f>
        <v>0.86893840104849274</v>
      </c>
    </row>
    <row r="9" spans="1:51" x14ac:dyDescent="0.3">
      <c r="A9" t="s">
        <v>266</v>
      </c>
      <c r="B9" s="60">
        <v>43943</v>
      </c>
      <c r="C9" s="60">
        <v>43956</v>
      </c>
      <c r="D9" s="57">
        <v>718.1</v>
      </c>
      <c r="E9" s="58">
        <f>_ReleaseData!$Q$25</f>
        <v>700</v>
      </c>
      <c r="F9" s="40">
        <v>718.1</v>
      </c>
      <c r="G9" s="40">
        <v>718.1</v>
      </c>
      <c r="H9" s="40">
        <f t="shared" ref="H9" si="66">D9-I9</f>
        <v>625.6</v>
      </c>
      <c r="I9" s="40">
        <v>92.5</v>
      </c>
      <c r="J9" s="33">
        <f t="shared" ref="J9" si="67" xml:space="preserve"> G9/D9</f>
        <v>1</v>
      </c>
      <c r="K9" s="33">
        <f t="shared" ref="K9" si="68" xml:space="preserve"> H9/D9</f>
        <v>0.87118785684445066</v>
      </c>
      <c r="L9" s="59">
        <v>289.60000000000002</v>
      </c>
      <c r="M9" s="58">
        <f>_ReleaseData!$Q$26</f>
        <v>260</v>
      </c>
      <c r="N9" s="40">
        <v>289.60000000000002</v>
      </c>
      <c r="O9" s="40">
        <v>289.60000000000002</v>
      </c>
      <c r="P9" s="40">
        <f t="shared" ref="P9" si="69">L9-Q9</f>
        <v>282.60000000000002</v>
      </c>
      <c r="Q9" s="40">
        <v>7</v>
      </c>
      <c r="R9" s="33">
        <f t="shared" ref="R9" si="70" xml:space="preserve"> O9/L9</f>
        <v>1</v>
      </c>
      <c r="S9" s="33">
        <f t="shared" ref="S9" si="71" xml:space="preserve"> P9/L9</f>
        <v>0.975828729281768</v>
      </c>
      <c r="T9" s="57">
        <v>163</v>
      </c>
      <c r="U9" s="58">
        <f>_ReleaseData!$Q$27</f>
        <v>200</v>
      </c>
      <c r="V9" s="40">
        <v>163</v>
      </c>
      <c r="W9" s="40">
        <v>163</v>
      </c>
      <c r="X9" s="40">
        <f t="shared" ref="X9" si="72">T9-Y9</f>
        <v>142</v>
      </c>
      <c r="Y9" s="40">
        <v>21</v>
      </c>
      <c r="Z9" s="33">
        <f t="shared" ref="Z9" si="73" xml:space="preserve"> W9/T9</f>
        <v>1</v>
      </c>
      <c r="AA9" s="33">
        <f t="shared" ref="AA9" si="74">X9/T9</f>
        <v>0.87116564417177911</v>
      </c>
      <c r="AB9" s="57">
        <v>60</v>
      </c>
      <c r="AC9" s="58">
        <f>_ReleaseData!$Q$28</f>
        <v>60</v>
      </c>
      <c r="AD9" s="40">
        <v>60</v>
      </c>
      <c r="AE9" s="40">
        <v>60</v>
      </c>
      <c r="AF9" s="40">
        <f t="shared" ref="AF9" si="75">AB9-AG9</f>
        <v>50</v>
      </c>
      <c r="AG9" s="40">
        <v>10</v>
      </c>
      <c r="AH9" s="33">
        <f t="shared" ref="AH9" si="76" xml:space="preserve"> AE9/AB9</f>
        <v>1</v>
      </c>
      <c r="AI9" s="33">
        <f t="shared" ref="AI9" si="77">AF9/AB9</f>
        <v>0.83333333333333337</v>
      </c>
      <c r="AR9" s="57">
        <v>77.3</v>
      </c>
      <c r="AS9" s="58">
        <f>_ReleaseData!$Q$29</f>
        <v>70</v>
      </c>
      <c r="AT9" s="40">
        <v>77.3</v>
      </c>
      <c r="AU9" s="40">
        <v>77.3</v>
      </c>
      <c r="AV9" s="40">
        <f t="shared" ref="AV9" si="78">AR9-AW9</f>
        <v>75.3</v>
      </c>
      <c r="AW9" s="40">
        <v>2</v>
      </c>
      <c r="AX9" s="33">
        <f t="shared" ref="AX9" si="79" xml:space="preserve"> AU9/AR9</f>
        <v>1</v>
      </c>
      <c r="AY9" s="33">
        <f t="shared" ref="AY9" si="80">AV9/AR9</f>
        <v>0.97412677878395859</v>
      </c>
    </row>
    <row r="10" spans="1:51" ht="13.95" customHeight="1" x14ac:dyDescent="0.3">
      <c r="A10" t="s">
        <v>267</v>
      </c>
      <c r="B10" s="60">
        <v>43957</v>
      </c>
      <c r="C10" s="60">
        <v>43970</v>
      </c>
      <c r="D10" s="57">
        <f>GETPIVOTDATA("Epic Total Estimate", $AL$8, "Type", "Epic")</f>
        <v>600</v>
      </c>
      <c r="E10" s="58">
        <f>_ReleaseData!$Q$25</f>
        <v>700</v>
      </c>
      <c r="F10" s="40">
        <f>GETPIVOTDATA("Stories Estimate", $AL$8, "Type", "Epic")</f>
        <v>0</v>
      </c>
      <c r="G10" s="40">
        <f>GETPIVOTDATA("Epic Decomposed", $AL$8, "Type", "Epic")</f>
        <v>540</v>
      </c>
      <c r="H10" s="40">
        <f t="shared" ref="H10" si="81">D10-I10</f>
        <v>150</v>
      </c>
      <c r="I10" s="40">
        <f>GETPIVOTDATA("Epic Remaining Estimate", $AL$8, "Type", "Epic")</f>
        <v>450</v>
      </c>
      <c r="J10" s="33">
        <f t="shared" ref="J10" si="82" xml:space="preserve"> G10/D10</f>
        <v>0.9</v>
      </c>
      <c r="K10" s="33">
        <f t="shared" ref="K10" si="83" xml:space="preserve"> H10/D10</f>
        <v>0.25</v>
      </c>
      <c r="L10" s="59">
        <f>GETPIVOTDATA("Epic Total Estimate", $AL$8, "Type", "Epic", "ST:Components", "Admin")</f>
        <v>100</v>
      </c>
      <c r="M10" s="58">
        <f>_ReleaseData!$Q$26</f>
        <v>260</v>
      </c>
      <c r="N10" s="40">
        <f>GETPIVOTDATA("Stories Estimate", $AL$8, "Type", "Epic", "ST:Components", "Admin")</f>
        <v>0</v>
      </c>
      <c r="O10" s="40">
        <f>GETPIVOTDATA("Epic Decomposed", $AL$8, "Type", "Epic", "ST:Components", "Admin")</f>
        <v>0</v>
      </c>
      <c r="P10" s="40">
        <f t="shared" ref="P10" si="84">L10-Q10</f>
        <v>100</v>
      </c>
      <c r="Q10" s="40">
        <f>GETPIVOTDATA("Epic Remaining Estimate", $AL$8, "Type", "Epic", "ST:Components", "Admin")</f>
        <v>0</v>
      </c>
      <c r="R10" s="33">
        <f t="shared" ref="R10" si="85" xml:space="preserve"> O10/L10</f>
        <v>0</v>
      </c>
      <c r="S10" s="33">
        <f t="shared" ref="S10" si="86" xml:space="preserve"> P10/L10</f>
        <v>1</v>
      </c>
      <c r="T10" s="57">
        <f>GETPIVOTDATA("Epic Total Estimate", $AL$8, "Type", "Epic", "ST:Components", "Visio Import/Export")</f>
        <v>50</v>
      </c>
      <c r="U10" s="58">
        <f>_ReleaseData!$Q$27</f>
        <v>200</v>
      </c>
      <c r="V10" s="40">
        <f>GETPIVOTDATA("Stories Estimate", $AL$8, "Type", "Epic", "ST:Components", "Visio Import/Export")</f>
        <v>0</v>
      </c>
      <c r="W10" s="40">
        <f>GETPIVOTDATA("Epic Decomposed", $AL$8, "Type", "Epic", "ST:Components", "Visio Import/Export")</f>
        <v>180</v>
      </c>
      <c r="X10" s="40">
        <f t="shared" ref="X10" si="87">T10-Y10</f>
        <v>-100</v>
      </c>
      <c r="Y10" s="40">
        <f>GETPIVOTDATA("Epic Remaining Estimate", $AL$8, "Type", "Epic", "ST:Components", "Visio Import/Export")</f>
        <v>150</v>
      </c>
      <c r="Z10" s="33">
        <f t="shared" ref="Z10" si="88" xml:space="preserve"> W10/T10</f>
        <v>3.6</v>
      </c>
      <c r="AA10" s="33">
        <f t="shared" ref="AA10" si="89">X10/T10</f>
        <v>-2</v>
      </c>
      <c r="AB10" s="57">
        <f>GETPIVOTDATA("Epic Total Estimate", $AL$8, "Type", "Epic", "ST:Components", "Logging and Audit")</f>
        <v>50</v>
      </c>
      <c r="AC10" s="58">
        <f>_ReleaseData!$Q$28</f>
        <v>60</v>
      </c>
      <c r="AD10" s="40">
        <f>GETPIVOTDATA("Stories Estimate", $AL$8, "Type", "Epic", "ST:Components", "Logging and Audit")</f>
        <v>0</v>
      </c>
      <c r="AE10" s="40">
        <f>GETPIVOTDATA("Epic Decomposed", $AL$8, "Type", "Epic", "ST:Components", "Logging and Audit")</f>
        <v>180</v>
      </c>
      <c r="AF10" s="40">
        <f t="shared" ref="AF10" si="90">AB10-AG10</f>
        <v>-100</v>
      </c>
      <c r="AG10" s="40">
        <f>GETPIVOTDATA("Epic Remaining Estimate", $AL$8, "Type", "Epic", "ST:Components", "Logging and Audit")</f>
        <v>150</v>
      </c>
      <c r="AH10" s="33">
        <f t="shared" ref="AH10" si="91" xml:space="preserve"> AE10/AB10</f>
        <v>3.6</v>
      </c>
      <c r="AI10" s="33">
        <f t="shared" ref="AI10" si="92">AF10/AB10</f>
        <v>-2</v>
      </c>
      <c r="AM10" s="16" t="s">
        <v>161</v>
      </c>
      <c r="AR10" s="57">
        <f>GETPIVOTDATA("Epic Total Estimate", $AL$8, "Type", "Epic", "ST:Components", "UiPath Integration")</f>
        <v>100</v>
      </c>
      <c r="AS10" s="58">
        <f>_ReleaseData!$Q$29</f>
        <v>70</v>
      </c>
      <c r="AT10" s="40">
        <f>GETPIVOTDATA("Stories Estimate", $AL$8, "Type", "Epic", "ST:Components", "UiPath Integration")</f>
        <v>0</v>
      </c>
      <c r="AU10" s="40">
        <f>GETPIVOTDATA("Epic Decomposed", $AL$8, "Type", "Epic", "ST:Components", "UiPath Integration")</f>
        <v>180</v>
      </c>
      <c r="AV10" s="40">
        <f t="shared" ref="AV10" si="93">AR10-AW10</f>
        <v>-50</v>
      </c>
      <c r="AW10" s="40">
        <f>GETPIVOTDATA("Epic Remaining Estimate", $AL$8, "Type", "Epic", "ST:Components", "UiPath Integration")</f>
        <v>150</v>
      </c>
      <c r="AX10" s="33">
        <f t="shared" ref="AX10" si="94" xml:space="preserve"> AU10/AR10</f>
        <v>1.8</v>
      </c>
      <c r="AY10" s="33">
        <f t="shared" ref="AY10" si="95">AV10/AR10</f>
        <v>-0.5</v>
      </c>
    </row>
    <row r="11" spans="1:51" x14ac:dyDescent="0.3">
      <c r="A11" s="83"/>
      <c r="B11" s="84"/>
      <c r="C11" s="84"/>
      <c r="D11" s="85"/>
      <c r="E11" s="86"/>
      <c r="F11" s="87"/>
      <c r="G11" s="87"/>
      <c r="H11" s="87"/>
      <c r="I11" s="87"/>
      <c r="J11" s="88"/>
      <c r="K11" s="88"/>
      <c r="L11" s="89"/>
      <c r="M11" s="86"/>
      <c r="N11" s="87"/>
      <c r="O11" s="87"/>
      <c r="P11" s="87"/>
      <c r="Q11" s="87"/>
      <c r="R11" s="88"/>
      <c r="S11" s="88"/>
      <c r="T11" s="85"/>
      <c r="U11" s="86"/>
      <c r="V11" s="87"/>
      <c r="W11" s="87"/>
      <c r="X11" s="87"/>
      <c r="Y11" s="87"/>
      <c r="Z11" s="88"/>
      <c r="AA11" s="88"/>
      <c r="AB11" s="85"/>
      <c r="AC11" s="86"/>
      <c r="AD11" s="87"/>
      <c r="AE11" s="87"/>
      <c r="AF11" s="87"/>
      <c r="AG11" s="87"/>
      <c r="AH11" s="88"/>
      <c r="AI11" s="90"/>
      <c r="AM11" t="s">
        <v>61</v>
      </c>
      <c r="AR11" s="85"/>
      <c r="AS11" s="86"/>
      <c r="AT11" s="87"/>
      <c r="AU11" s="87"/>
      <c r="AV11" s="87"/>
      <c r="AW11" s="87"/>
      <c r="AX11" s="88"/>
      <c r="AY11" s="88"/>
    </row>
    <row r="12" spans="1:51" x14ac:dyDescent="0.3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139</v>
      </c>
      <c r="AM12" t="s">
        <v>111</v>
      </c>
      <c r="AN12" t="s">
        <v>252</v>
      </c>
      <c r="AO12" t="s">
        <v>253</v>
      </c>
      <c r="AP12" t="s">
        <v>110</v>
      </c>
      <c r="AR12" s="57"/>
      <c r="AS12" s="58"/>
      <c r="AT12" s="40"/>
      <c r="AU12" s="40"/>
      <c r="AV12" s="40"/>
      <c r="AW12" s="40"/>
      <c r="AX12" s="33"/>
      <c r="AY12" s="33"/>
    </row>
    <row r="13" spans="1:51" x14ac:dyDescent="0.3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183</v>
      </c>
      <c r="AM13" s="20">
        <v>300</v>
      </c>
      <c r="AN13" s="20"/>
      <c r="AO13" s="20"/>
      <c r="AP13" s="20"/>
      <c r="AR13" s="57"/>
      <c r="AS13" s="58"/>
      <c r="AT13" s="40"/>
      <c r="AU13" s="40"/>
      <c r="AV13" s="40"/>
      <c r="AW13" s="40"/>
      <c r="AX13" s="33"/>
      <c r="AY13" s="33"/>
    </row>
    <row r="14" spans="1:51" x14ac:dyDescent="0.3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254</v>
      </c>
      <c r="AM14" s="20">
        <v>100</v>
      </c>
      <c r="AN14" s="20"/>
      <c r="AO14" s="20"/>
      <c r="AP14" s="20"/>
      <c r="AR14" s="57"/>
      <c r="AS14" s="58"/>
      <c r="AT14" s="40"/>
      <c r="AU14" s="40"/>
      <c r="AV14" s="40"/>
      <c r="AW14" s="40"/>
      <c r="AX14" s="33"/>
      <c r="AY14" s="33"/>
    </row>
    <row r="15" spans="1:51" x14ac:dyDescent="0.3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L15" s="17" t="s">
        <v>277</v>
      </c>
      <c r="AM15" s="20">
        <v>50</v>
      </c>
      <c r="AN15" s="20"/>
      <c r="AO15" s="20">
        <v>180</v>
      </c>
      <c r="AP15" s="20">
        <v>150</v>
      </c>
      <c r="AR15" s="57"/>
      <c r="AS15" s="58"/>
      <c r="AT15" s="40"/>
      <c r="AU15" s="40"/>
      <c r="AV15" s="40"/>
      <c r="AW15" s="40"/>
      <c r="AX15" s="33"/>
      <c r="AY15" s="33"/>
    </row>
    <row r="16" spans="1:51" x14ac:dyDescent="0.3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L16" s="17" t="s">
        <v>278</v>
      </c>
      <c r="AM16" s="20">
        <v>50</v>
      </c>
      <c r="AN16" s="20"/>
      <c r="AO16" s="20">
        <v>180</v>
      </c>
      <c r="AP16" s="20">
        <v>150</v>
      </c>
      <c r="AR16" s="57"/>
      <c r="AS16" s="58"/>
      <c r="AT16" s="40"/>
      <c r="AU16" s="40"/>
      <c r="AV16" s="40"/>
      <c r="AW16" s="40"/>
      <c r="AX16" s="33"/>
      <c r="AY16" s="33"/>
    </row>
    <row r="17" spans="2:51" x14ac:dyDescent="0.3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  <c r="AL17" s="17" t="s">
        <v>281</v>
      </c>
      <c r="AM17" s="20">
        <v>100</v>
      </c>
      <c r="AN17" s="20"/>
      <c r="AO17" s="20">
        <v>180</v>
      </c>
      <c r="AP17" s="20">
        <v>150</v>
      </c>
      <c r="AR17" s="57"/>
      <c r="AS17" s="58"/>
      <c r="AT17" s="40"/>
      <c r="AU17" s="40"/>
      <c r="AV17" s="40"/>
      <c r="AW17" s="40"/>
      <c r="AX17" s="33"/>
      <c r="AY17" s="33"/>
    </row>
    <row r="18" spans="2:51" x14ac:dyDescent="0.3">
      <c r="B18" s="63"/>
      <c r="AL18" s="17" t="s">
        <v>50</v>
      </c>
      <c r="AM18" s="20">
        <v>600</v>
      </c>
      <c r="AN18" s="20"/>
      <c r="AO18" s="20">
        <v>540</v>
      </c>
      <c r="AP18" s="20">
        <v>450</v>
      </c>
    </row>
  </sheetData>
  <mergeCells count="6">
    <mergeCell ref="AR1:AY1"/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4"/>
  <sheetViews>
    <sheetView workbookViewId="0"/>
  </sheetViews>
  <sheetFormatPr defaultRowHeight="14.4" x14ac:dyDescent="0.3"/>
  <cols>
    <col min="2" max="2" width="12.5546875" bestFit="1" customWidth="1"/>
    <col min="3" max="3" width="34.21875" bestFit="1" customWidth="1"/>
    <col min="4" max="4" width="14.33203125" customWidth="1"/>
    <col min="5" max="5" width="9.44140625" customWidth="1"/>
    <col min="6" max="6" width="8.21875" bestFit="1" customWidth="1"/>
    <col min="7" max="7" width="13.21875" bestFit="1" customWidth="1"/>
    <col min="8" max="8" width="17.77734375" bestFit="1" customWidth="1"/>
    <col min="9" max="9" width="10.88671875" bestFit="1" customWidth="1"/>
    <col min="10" max="10" width="10.21875" bestFit="1" customWidth="1"/>
  </cols>
  <sheetData>
    <row r="1" spans="2:8" x14ac:dyDescent="0.3">
      <c r="B1" s="16" t="s">
        <v>246</v>
      </c>
      <c r="C1" t="s">
        <v>217</v>
      </c>
    </row>
    <row r="2" spans="2:8" x14ac:dyDescent="0.3">
      <c r="G2" s="16" t="s">
        <v>216</v>
      </c>
      <c r="H2" t="s">
        <v>217</v>
      </c>
    </row>
    <row r="3" spans="2:8" x14ac:dyDescent="0.3">
      <c r="B3" s="16" t="s">
        <v>139</v>
      </c>
      <c r="C3" t="s">
        <v>189</v>
      </c>
      <c r="G3" s="16" t="s">
        <v>246</v>
      </c>
      <c r="H3" t="s">
        <v>217</v>
      </c>
    </row>
    <row r="4" spans="2:8" x14ac:dyDescent="0.3">
      <c r="B4" s="17" t="s">
        <v>61</v>
      </c>
      <c r="C4" s="20">
        <v>60</v>
      </c>
    </row>
    <row r="5" spans="2:8" x14ac:dyDescent="0.3">
      <c r="B5" s="17" t="s">
        <v>50</v>
      </c>
      <c r="C5" s="20">
        <v>60</v>
      </c>
      <c r="G5" s="16" t="s">
        <v>139</v>
      </c>
      <c r="H5" t="s">
        <v>143</v>
      </c>
    </row>
    <row r="6" spans="2:8" x14ac:dyDescent="0.3">
      <c r="G6" s="17" t="s">
        <v>183</v>
      </c>
      <c r="H6" s="20">
        <v>20</v>
      </c>
    </row>
    <row r="7" spans="2:8" x14ac:dyDescent="0.3">
      <c r="G7" s="17" t="s">
        <v>222</v>
      </c>
      <c r="H7" s="20">
        <v>15</v>
      </c>
    </row>
    <row r="8" spans="2:8" x14ac:dyDescent="0.3">
      <c r="G8" s="17" t="s">
        <v>50</v>
      </c>
      <c r="H8" s="20">
        <v>35</v>
      </c>
    </row>
    <row r="15" spans="2:8" x14ac:dyDescent="0.3">
      <c r="B15" t="s">
        <v>187</v>
      </c>
      <c r="C15" t="s">
        <v>190</v>
      </c>
      <c r="D15" t="s">
        <v>191</v>
      </c>
    </row>
    <row r="16" spans="2:8" x14ac:dyDescent="0.3">
      <c r="B16" t="s">
        <v>261</v>
      </c>
      <c r="C16" s="20">
        <v>112</v>
      </c>
      <c r="D16" s="20">
        <v>241.5</v>
      </c>
    </row>
    <row r="17" spans="2:4" x14ac:dyDescent="0.3">
      <c r="B17" t="s">
        <v>262</v>
      </c>
      <c r="C17" s="20">
        <v>24.5</v>
      </c>
      <c r="D17" s="20">
        <v>282.25</v>
      </c>
    </row>
    <row r="18" spans="2:4" x14ac:dyDescent="0.3">
      <c r="B18" t="s">
        <v>263</v>
      </c>
      <c r="C18" s="20">
        <v>27.5</v>
      </c>
      <c r="D18" s="20">
        <v>244.25</v>
      </c>
    </row>
    <row r="19" spans="2:4" x14ac:dyDescent="0.3">
      <c r="B19" t="s">
        <v>264</v>
      </c>
      <c r="C19" s="20">
        <v>15.5</v>
      </c>
      <c r="D19" s="20">
        <v>184</v>
      </c>
    </row>
    <row r="20" spans="2:4" x14ac:dyDescent="0.3">
      <c r="B20" t="s">
        <v>265</v>
      </c>
      <c r="C20" s="20">
        <v>7</v>
      </c>
      <c r="D20" s="20">
        <v>142</v>
      </c>
    </row>
    <row r="21" spans="2:4" x14ac:dyDescent="0.3">
      <c r="B21" t="s">
        <v>266</v>
      </c>
      <c r="C21" s="20">
        <v>60</v>
      </c>
      <c r="D21" s="20">
        <v>148.5</v>
      </c>
    </row>
    <row r="22" spans="2:4" x14ac:dyDescent="0.3">
      <c r="B22" t="s">
        <v>267</v>
      </c>
      <c r="C22" s="20">
        <f>GETPIVOTDATA("Epic Not Decomposed Estimate",$B$3)</f>
        <v>60</v>
      </c>
      <c r="D22" s="20">
        <f>GETPIVOTDATA("Story Points",$G$5)</f>
        <v>35</v>
      </c>
    </row>
    <row r="23" spans="2:4" x14ac:dyDescent="0.3">
      <c r="C23" s="20"/>
      <c r="D23" s="20"/>
    </row>
    <row r="24" spans="2:4" x14ac:dyDescent="0.3">
      <c r="C24" s="20"/>
      <c r="D24" s="20"/>
    </row>
  </sheetData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4" x14ac:dyDescent="0.3"/>
  <cols>
    <col min="1" max="1" width="13.109375" bestFit="1" customWidth="1"/>
    <col min="2" max="2" width="17.77734375" bestFit="1" customWidth="1"/>
    <col min="3" max="3" width="9.33203125" customWidth="1"/>
    <col min="4" max="4" width="8.6640625" customWidth="1"/>
    <col min="5" max="5" width="10.21875" bestFit="1" customWidth="1"/>
  </cols>
  <sheetData>
    <row r="1" spans="1:2" x14ac:dyDescent="0.3">
      <c r="A1" s="16" t="s">
        <v>134</v>
      </c>
      <c r="B1" t="s">
        <v>260</v>
      </c>
    </row>
    <row r="2" spans="1:2" x14ac:dyDescent="0.3">
      <c r="A2" s="16" t="s">
        <v>9</v>
      </c>
      <c r="B2" t="s">
        <v>152</v>
      </c>
    </row>
    <row r="3" spans="1:2" x14ac:dyDescent="0.3">
      <c r="A3" s="16" t="s">
        <v>112</v>
      </c>
      <c r="B3" t="s">
        <v>176</v>
      </c>
    </row>
    <row r="4" spans="1:2" x14ac:dyDescent="0.3">
      <c r="A4" s="16" t="s">
        <v>246</v>
      </c>
      <c r="B4" t="s">
        <v>217</v>
      </c>
    </row>
    <row r="6" spans="1:2" x14ac:dyDescent="0.3">
      <c r="A6" s="16" t="s">
        <v>139</v>
      </c>
      <c r="B6" t="s">
        <v>143</v>
      </c>
    </row>
    <row r="7" spans="1:2" x14ac:dyDescent="0.3">
      <c r="A7" s="17" t="s">
        <v>150</v>
      </c>
      <c r="B7" s="20">
        <v>100</v>
      </c>
    </row>
    <row r="8" spans="1:2" x14ac:dyDescent="0.3">
      <c r="A8" s="17" t="s">
        <v>148</v>
      </c>
      <c r="B8" s="20">
        <v>100</v>
      </c>
    </row>
    <row r="9" spans="1:2" x14ac:dyDescent="0.3">
      <c r="A9" s="17" t="s">
        <v>147</v>
      </c>
      <c r="B9" s="20">
        <v>100</v>
      </c>
    </row>
    <row r="10" spans="1:2" x14ac:dyDescent="0.3">
      <c r="A10" s="17" t="s">
        <v>174</v>
      </c>
      <c r="B10" s="20">
        <v>100</v>
      </c>
    </row>
    <row r="11" spans="1:2" x14ac:dyDescent="0.3">
      <c r="A11" s="17" t="s">
        <v>146</v>
      </c>
      <c r="B11" s="20">
        <v>90</v>
      </c>
    </row>
    <row r="12" spans="1:2" x14ac:dyDescent="0.3">
      <c r="A12" s="17" t="s">
        <v>50</v>
      </c>
      <c r="B12" s="20">
        <v>490</v>
      </c>
    </row>
    <row r="13" spans="1:2" x14ac:dyDescent="0.3">
      <c r="A13" s="17" t="s">
        <v>50</v>
      </c>
      <c r="B13">
        <f>GETPIVOTDATA("Story Points", $A$6)</f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6"/>
  <sheetViews>
    <sheetView workbookViewId="0"/>
  </sheetViews>
  <sheetFormatPr defaultRowHeight="14.4" x14ac:dyDescent="0.3"/>
  <cols>
    <col min="2" max="2" width="12.5546875" bestFit="1" customWidth="1"/>
    <col min="3" max="3" width="17.77734375" bestFit="1" customWidth="1"/>
    <col min="4" max="4" width="6.77734375" bestFit="1" customWidth="1"/>
    <col min="5" max="5" width="3.77734375" bestFit="1" customWidth="1"/>
    <col min="6" max="6" width="4.77734375" bestFit="1" customWidth="1"/>
    <col min="7" max="9" width="10.21875" bestFit="1" customWidth="1"/>
    <col min="11" max="13" width="9.88671875" customWidth="1"/>
  </cols>
  <sheetData>
    <row r="1" spans="2:13" x14ac:dyDescent="0.3">
      <c r="B1" s="16" t="s">
        <v>9</v>
      </c>
      <c r="C1" t="s">
        <v>152</v>
      </c>
    </row>
    <row r="2" spans="2:13" x14ac:dyDescent="0.3">
      <c r="B2" s="16" t="s">
        <v>0</v>
      </c>
      <c r="C2" t="s">
        <v>152</v>
      </c>
    </row>
    <row r="3" spans="2:13" x14ac:dyDescent="0.3">
      <c r="B3" s="16" t="s">
        <v>246</v>
      </c>
      <c r="C3" t="s">
        <v>217</v>
      </c>
    </row>
    <row r="5" spans="2:13" x14ac:dyDescent="0.3">
      <c r="B5" s="16" t="s">
        <v>139</v>
      </c>
      <c r="C5" t="s">
        <v>143</v>
      </c>
      <c r="K5" s="39" t="s">
        <v>188</v>
      </c>
    </row>
    <row r="6" spans="2:13" x14ac:dyDescent="0.3">
      <c r="B6" s="17" t="s">
        <v>261</v>
      </c>
      <c r="C6" s="20">
        <v>100</v>
      </c>
      <c r="K6" t="s">
        <v>187</v>
      </c>
      <c r="L6" t="s">
        <v>236</v>
      </c>
      <c r="M6" t="s">
        <v>186</v>
      </c>
    </row>
    <row r="7" spans="2:13" x14ac:dyDescent="0.3">
      <c r="B7" s="17" t="s">
        <v>262</v>
      </c>
      <c r="C7" s="20">
        <v>60</v>
      </c>
      <c r="K7" t="s">
        <v>261</v>
      </c>
      <c r="L7">
        <v>77.7</v>
      </c>
    </row>
    <row r="8" spans="2:13" x14ac:dyDescent="0.3">
      <c r="B8" s="17" t="s">
        <v>263</v>
      </c>
      <c r="C8" s="20">
        <v>30</v>
      </c>
      <c r="K8" t="s">
        <v>262</v>
      </c>
      <c r="L8">
        <v>91.25</v>
      </c>
    </row>
    <row r="9" spans="2:13" x14ac:dyDescent="0.3">
      <c r="B9" s="17" t="s">
        <v>264</v>
      </c>
      <c r="C9" s="20">
        <v>60</v>
      </c>
      <c r="K9" t="s">
        <v>263</v>
      </c>
      <c r="L9">
        <v>114.7</v>
      </c>
    </row>
    <row r="10" spans="2:13" x14ac:dyDescent="0.3">
      <c r="B10" s="17" t="s">
        <v>265</v>
      </c>
      <c r="C10" s="20">
        <v>60</v>
      </c>
      <c r="K10" t="s">
        <v>264</v>
      </c>
      <c r="L10">
        <v>105.25</v>
      </c>
    </row>
    <row r="11" spans="2:13" x14ac:dyDescent="0.3">
      <c r="B11" s="17" t="s">
        <v>266</v>
      </c>
      <c r="C11" s="20">
        <v>60</v>
      </c>
      <c r="K11" t="s">
        <v>265</v>
      </c>
      <c r="L11">
        <v>108.3</v>
      </c>
    </row>
    <row r="12" spans="2:13" x14ac:dyDescent="0.3">
      <c r="B12" s="17" t="s">
        <v>267</v>
      </c>
      <c r="C12" s="20"/>
      <c r="K12" t="s">
        <v>266</v>
      </c>
      <c r="L12">
        <v>93</v>
      </c>
    </row>
    <row r="13" spans="2:13" x14ac:dyDescent="0.3">
      <c r="B13" s="17" t="s">
        <v>50</v>
      </c>
      <c r="C13" s="20">
        <v>370</v>
      </c>
      <c r="K13" t="s">
        <v>267</v>
      </c>
      <c r="M13" s="20"/>
    </row>
    <row r="14" spans="2:13" x14ac:dyDescent="0.3">
      <c r="K14" t="s">
        <v>186</v>
      </c>
      <c r="L14">
        <f>SUBTOTAL(109,Table1[R&amp;D])</f>
        <v>590.20000000000005</v>
      </c>
      <c r="M14">
        <f>SUBTOTAL(109,Table1[Total])</f>
        <v>0</v>
      </c>
    </row>
    <row r="15" spans="2:13" x14ac:dyDescent="0.3">
      <c r="M15" s="20"/>
    </row>
    <row r="16" spans="2:13" x14ac:dyDescent="0.3">
      <c r="M16" s="20"/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N29" sqref="N29"/>
    </sheetView>
  </sheetViews>
  <sheetFormatPr defaultRowHeight="14.4" x14ac:dyDescent="0.3"/>
  <cols>
    <col min="1" max="1" width="11.5546875" customWidth="1"/>
    <col min="2" max="2" width="11.44140625" customWidth="1"/>
    <col min="4" max="4" width="12.5546875" bestFit="1" customWidth="1"/>
    <col min="5" max="5" width="17.77734375" bestFit="1" customWidth="1"/>
  </cols>
  <sheetData>
    <row r="1" spans="1:5" x14ac:dyDescent="0.3">
      <c r="A1" s="31" t="s">
        <v>142</v>
      </c>
      <c r="B1" t="str">
        <f>$E$2</f>
        <v>Wavelength7</v>
      </c>
      <c r="D1" s="16" t="s">
        <v>9</v>
      </c>
      <c r="E1" t="s">
        <v>152</v>
      </c>
    </row>
    <row r="2" spans="1:5" x14ac:dyDescent="0.3">
      <c r="D2" s="16" t="s">
        <v>140</v>
      </c>
      <c r="E2" t="s">
        <v>275</v>
      </c>
    </row>
    <row r="3" spans="1:5" x14ac:dyDescent="0.3">
      <c r="D3" s="16" t="s">
        <v>246</v>
      </c>
      <c r="E3" t="s">
        <v>217</v>
      </c>
    </row>
    <row r="5" spans="1:5" x14ac:dyDescent="0.3">
      <c r="D5" s="16" t="s">
        <v>139</v>
      </c>
      <c r="E5" t="s">
        <v>143</v>
      </c>
    </row>
    <row r="6" spans="1:5" x14ac:dyDescent="0.3">
      <c r="D6" s="17" t="s">
        <v>150</v>
      </c>
      <c r="E6" s="20">
        <v>1</v>
      </c>
    </row>
    <row r="7" spans="1:5" x14ac:dyDescent="0.3">
      <c r="D7" s="17" t="s">
        <v>148</v>
      </c>
      <c r="E7" s="20">
        <v>1</v>
      </c>
    </row>
    <row r="8" spans="1:5" x14ac:dyDescent="0.3">
      <c r="D8" s="17" t="s">
        <v>147</v>
      </c>
      <c r="E8" s="20">
        <v>1</v>
      </c>
    </row>
    <row r="9" spans="1:5" x14ac:dyDescent="0.3">
      <c r="D9" s="17" t="s">
        <v>174</v>
      </c>
      <c r="E9" s="20">
        <v>1</v>
      </c>
    </row>
    <row r="10" spans="1:5" x14ac:dyDescent="0.3">
      <c r="D10" s="17" t="s">
        <v>146</v>
      </c>
      <c r="E10" s="20">
        <v>1</v>
      </c>
    </row>
    <row r="11" spans="1:5" x14ac:dyDescent="0.3">
      <c r="D11" s="17" t="s">
        <v>149</v>
      </c>
      <c r="E11" s="20">
        <v>1</v>
      </c>
    </row>
    <row r="12" spans="1:5" x14ac:dyDescent="0.3">
      <c r="D12" s="17" t="s">
        <v>151</v>
      </c>
      <c r="E12" s="20"/>
    </row>
    <row r="13" spans="1:5" x14ac:dyDescent="0.3">
      <c r="D13" s="17" t="s">
        <v>183</v>
      </c>
      <c r="E13" s="20">
        <v>10</v>
      </c>
    </row>
    <row r="14" spans="1:5" x14ac:dyDescent="0.3">
      <c r="D14" s="17" t="s">
        <v>50</v>
      </c>
      <c r="E14" s="20">
        <v>16</v>
      </c>
    </row>
    <row r="15" spans="1:5" x14ac:dyDescent="0.3">
      <c r="D15" t="s">
        <v>50</v>
      </c>
      <c r="E15">
        <f>GETPIVOTDATA("Story Points", $D$5)</f>
        <v>16</v>
      </c>
    </row>
    <row r="16" spans="1:5" x14ac:dyDescent="0.3">
      <c r="D16" t="s">
        <v>251</v>
      </c>
      <c r="E16" t="str">
        <f>"Sprint " &amp; SUBSTITUTE($B$1,"Venus", "") &amp; " Progress"</f>
        <v>Sprint Wavelength7 Progress</v>
      </c>
    </row>
  </sheetData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"/>
  <sheetViews>
    <sheetView showGridLines="0" workbookViewId="0">
      <selection activeCell="B5" sqref="B5"/>
    </sheetView>
  </sheetViews>
  <sheetFormatPr defaultRowHeight="14.4" x14ac:dyDescent="0.3"/>
  <cols>
    <col min="9" max="9" width="12.109375" bestFit="1" customWidth="1"/>
    <col min="10" max="10" width="15.6640625" bestFit="1" customWidth="1"/>
    <col min="11" max="11" width="4.44140625" bestFit="1" customWidth="1"/>
    <col min="12" max="12" width="7.5546875" bestFit="1" customWidth="1"/>
    <col min="13" max="13" width="4.109375" bestFit="1" customWidth="1"/>
    <col min="14" max="14" width="6.5546875" bestFit="1" customWidth="1"/>
    <col min="15" max="15" width="10.21875" bestFit="1" customWidth="1"/>
  </cols>
  <sheetData>
    <row r="5" ht="13.8" customHeight="1" x14ac:dyDescent="0.3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2"/>
  <sheetViews>
    <sheetView workbookViewId="0"/>
  </sheetViews>
  <sheetFormatPr defaultRowHeight="14.4" x14ac:dyDescent="0.3"/>
  <cols>
    <col min="2" max="2" width="13.109375" bestFit="1" customWidth="1"/>
    <col min="3" max="3" width="15.5546875" bestFit="1" customWidth="1"/>
    <col min="4" max="4" width="4.77734375" bestFit="1" customWidth="1"/>
    <col min="5" max="5" width="8.109375" bestFit="1" customWidth="1"/>
    <col min="6" max="6" width="4.44140625" bestFit="1" customWidth="1"/>
    <col min="7" max="7" width="6.88671875" bestFit="1" customWidth="1"/>
    <col min="8" max="8" width="10.77734375" bestFit="1" customWidth="1"/>
    <col min="9" max="9" width="6.88671875" bestFit="1" customWidth="1"/>
    <col min="10" max="10" width="10.77734375" bestFit="1" customWidth="1"/>
  </cols>
  <sheetData>
    <row r="1" spans="1:7" x14ac:dyDescent="0.3">
      <c r="A1" t="s">
        <v>153</v>
      </c>
    </row>
    <row r="2" spans="1:7" x14ac:dyDescent="0.3">
      <c r="A2" t="s">
        <v>160</v>
      </c>
      <c r="G2" t="s">
        <v>250</v>
      </c>
    </row>
    <row r="3" spans="1:7" x14ac:dyDescent="0.3">
      <c r="G3" t="s">
        <v>248</v>
      </c>
    </row>
    <row r="4" spans="1:7" x14ac:dyDescent="0.3">
      <c r="B4" s="16" t="s">
        <v>134</v>
      </c>
      <c r="C4" t="s">
        <v>260</v>
      </c>
    </row>
    <row r="5" spans="1:7" x14ac:dyDescent="0.3">
      <c r="B5" s="16" t="s">
        <v>9</v>
      </c>
      <c r="C5" t="s">
        <v>65</v>
      </c>
    </row>
    <row r="6" spans="1:7" x14ac:dyDescent="0.3">
      <c r="B6" s="16" t="s">
        <v>112</v>
      </c>
      <c r="C6" t="s">
        <v>176</v>
      </c>
    </row>
    <row r="7" spans="1:7" x14ac:dyDescent="0.3">
      <c r="B7" s="16" t="s">
        <v>0</v>
      </c>
      <c r="C7" t="s">
        <v>152</v>
      </c>
    </row>
    <row r="9" spans="1:7" x14ac:dyDescent="0.3">
      <c r="B9" s="16" t="s">
        <v>139</v>
      </c>
      <c r="C9" t="s">
        <v>159</v>
      </c>
    </row>
    <row r="10" spans="1:7" x14ac:dyDescent="0.3">
      <c r="B10" s="17" t="s">
        <v>154</v>
      </c>
      <c r="C10" s="20">
        <v>1</v>
      </c>
    </row>
    <row r="11" spans="1:7" x14ac:dyDescent="0.3">
      <c r="B11" s="17" t="s">
        <v>155</v>
      </c>
      <c r="C11" s="20">
        <v>1</v>
      </c>
    </row>
    <row r="12" spans="1:7" x14ac:dyDescent="0.3">
      <c r="B12" s="17" t="s">
        <v>156</v>
      </c>
      <c r="C12" s="20">
        <v>1</v>
      </c>
    </row>
    <row r="13" spans="1:7" x14ac:dyDescent="0.3">
      <c r="B13" s="17" t="s">
        <v>157</v>
      </c>
      <c r="C13" s="20">
        <v>1</v>
      </c>
    </row>
    <row r="14" spans="1:7" x14ac:dyDescent="0.3">
      <c r="B14" s="17" t="s">
        <v>158</v>
      </c>
      <c r="C14" s="20">
        <v>1</v>
      </c>
    </row>
    <row r="15" spans="1:7" x14ac:dyDescent="0.3">
      <c r="B15" s="17" t="s">
        <v>50</v>
      </c>
      <c r="C15" s="20">
        <v>5</v>
      </c>
    </row>
    <row r="18" spans="2:8" x14ac:dyDescent="0.3">
      <c r="B18" s="17" t="s">
        <v>50</v>
      </c>
      <c r="C18">
        <f>GETPIVOTDATA("Key", $B$9)</f>
        <v>5</v>
      </c>
    </row>
    <row r="24" spans="2:8" x14ac:dyDescent="0.3">
      <c r="B24" s="16" t="s">
        <v>134</v>
      </c>
      <c r="C24" t="s">
        <v>260</v>
      </c>
    </row>
    <row r="25" spans="2:8" x14ac:dyDescent="0.3">
      <c r="B25" s="16" t="s">
        <v>9</v>
      </c>
      <c r="C25" t="s">
        <v>65</v>
      </c>
    </row>
    <row r="26" spans="2:8" x14ac:dyDescent="0.3">
      <c r="B26" s="16" t="s">
        <v>112</v>
      </c>
      <c r="C26" t="s">
        <v>176</v>
      </c>
    </row>
    <row r="27" spans="2:8" x14ac:dyDescent="0.3">
      <c r="B27" s="16" t="s">
        <v>0</v>
      </c>
      <c r="C27" t="s">
        <v>80</v>
      </c>
    </row>
    <row r="29" spans="2:8" x14ac:dyDescent="0.3">
      <c r="B29" s="16" t="s">
        <v>159</v>
      </c>
      <c r="C29" s="16" t="s">
        <v>161</v>
      </c>
    </row>
    <row r="30" spans="2:8" x14ac:dyDescent="0.3">
      <c r="B30" s="16" t="s">
        <v>139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50</v>
      </c>
    </row>
    <row r="31" spans="2:8" x14ac:dyDescent="0.3">
      <c r="B31" s="17" t="s">
        <v>261</v>
      </c>
      <c r="C31" s="20">
        <v>2</v>
      </c>
      <c r="D31" s="20">
        <v>1</v>
      </c>
      <c r="E31" s="20">
        <v>1</v>
      </c>
      <c r="F31" s="20">
        <v>1</v>
      </c>
      <c r="G31" s="20">
        <v>1</v>
      </c>
      <c r="H31" s="20">
        <v>6</v>
      </c>
    </row>
    <row r="32" spans="2:8" x14ac:dyDescent="0.3">
      <c r="B32" s="17" t="s">
        <v>262</v>
      </c>
      <c r="C32" s="20"/>
      <c r="D32" s="20"/>
      <c r="E32" s="20"/>
      <c r="F32" s="20"/>
      <c r="G32" s="20"/>
      <c r="H32" s="20"/>
    </row>
    <row r="33" spans="2:8" x14ac:dyDescent="0.3">
      <c r="B33" s="17" t="s">
        <v>263</v>
      </c>
      <c r="C33" s="20"/>
      <c r="D33" s="20"/>
      <c r="E33" s="20"/>
      <c r="F33" s="20"/>
      <c r="G33" s="20"/>
      <c r="H33" s="20"/>
    </row>
    <row r="34" spans="2:8" x14ac:dyDescent="0.3">
      <c r="B34" s="17" t="s">
        <v>264</v>
      </c>
      <c r="C34" s="20"/>
      <c r="D34" s="20"/>
      <c r="E34" s="20"/>
      <c r="F34" s="20">
        <v>1</v>
      </c>
      <c r="G34" s="20"/>
      <c r="H34" s="20">
        <v>1</v>
      </c>
    </row>
    <row r="35" spans="2:8" x14ac:dyDescent="0.3">
      <c r="B35" s="17" t="s">
        <v>265</v>
      </c>
      <c r="C35" s="20"/>
      <c r="D35" s="20"/>
      <c r="E35" s="20"/>
      <c r="F35" s="20"/>
      <c r="G35" s="20"/>
      <c r="H35" s="20"/>
    </row>
    <row r="36" spans="2:8" x14ac:dyDescent="0.3">
      <c r="B36" s="17" t="s">
        <v>266</v>
      </c>
      <c r="C36" s="20"/>
      <c r="D36" s="20"/>
      <c r="E36" s="20"/>
      <c r="F36" s="20"/>
      <c r="G36" s="20"/>
      <c r="H36" s="20"/>
    </row>
    <row r="37" spans="2:8" x14ac:dyDescent="0.3">
      <c r="B37" s="17" t="s">
        <v>267</v>
      </c>
      <c r="C37" s="20"/>
      <c r="D37" s="20"/>
      <c r="E37" s="20"/>
      <c r="F37" s="20"/>
      <c r="G37" s="20"/>
      <c r="H37" s="20"/>
    </row>
    <row r="38" spans="2:8" x14ac:dyDescent="0.3">
      <c r="B38" s="17" t="s">
        <v>283</v>
      </c>
      <c r="C38" s="20"/>
      <c r="D38" s="20"/>
      <c r="E38" s="20"/>
      <c r="F38" s="20"/>
      <c r="G38" s="20"/>
      <c r="H38" s="20"/>
    </row>
    <row r="39" spans="2:8" x14ac:dyDescent="0.3">
      <c r="B39" s="17" t="s">
        <v>50</v>
      </c>
      <c r="C39" s="20">
        <v>2</v>
      </c>
      <c r="D39" s="20">
        <v>1</v>
      </c>
      <c r="E39" s="20">
        <v>1</v>
      </c>
      <c r="F39" s="20">
        <v>2</v>
      </c>
      <c r="G39" s="20">
        <v>1</v>
      </c>
      <c r="H39" s="20">
        <v>7</v>
      </c>
    </row>
    <row r="41" spans="2:8" x14ac:dyDescent="0.3">
      <c r="B41" s="17"/>
      <c r="C41" s="20"/>
      <c r="D41" s="20"/>
      <c r="E41" s="20"/>
      <c r="F41" s="20"/>
      <c r="G41" s="20"/>
      <c r="H41" s="20"/>
    </row>
    <row r="42" spans="2:8" x14ac:dyDescent="0.3">
      <c r="B42" s="81" t="s">
        <v>139</v>
      </c>
      <c r="C42" s="81" t="s">
        <v>154</v>
      </c>
      <c r="D42" s="81" t="s">
        <v>155</v>
      </c>
      <c r="E42" s="81" t="s">
        <v>156</v>
      </c>
      <c r="F42" s="81" t="s">
        <v>157</v>
      </c>
      <c r="G42" s="81" t="s">
        <v>158</v>
      </c>
      <c r="H42" s="81" t="s">
        <v>50</v>
      </c>
    </row>
    <row r="43" spans="2:8" x14ac:dyDescent="0.3">
      <c r="B43" s="17" t="str">
        <f>B31</f>
        <v>W1</v>
      </c>
      <c r="C43" s="20">
        <f>IF(C31=0,"",C31)</f>
        <v>2</v>
      </c>
      <c r="D43" s="20">
        <f t="shared" ref="D43:H43" si="0">IF(D31=0,"",D31)</f>
        <v>1</v>
      </c>
      <c r="E43" s="20">
        <f t="shared" si="0"/>
        <v>1</v>
      </c>
      <c r="F43" s="20">
        <f t="shared" si="0"/>
        <v>1</v>
      </c>
      <c r="G43" s="20">
        <f t="shared" si="0"/>
        <v>1</v>
      </c>
      <c r="H43" s="20">
        <f t="shared" si="0"/>
        <v>6</v>
      </c>
    </row>
    <row r="44" spans="2:8" x14ac:dyDescent="0.3">
      <c r="B44" s="17" t="str">
        <f t="shared" ref="B44:B50" si="1">B32</f>
        <v>W2</v>
      </c>
      <c r="C44" s="20" t="str">
        <f t="shared" ref="C44:H50" si="2">IF(C32=0,"",C32)</f>
        <v/>
      </c>
      <c r="D44" s="20" t="str">
        <f t="shared" si="2"/>
        <v/>
      </c>
      <c r="E44" s="20" t="str">
        <f t="shared" si="2"/>
        <v/>
      </c>
      <c r="F44" s="20" t="str">
        <f t="shared" si="2"/>
        <v/>
      </c>
      <c r="G44" s="20" t="str">
        <f t="shared" si="2"/>
        <v/>
      </c>
      <c r="H44" s="20" t="str">
        <f t="shared" si="2"/>
        <v/>
      </c>
    </row>
    <row r="45" spans="2:8" x14ac:dyDescent="0.3">
      <c r="B45" s="17" t="str">
        <f t="shared" si="1"/>
        <v>W3</v>
      </c>
      <c r="C45" s="20" t="str">
        <f t="shared" si="2"/>
        <v/>
      </c>
      <c r="D45" s="20" t="str">
        <f t="shared" si="2"/>
        <v/>
      </c>
      <c r="E45" s="20" t="str">
        <f t="shared" si="2"/>
        <v/>
      </c>
      <c r="F45" s="20" t="str">
        <f t="shared" si="2"/>
        <v/>
      </c>
      <c r="G45" s="20" t="str">
        <f t="shared" si="2"/>
        <v/>
      </c>
      <c r="H45" s="20" t="str">
        <f t="shared" si="2"/>
        <v/>
      </c>
    </row>
    <row r="46" spans="2:8" x14ac:dyDescent="0.3">
      <c r="B46" s="17" t="str">
        <f t="shared" si="1"/>
        <v>W4</v>
      </c>
      <c r="C46" s="20" t="str">
        <f t="shared" si="2"/>
        <v/>
      </c>
      <c r="D46" s="20" t="str">
        <f t="shared" si="2"/>
        <v/>
      </c>
      <c r="E46" s="20" t="str">
        <f t="shared" si="2"/>
        <v/>
      </c>
      <c r="F46" s="20">
        <f t="shared" si="2"/>
        <v>1</v>
      </c>
      <c r="G46" s="20" t="str">
        <f t="shared" si="2"/>
        <v/>
      </c>
      <c r="H46" s="20">
        <f t="shared" si="2"/>
        <v>1</v>
      </c>
    </row>
    <row r="47" spans="2:8" x14ac:dyDescent="0.3">
      <c r="B47" s="17" t="str">
        <f t="shared" si="1"/>
        <v>W5</v>
      </c>
      <c r="C47" s="20" t="str">
        <f t="shared" si="2"/>
        <v/>
      </c>
      <c r="D47" s="20" t="str">
        <f t="shared" si="2"/>
        <v/>
      </c>
      <c r="E47" s="20" t="str">
        <f t="shared" si="2"/>
        <v/>
      </c>
      <c r="F47" s="20" t="str">
        <f t="shared" si="2"/>
        <v/>
      </c>
      <c r="G47" s="20" t="str">
        <f t="shared" si="2"/>
        <v/>
      </c>
      <c r="H47" s="20" t="str">
        <f t="shared" si="2"/>
        <v/>
      </c>
    </row>
    <row r="48" spans="2:8" x14ac:dyDescent="0.3">
      <c r="B48" s="17" t="str">
        <f t="shared" si="1"/>
        <v>W6</v>
      </c>
      <c r="C48" s="20" t="str">
        <f t="shared" si="2"/>
        <v/>
      </c>
      <c r="D48" s="20" t="str">
        <f t="shared" si="2"/>
        <v/>
      </c>
      <c r="E48" s="20" t="str">
        <f t="shared" si="2"/>
        <v/>
      </c>
      <c r="F48" s="20" t="str">
        <f t="shared" si="2"/>
        <v/>
      </c>
      <c r="G48" s="20" t="str">
        <f t="shared" si="2"/>
        <v/>
      </c>
      <c r="H48" s="20" t="str">
        <f t="shared" si="2"/>
        <v/>
      </c>
    </row>
    <row r="49" spans="2:11" x14ac:dyDescent="0.3">
      <c r="B49" s="17" t="str">
        <f t="shared" si="1"/>
        <v>W7</v>
      </c>
      <c r="C49" s="20" t="str">
        <f t="shared" si="2"/>
        <v/>
      </c>
      <c r="D49" s="20" t="str">
        <f t="shared" si="2"/>
        <v/>
      </c>
      <c r="E49" s="20" t="str">
        <f t="shared" si="2"/>
        <v/>
      </c>
      <c r="F49" s="20" t="str">
        <f t="shared" si="2"/>
        <v/>
      </c>
      <c r="G49" s="20" t="str">
        <f t="shared" si="2"/>
        <v/>
      </c>
      <c r="H49" s="20" t="str">
        <f t="shared" si="2"/>
        <v/>
      </c>
    </row>
    <row r="50" spans="2:11" x14ac:dyDescent="0.3">
      <c r="B50" s="17" t="str">
        <f t="shared" si="1"/>
        <v>W8</v>
      </c>
      <c r="C50" s="20" t="str">
        <f t="shared" si="2"/>
        <v/>
      </c>
      <c r="D50" s="20" t="str">
        <f t="shared" si="2"/>
        <v/>
      </c>
      <c r="E50" s="20" t="str">
        <f t="shared" si="2"/>
        <v/>
      </c>
      <c r="F50" s="20" t="str">
        <f t="shared" si="2"/>
        <v/>
      </c>
      <c r="G50" s="20" t="str">
        <f t="shared" si="2"/>
        <v/>
      </c>
      <c r="H50" s="20" t="str">
        <f t="shared" si="2"/>
        <v/>
      </c>
    </row>
    <row r="51" spans="2:11" x14ac:dyDescent="0.3">
      <c r="B51" s="17"/>
      <c r="C51" s="20"/>
      <c r="D51" s="20"/>
      <c r="E51" s="20"/>
      <c r="F51" s="20"/>
      <c r="G51" s="20"/>
      <c r="H51" s="20"/>
    </row>
    <row r="52" spans="2:11" x14ac:dyDescent="0.3">
      <c r="K52" s="80"/>
    </row>
  </sheetData>
  <pageMargins left="0.7" right="0.7" top="0.75" bottom="0.75" header="0.3" footer="0.3"/>
  <pageSetup orientation="portrait" r:id="rId3"/>
  <tableParts count="1"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AV110"/>
  <sheetViews>
    <sheetView zoomScale="90" zoomScaleNormal="90" workbookViewId="0">
      <pane ySplit="1" topLeftCell="A53" activePane="bottomLeft" state="frozen"/>
      <selection activeCell="C3" sqref="C3"/>
      <selection pane="bottomLeft" activeCell="A53" sqref="A53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0" width="22.109375" style="5" customWidth="1"/>
    <col min="31" max="31" width="14.109375" style="5" customWidth="1"/>
    <col min="32" max="32" width="12.44140625" style="5" customWidth="1"/>
    <col min="33" max="33" width="22.109375" style="5" customWidth="1"/>
    <col min="34" max="34" width="13.5546875" style="5" customWidth="1"/>
    <col min="35" max="35" width="12.109375" style="5" customWidth="1"/>
    <col min="36" max="36" width="20.21875" style="5" customWidth="1"/>
    <col min="37" max="38" width="16.77734375" style="5" customWidth="1"/>
    <col min="39" max="39" width="18.88671875" style="5" customWidth="1"/>
    <col min="40" max="40" width="17.77734375" style="5" customWidth="1"/>
    <col min="41" max="41" width="18.33203125" style="5" customWidth="1"/>
    <col min="42" max="42" width="21.5546875" style="5" customWidth="1"/>
    <col min="43" max="43" width="19.88671875" style="5" customWidth="1"/>
    <col min="44" max="44" width="18.77734375" style="5" customWidth="1"/>
    <col min="45" max="45" width="20.6640625" style="5" customWidth="1"/>
    <col min="46" max="46" width="11.88671875" style="5" customWidth="1"/>
    <col min="47" max="47" width="13.77734375" style="5" customWidth="1"/>
    <col min="48" max="16384" width="9.109375" style="3"/>
  </cols>
  <sheetData>
    <row r="1" spans="1:48" x14ac:dyDescent="0.3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116</v>
      </c>
      <c r="X1" s="1" t="s">
        <v>21</v>
      </c>
      <c r="Y1" s="1" t="s">
        <v>119</v>
      </c>
      <c r="Z1" s="1" t="s">
        <v>125</v>
      </c>
      <c r="AA1" s="1" t="s">
        <v>127</v>
      </c>
      <c r="AB1" s="1" t="s">
        <v>129</v>
      </c>
      <c r="AC1" s="1" t="s">
        <v>131</v>
      </c>
      <c r="AD1" s="1" t="s">
        <v>133</v>
      </c>
      <c r="AE1" s="1" t="s">
        <v>140</v>
      </c>
      <c r="AF1" s="1" t="s">
        <v>162</v>
      </c>
      <c r="AG1" s="1" t="s">
        <v>134</v>
      </c>
      <c r="AH1" s="1" t="s">
        <v>43</v>
      </c>
      <c r="AI1" s="1" t="s">
        <v>144</v>
      </c>
      <c r="AJ1" s="1" t="s">
        <v>280</v>
      </c>
      <c r="AK1" s="1" t="s">
        <v>44</v>
      </c>
      <c r="AL1" s="1" t="s">
        <v>112</v>
      </c>
      <c r="AM1" s="1" t="s">
        <v>113</v>
      </c>
      <c r="AN1" s="1" t="s">
        <v>169</v>
      </c>
      <c r="AO1" s="1" t="s">
        <v>168</v>
      </c>
      <c r="AP1" s="1" t="s">
        <v>170</v>
      </c>
      <c r="AQ1" s="1" t="s">
        <v>121</v>
      </c>
      <c r="AR1" s="1" t="s">
        <v>48</v>
      </c>
      <c r="AS1" s="1" t="s">
        <v>237</v>
      </c>
      <c r="AT1" s="1" t="s">
        <v>246</v>
      </c>
      <c r="AU1" s="1" t="s">
        <v>216</v>
      </c>
      <c r="AV1" s="3" t="s">
        <v>256</v>
      </c>
    </row>
    <row r="2" spans="1:48" s="5" customFormat="1" ht="86.4" x14ac:dyDescent="0.3">
      <c r="A2" s="6" t="s">
        <v>60</v>
      </c>
      <c r="B2" s="5" t="s">
        <v>59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117</v>
      </c>
      <c r="X2" s="10" t="s">
        <v>42</v>
      </c>
      <c r="Y2" s="10" t="s">
        <v>120</v>
      </c>
      <c r="Z2" s="11" t="s">
        <v>126</v>
      </c>
      <c r="AA2" s="11" t="s">
        <v>128</v>
      </c>
      <c r="AB2" s="11" t="s">
        <v>130</v>
      </c>
      <c r="AC2" s="15" t="s">
        <v>132</v>
      </c>
      <c r="AD2" s="15" t="s">
        <v>120</v>
      </c>
      <c r="AE2" s="15" t="s">
        <v>141</v>
      </c>
      <c r="AF2" s="15" t="s">
        <v>268</v>
      </c>
      <c r="AG2" s="15" t="s">
        <v>135</v>
      </c>
      <c r="AH2" s="10" t="s">
        <v>46</v>
      </c>
      <c r="AI2" s="10" t="s">
        <v>145</v>
      </c>
      <c r="AJ2" s="10" t="s">
        <v>257</v>
      </c>
      <c r="AK2" s="14" t="s">
        <v>49</v>
      </c>
      <c r="AL2" s="14" t="s">
        <v>115</v>
      </c>
      <c r="AM2" s="14" t="s">
        <v>114</v>
      </c>
      <c r="AN2" s="11" t="s">
        <v>163</v>
      </c>
      <c r="AO2" s="11" t="s">
        <v>164</v>
      </c>
      <c r="AP2" s="11" t="s">
        <v>165</v>
      </c>
      <c r="AQ2" s="15" t="s">
        <v>122</v>
      </c>
      <c r="AR2" s="15" t="s">
        <v>215</v>
      </c>
      <c r="AS2" s="15" t="s">
        <v>238</v>
      </c>
      <c r="AT2" s="15" t="s">
        <v>247</v>
      </c>
      <c r="AU2" s="15" t="s">
        <v>219</v>
      </c>
      <c r="AV2" s="5" t="s">
        <v>11</v>
      </c>
    </row>
    <row r="3" spans="1:48" x14ac:dyDescent="0.3">
      <c r="A3" s="3" t="s">
        <v>53</v>
      </c>
    </row>
    <row r="4" spans="1:48" x14ac:dyDescent="0.3">
      <c r="A4" s="5" t="str">
        <f>"key " &amp; ROW(A4)</f>
        <v>key 4</v>
      </c>
      <c r="B4" s="3" t="s">
        <v>61</v>
      </c>
      <c r="D4" s="4" t="s">
        <v>222</v>
      </c>
      <c r="E4" s="19" t="s">
        <v>85</v>
      </c>
      <c r="V4" s="4" t="s">
        <v>222</v>
      </c>
      <c r="W4" s="4"/>
      <c r="AE4" s="5" t="s">
        <v>269</v>
      </c>
      <c r="AG4" s="5" t="s">
        <v>255</v>
      </c>
      <c r="AI4" s="5" t="s">
        <v>146</v>
      </c>
      <c r="AJ4" s="10" t="s">
        <v>258</v>
      </c>
      <c r="AL4" s="4" t="s">
        <v>222</v>
      </c>
      <c r="AM4" s="4" t="s">
        <v>222</v>
      </c>
      <c r="AN4" s="4"/>
      <c r="AO4" s="4"/>
      <c r="AP4" s="4"/>
      <c r="AQ4" s="4"/>
      <c r="AT4" s="5" t="s">
        <v>217</v>
      </c>
    </row>
    <row r="5" spans="1:48" ht="27.6" x14ac:dyDescent="0.3">
      <c r="A5" s="5" t="str">
        <f t="shared" ref="A5:A68" si="0">"key " &amp; ROW(A5)</f>
        <v>key 5</v>
      </c>
      <c r="B5" s="5" t="s">
        <v>64</v>
      </c>
      <c r="D5" s="4" t="s">
        <v>222</v>
      </c>
      <c r="E5" s="19" t="s">
        <v>86</v>
      </c>
      <c r="G5" s="5"/>
      <c r="J5" s="5"/>
      <c r="N5" s="5">
        <v>5</v>
      </c>
      <c r="V5" s="4" t="s">
        <v>222</v>
      </c>
      <c r="W5" s="4"/>
      <c r="AE5" s="5" t="s">
        <v>270</v>
      </c>
      <c r="AI5" s="5" t="s">
        <v>174</v>
      </c>
      <c r="AJ5" s="10" t="s">
        <v>254</v>
      </c>
      <c r="AL5" s="4" t="s">
        <v>222</v>
      </c>
      <c r="AM5" s="4" t="s">
        <v>222</v>
      </c>
      <c r="AN5" s="4"/>
      <c r="AO5" s="4"/>
      <c r="AP5" s="4"/>
      <c r="AQ5" s="4"/>
      <c r="AT5" s="5" t="s">
        <v>217</v>
      </c>
      <c r="AU5" s="5" t="s">
        <v>217</v>
      </c>
    </row>
    <row r="6" spans="1:48" x14ac:dyDescent="0.3">
      <c r="A6" s="5" t="str">
        <f t="shared" si="0"/>
        <v>key 6</v>
      </c>
      <c r="B6" s="5" t="s">
        <v>62</v>
      </c>
      <c r="C6" s="18" t="s">
        <v>58</v>
      </c>
      <c r="D6" s="4" t="s">
        <v>222</v>
      </c>
      <c r="E6" s="19" t="s">
        <v>87</v>
      </c>
      <c r="N6" s="5">
        <v>10</v>
      </c>
      <c r="V6" s="4" t="s">
        <v>222</v>
      </c>
      <c r="W6" s="4"/>
      <c r="AE6" s="5" t="s">
        <v>271</v>
      </c>
      <c r="AI6" s="5" t="s">
        <v>147</v>
      </c>
      <c r="AJ6" s="5" t="s">
        <v>259</v>
      </c>
      <c r="AL6" s="4" t="s">
        <v>222</v>
      </c>
      <c r="AM6" s="4" t="s">
        <v>222</v>
      </c>
      <c r="AN6" s="4"/>
      <c r="AO6" s="4"/>
      <c r="AP6" s="4"/>
      <c r="AQ6" s="4"/>
      <c r="AT6" s="5" t="s">
        <v>217</v>
      </c>
      <c r="AU6" s="5" t="s">
        <v>217</v>
      </c>
    </row>
    <row r="7" spans="1:48" x14ac:dyDescent="0.3">
      <c r="A7" s="5" t="str">
        <f t="shared" si="0"/>
        <v>key 7</v>
      </c>
      <c r="B7" s="5" t="s">
        <v>63</v>
      </c>
      <c r="D7" s="4" t="s">
        <v>222</v>
      </c>
      <c r="E7" s="19" t="s">
        <v>88</v>
      </c>
      <c r="N7" s="5">
        <v>20</v>
      </c>
      <c r="V7" s="4" t="s">
        <v>222</v>
      </c>
      <c r="W7" s="4"/>
      <c r="AE7" s="5" t="s">
        <v>272</v>
      </c>
      <c r="AI7" s="5" t="s">
        <v>148</v>
      </c>
      <c r="AJ7" s="5" t="s">
        <v>57</v>
      </c>
      <c r="AL7" s="4" t="s">
        <v>222</v>
      </c>
      <c r="AM7" s="4" t="s">
        <v>222</v>
      </c>
      <c r="AN7" s="4"/>
      <c r="AO7" s="4"/>
      <c r="AP7" s="4"/>
      <c r="AQ7" s="4"/>
      <c r="AU7" s="5" t="s">
        <v>217</v>
      </c>
    </row>
    <row r="8" spans="1:48" ht="27.6" x14ac:dyDescent="0.3">
      <c r="A8" s="5" t="str">
        <f t="shared" si="0"/>
        <v>key 8</v>
      </c>
      <c r="B8" s="5" t="s">
        <v>65</v>
      </c>
      <c r="D8" s="4" t="s">
        <v>222</v>
      </c>
      <c r="E8" s="19" t="s">
        <v>89</v>
      </c>
      <c r="V8" s="4" t="s">
        <v>222</v>
      </c>
      <c r="W8" s="4"/>
      <c r="AE8" s="5" t="s">
        <v>273</v>
      </c>
      <c r="AI8" s="5" t="s">
        <v>150</v>
      </c>
      <c r="AJ8" s="10" t="s">
        <v>184</v>
      </c>
      <c r="AL8" s="4" t="s">
        <v>222</v>
      </c>
      <c r="AM8" s="4" t="s">
        <v>222</v>
      </c>
      <c r="AN8" s="4"/>
      <c r="AO8" s="4"/>
      <c r="AP8" s="4"/>
      <c r="AQ8" s="4"/>
      <c r="AT8" s="5" t="s">
        <v>217</v>
      </c>
      <c r="AU8" s="5" t="s">
        <v>218</v>
      </c>
    </row>
    <row r="9" spans="1:48" x14ac:dyDescent="0.3">
      <c r="A9" s="5" t="str">
        <f t="shared" si="0"/>
        <v>key 9</v>
      </c>
      <c r="B9" s="5" t="s">
        <v>57</v>
      </c>
      <c r="D9" s="4" t="s">
        <v>56</v>
      </c>
      <c r="E9" s="19" t="s">
        <v>90</v>
      </c>
      <c r="V9" s="4" t="s">
        <v>56</v>
      </c>
      <c r="W9" s="4"/>
      <c r="AE9" s="5" t="s">
        <v>274</v>
      </c>
      <c r="AI9" s="5" t="s">
        <v>149</v>
      </c>
      <c r="AJ9" s="10" t="s">
        <v>185</v>
      </c>
      <c r="AL9" s="4" t="s">
        <v>56</v>
      </c>
      <c r="AM9" s="4" t="s">
        <v>56</v>
      </c>
      <c r="AN9" s="4"/>
      <c r="AO9" s="4"/>
      <c r="AP9" s="4"/>
      <c r="AQ9" s="4"/>
      <c r="AT9" s="5" t="s">
        <v>217</v>
      </c>
      <c r="AU9" s="5" t="s">
        <v>218</v>
      </c>
    </row>
    <row r="10" spans="1:48" x14ac:dyDescent="0.3">
      <c r="A10" s="5" t="str">
        <f t="shared" si="0"/>
        <v>key 10</v>
      </c>
      <c r="B10" s="5" t="s">
        <v>57</v>
      </c>
      <c r="D10" s="4" t="s">
        <v>222</v>
      </c>
      <c r="E10" s="19" t="s">
        <v>91</v>
      </c>
      <c r="V10" s="4" t="s">
        <v>222</v>
      </c>
      <c r="W10" s="4"/>
      <c r="AE10" s="5" t="s">
        <v>275</v>
      </c>
      <c r="AI10" s="5" t="s">
        <v>151</v>
      </c>
      <c r="AL10" s="4" t="s">
        <v>222</v>
      </c>
      <c r="AM10" s="4" t="s">
        <v>222</v>
      </c>
      <c r="AN10" s="4"/>
      <c r="AO10" s="4"/>
      <c r="AP10" s="4"/>
      <c r="AQ10" s="4"/>
      <c r="AT10" s="5" t="s">
        <v>217</v>
      </c>
      <c r="AU10" s="5" t="s">
        <v>218</v>
      </c>
    </row>
    <row r="11" spans="1:48" x14ac:dyDescent="0.3">
      <c r="A11" s="5" t="str">
        <f t="shared" si="0"/>
        <v>key 11</v>
      </c>
      <c r="B11" s="5" t="s">
        <v>57</v>
      </c>
      <c r="D11" s="4" t="s">
        <v>222</v>
      </c>
      <c r="E11" s="19" t="s">
        <v>92</v>
      </c>
      <c r="V11" s="4" t="s">
        <v>222</v>
      </c>
      <c r="W11" s="4"/>
      <c r="AE11" s="5" t="s">
        <v>270</v>
      </c>
      <c r="AL11" s="4" t="s">
        <v>222</v>
      </c>
      <c r="AM11" s="4" t="s">
        <v>222</v>
      </c>
      <c r="AN11" s="4"/>
      <c r="AO11" s="4"/>
      <c r="AP11" s="4"/>
      <c r="AQ11" s="4"/>
      <c r="AT11" s="5" t="s">
        <v>217</v>
      </c>
    </row>
    <row r="12" spans="1:48" x14ac:dyDescent="0.3">
      <c r="A12" s="5" t="str">
        <f t="shared" si="0"/>
        <v>key 12</v>
      </c>
      <c r="B12" s="5" t="s">
        <v>57</v>
      </c>
      <c r="D12" s="4" t="s">
        <v>57</v>
      </c>
      <c r="E12" s="19" t="s">
        <v>93</v>
      </c>
      <c r="V12" s="4" t="s">
        <v>57</v>
      </c>
      <c r="W12" s="4"/>
      <c r="AE12" s="5" t="s">
        <v>271</v>
      </c>
      <c r="AF12" s="5" t="s">
        <v>261</v>
      </c>
      <c r="AL12" s="4" t="s">
        <v>57</v>
      </c>
      <c r="AM12" s="4" t="s">
        <v>57</v>
      </c>
      <c r="AN12" s="4"/>
      <c r="AO12" s="4"/>
      <c r="AP12" s="4"/>
      <c r="AQ12" s="4"/>
      <c r="AT12" s="5" t="s">
        <v>217</v>
      </c>
    </row>
    <row r="13" spans="1:48" x14ac:dyDescent="0.3">
      <c r="A13" s="5" t="str">
        <f t="shared" si="0"/>
        <v>key 13</v>
      </c>
      <c r="B13" s="5"/>
      <c r="D13" s="4" t="s">
        <v>222</v>
      </c>
      <c r="E13" s="19" t="s">
        <v>94</v>
      </c>
      <c r="V13" s="4" t="s">
        <v>222</v>
      </c>
      <c r="W13" s="4"/>
      <c r="AE13" s="5" t="s">
        <v>272</v>
      </c>
      <c r="AF13" s="5" t="s">
        <v>262</v>
      </c>
      <c r="AL13" s="4"/>
      <c r="AM13" s="4"/>
      <c r="AN13" s="4"/>
      <c r="AO13" s="4"/>
      <c r="AP13" s="4"/>
      <c r="AQ13" s="4"/>
      <c r="AT13" s="5" t="s">
        <v>217</v>
      </c>
    </row>
    <row r="14" spans="1:48" x14ac:dyDescent="0.3">
      <c r="A14" s="5" t="str">
        <f t="shared" si="0"/>
        <v>key 14</v>
      </c>
      <c r="B14" s="5" t="s">
        <v>64</v>
      </c>
      <c r="D14" s="4" t="s">
        <v>222</v>
      </c>
      <c r="E14" s="19" t="s">
        <v>95</v>
      </c>
      <c r="N14" s="5">
        <v>20</v>
      </c>
      <c r="V14" s="4" t="s">
        <v>222</v>
      </c>
      <c r="W14" s="4"/>
      <c r="AE14" s="5" t="s">
        <v>273</v>
      </c>
      <c r="AF14" s="5" t="s">
        <v>263</v>
      </c>
      <c r="AL14" s="4"/>
      <c r="AM14" s="4"/>
      <c r="AN14" s="4"/>
      <c r="AO14" s="4"/>
      <c r="AP14" s="4"/>
      <c r="AQ14" s="4"/>
      <c r="AT14" s="5" t="s">
        <v>217</v>
      </c>
      <c r="AU14" s="5" t="s">
        <v>217</v>
      </c>
    </row>
    <row r="15" spans="1:48" ht="27.6" x14ac:dyDescent="0.3">
      <c r="A15" s="5" t="str">
        <f t="shared" si="0"/>
        <v>key 15</v>
      </c>
      <c r="B15" s="5"/>
      <c r="D15" s="4" t="s">
        <v>222</v>
      </c>
      <c r="E15" s="19" t="s">
        <v>96</v>
      </c>
      <c r="V15" s="4" t="s">
        <v>222</v>
      </c>
      <c r="W15" s="4"/>
      <c r="AE15" s="5" t="s">
        <v>274</v>
      </c>
      <c r="AF15" s="5" t="s">
        <v>264</v>
      </c>
      <c r="AL15" s="4"/>
      <c r="AM15" s="4"/>
      <c r="AN15" s="4"/>
      <c r="AO15" s="4"/>
      <c r="AP15" s="4"/>
      <c r="AQ15" s="4"/>
      <c r="AT15" s="5" t="s">
        <v>217</v>
      </c>
    </row>
    <row r="16" spans="1:48" x14ac:dyDescent="0.3">
      <c r="A16" s="5" t="str">
        <f t="shared" si="0"/>
        <v>key 16</v>
      </c>
      <c r="B16" s="5" t="s">
        <v>57</v>
      </c>
      <c r="E16" s="19" t="s">
        <v>97</v>
      </c>
      <c r="N16" s="3">
        <v>10</v>
      </c>
      <c r="AE16" s="5" t="s">
        <v>269</v>
      </c>
      <c r="AF16" s="5" t="s">
        <v>265</v>
      </c>
      <c r="AS16" s="5" t="s">
        <v>239</v>
      </c>
      <c r="AT16" s="5" t="s">
        <v>217</v>
      </c>
    </row>
    <row r="17" spans="1:46" ht="27.6" x14ac:dyDescent="0.3">
      <c r="A17" s="5" t="str">
        <f t="shared" si="0"/>
        <v>key 17</v>
      </c>
      <c r="B17" s="5" t="s">
        <v>57</v>
      </c>
      <c r="E17" s="19" t="s">
        <v>98</v>
      </c>
      <c r="N17" s="5">
        <v>10</v>
      </c>
      <c r="AE17" s="5" t="s">
        <v>275</v>
      </c>
      <c r="AF17" s="5" t="s">
        <v>266</v>
      </c>
      <c r="AS17" s="5" t="s">
        <v>240</v>
      </c>
      <c r="AT17" s="5" t="s">
        <v>217</v>
      </c>
    </row>
    <row r="18" spans="1:46" x14ac:dyDescent="0.3">
      <c r="A18" s="5" t="str">
        <f t="shared" si="0"/>
        <v>key 18</v>
      </c>
      <c r="B18" s="5" t="s">
        <v>57</v>
      </c>
      <c r="E18" s="19" t="s">
        <v>99</v>
      </c>
      <c r="N18" s="5">
        <v>10</v>
      </c>
      <c r="AE18" s="5" t="s">
        <v>271</v>
      </c>
      <c r="AF18" s="5" t="s">
        <v>261</v>
      </c>
      <c r="AS18" s="5" t="s">
        <v>241</v>
      </c>
      <c r="AT18" s="5" t="s">
        <v>217</v>
      </c>
    </row>
    <row r="19" spans="1:46" ht="41.4" x14ac:dyDescent="0.3">
      <c r="A19" s="5" t="str">
        <f t="shared" si="0"/>
        <v>key 19</v>
      </c>
      <c r="B19" s="5" t="s">
        <v>57</v>
      </c>
      <c r="E19" s="19" t="s">
        <v>100</v>
      </c>
      <c r="N19" s="5">
        <v>10</v>
      </c>
      <c r="AE19" s="5" t="s">
        <v>272</v>
      </c>
      <c r="AF19" s="5" t="s">
        <v>262</v>
      </c>
      <c r="AS19" s="5" t="s">
        <v>242</v>
      </c>
      <c r="AT19" s="5" t="s">
        <v>217</v>
      </c>
    </row>
    <row r="20" spans="1:46" ht="41.4" x14ac:dyDescent="0.3">
      <c r="A20" s="5" t="str">
        <f t="shared" si="0"/>
        <v>key 20</v>
      </c>
      <c r="B20" s="5" t="s">
        <v>57</v>
      </c>
      <c r="E20" s="19" t="s">
        <v>101</v>
      </c>
      <c r="N20" s="5">
        <v>10</v>
      </c>
      <c r="AE20" s="5" t="s">
        <v>273</v>
      </c>
      <c r="AF20" s="5" t="s">
        <v>263</v>
      </c>
      <c r="AS20" s="5" t="s">
        <v>243</v>
      </c>
      <c r="AT20" s="5" t="s">
        <v>217</v>
      </c>
    </row>
    <row r="21" spans="1:46" ht="27.6" x14ac:dyDescent="0.3">
      <c r="A21" s="5" t="str">
        <f t="shared" si="0"/>
        <v>key 21</v>
      </c>
      <c r="B21" s="5" t="s">
        <v>57</v>
      </c>
      <c r="E21" s="19" t="s">
        <v>102</v>
      </c>
      <c r="N21" s="5">
        <v>10</v>
      </c>
      <c r="AE21" s="5" t="s">
        <v>274</v>
      </c>
      <c r="AF21" s="5" t="s">
        <v>264</v>
      </c>
      <c r="AS21" s="5" t="s">
        <v>244</v>
      </c>
      <c r="AT21" s="5" t="s">
        <v>217</v>
      </c>
    </row>
    <row r="22" spans="1:46" ht="27.6" x14ac:dyDescent="0.3">
      <c r="A22" s="5" t="str">
        <f t="shared" si="0"/>
        <v>key 22</v>
      </c>
      <c r="B22" s="3" t="s">
        <v>57</v>
      </c>
      <c r="E22" s="19" t="s">
        <v>103</v>
      </c>
      <c r="N22" s="5">
        <v>10</v>
      </c>
      <c r="AE22" s="5" t="s">
        <v>269</v>
      </c>
      <c r="AF22" s="5" t="s">
        <v>265</v>
      </c>
      <c r="AS22" s="5" t="s">
        <v>245</v>
      </c>
      <c r="AT22" s="5" t="s">
        <v>217</v>
      </c>
    </row>
    <row r="23" spans="1:46" ht="27.6" x14ac:dyDescent="0.3">
      <c r="A23" s="5" t="str">
        <f t="shared" si="0"/>
        <v>key 23</v>
      </c>
      <c r="E23" s="19" t="s">
        <v>104</v>
      </c>
      <c r="AE23" s="5" t="s">
        <v>270</v>
      </c>
      <c r="AF23" s="5" t="s">
        <v>266</v>
      </c>
      <c r="AT23" s="5" t="s">
        <v>217</v>
      </c>
    </row>
    <row r="24" spans="1:46" x14ac:dyDescent="0.3">
      <c r="A24" s="5" t="str">
        <f t="shared" si="0"/>
        <v>key 24</v>
      </c>
      <c r="E24" s="19" t="s">
        <v>105</v>
      </c>
      <c r="AE24" s="5" t="s">
        <v>275</v>
      </c>
      <c r="AF24" s="5" t="s">
        <v>261</v>
      </c>
      <c r="AT24" s="5" t="s">
        <v>217</v>
      </c>
    </row>
    <row r="25" spans="1:46" x14ac:dyDescent="0.3">
      <c r="A25" s="5" t="str">
        <f t="shared" si="0"/>
        <v>key 25</v>
      </c>
      <c r="E25" s="19" t="s">
        <v>106</v>
      </c>
      <c r="AE25" s="5" t="s">
        <v>272</v>
      </c>
      <c r="AF25" s="5" t="s">
        <v>261</v>
      </c>
      <c r="AT25" s="5" t="s">
        <v>217</v>
      </c>
    </row>
    <row r="26" spans="1:46" x14ac:dyDescent="0.3">
      <c r="A26" s="5" t="str">
        <f t="shared" si="0"/>
        <v>key 26</v>
      </c>
      <c r="E26" s="19" t="s">
        <v>107</v>
      </c>
      <c r="AT26" s="5" t="s">
        <v>217</v>
      </c>
    </row>
    <row r="27" spans="1:46" x14ac:dyDescent="0.3">
      <c r="A27" s="5" t="str">
        <f t="shared" si="0"/>
        <v>key 27</v>
      </c>
      <c r="B27" s="5" t="s">
        <v>63</v>
      </c>
      <c r="E27" s="19" t="s">
        <v>108</v>
      </c>
      <c r="N27" s="5">
        <v>30</v>
      </c>
      <c r="AT27" s="5" t="s">
        <v>217</v>
      </c>
    </row>
    <row r="28" spans="1:46" ht="27.6" x14ac:dyDescent="0.3">
      <c r="A28" s="5" t="str">
        <f t="shared" si="0"/>
        <v>key 28</v>
      </c>
      <c r="E28" s="19" t="s">
        <v>109</v>
      </c>
      <c r="AG28" s="5" t="s">
        <v>255</v>
      </c>
      <c r="AT28" s="5" t="s">
        <v>217</v>
      </c>
    </row>
    <row r="29" spans="1:46" ht="27.6" x14ac:dyDescent="0.3">
      <c r="A29" s="5" t="str">
        <f t="shared" si="0"/>
        <v>key 29</v>
      </c>
      <c r="E29" s="19" t="s">
        <v>66</v>
      </c>
      <c r="AT29" s="5" t="s">
        <v>217</v>
      </c>
    </row>
    <row r="30" spans="1:46" ht="27.6" x14ac:dyDescent="0.3">
      <c r="A30" s="5" t="str">
        <f t="shared" si="0"/>
        <v>key 30</v>
      </c>
      <c r="B30" s="5" t="s">
        <v>64</v>
      </c>
      <c r="E30" s="19" t="s">
        <v>67</v>
      </c>
      <c r="N30" s="5">
        <v>1</v>
      </c>
      <c r="AE30" s="5" t="str">
        <f>_ActiveSprintData!$B$1</f>
        <v>Wavelength7</v>
      </c>
      <c r="AI30" s="5" t="s">
        <v>146</v>
      </c>
      <c r="AT30" s="5" t="s">
        <v>217</v>
      </c>
    </row>
    <row r="31" spans="1:46" x14ac:dyDescent="0.3">
      <c r="A31" s="5" t="str">
        <f t="shared" si="0"/>
        <v>key 31</v>
      </c>
      <c r="B31" s="5" t="s">
        <v>64</v>
      </c>
      <c r="E31" s="19" t="s">
        <v>68</v>
      </c>
      <c r="N31" s="5">
        <v>1</v>
      </c>
      <c r="AE31" s="5" t="str">
        <f>_ActiveSprintData!$B$1</f>
        <v>Wavelength7</v>
      </c>
      <c r="AI31" s="5" t="s">
        <v>174</v>
      </c>
      <c r="AT31" s="5" t="s">
        <v>217</v>
      </c>
    </row>
    <row r="32" spans="1:46" ht="41.4" x14ac:dyDescent="0.3">
      <c r="A32" s="5" t="str">
        <f t="shared" si="0"/>
        <v>key 32</v>
      </c>
      <c r="B32" s="5" t="s">
        <v>64</v>
      </c>
      <c r="E32" s="19" t="s">
        <v>69</v>
      </c>
      <c r="N32" s="5">
        <v>1</v>
      </c>
      <c r="AE32" s="5" t="str">
        <f>_ActiveSprintData!$B$1</f>
        <v>Wavelength7</v>
      </c>
      <c r="AI32" s="5" t="s">
        <v>147</v>
      </c>
      <c r="AT32" s="5" t="s">
        <v>217</v>
      </c>
    </row>
    <row r="33" spans="1:46" ht="41.4" x14ac:dyDescent="0.3">
      <c r="A33" s="5" t="str">
        <f t="shared" si="0"/>
        <v>key 33</v>
      </c>
      <c r="B33" s="5" t="s">
        <v>64</v>
      </c>
      <c r="E33" s="19" t="s">
        <v>70</v>
      </c>
      <c r="N33" s="5">
        <v>1</v>
      </c>
      <c r="AE33" s="5" t="str">
        <f>_ActiveSprintData!$B$1</f>
        <v>Wavelength7</v>
      </c>
      <c r="AI33" s="5" t="s">
        <v>148</v>
      </c>
      <c r="AT33" s="5" t="s">
        <v>217</v>
      </c>
    </row>
    <row r="34" spans="1:46" ht="27.6" x14ac:dyDescent="0.3">
      <c r="A34" s="5" t="str">
        <f t="shared" si="0"/>
        <v>key 34</v>
      </c>
      <c r="B34" s="5" t="s">
        <v>64</v>
      </c>
      <c r="E34" s="19" t="s">
        <v>71</v>
      </c>
      <c r="N34" s="5">
        <v>1</v>
      </c>
      <c r="AE34" s="5" t="str">
        <f>_ActiveSprintData!$B$1</f>
        <v>Wavelength7</v>
      </c>
      <c r="AI34" s="5" t="s">
        <v>150</v>
      </c>
      <c r="AT34" s="5" t="s">
        <v>217</v>
      </c>
    </row>
    <row r="35" spans="1:46" ht="27.6" x14ac:dyDescent="0.3">
      <c r="A35" s="5" t="str">
        <f t="shared" si="0"/>
        <v>key 35</v>
      </c>
      <c r="B35" s="5" t="s">
        <v>64</v>
      </c>
      <c r="E35" s="19" t="s">
        <v>72</v>
      </c>
      <c r="N35" s="5">
        <v>1</v>
      </c>
      <c r="AE35" s="5" t="str">
        <f>_ActiveSprintData!$B$1</f>
        <v>Wavelength7</v>
      </c>
      <c r="AI35" s="5" t="s">
        <v>149</v>
      </c>
      <c r="AT35" s="5" t="s">
        <v>217</v>
      </c>
    </row>
    <row r="36" spans="1:46" ht="41.4" x14ac:dyDescent="0.3">
      <c r="A36" s="5" t="str">
        <f t="shared" si="0"/>
        <v>key 36</v>
      </c>
      <c r="E36" s="19" t="s">
        <v>73</v>
      </c>
      <c r="N36" s="5">
        <v>1</v>
      </c>
      <c r="AE36" s="5" t="str">
        <f>_ActiveSprintData!$B$1</f>
        <v>Wavelength7</v>
      </c>
      <c r="AI36" s="5" t="s">
        <v>151</v>
      </c>
      <c r="AT36" s="5" t="s">
        <v>217</v>
      </c>
    </row>
    <row r="37" spans="1:46" ht="27.6" x14ac:dyDescent="0.3">
      <c r="A37" s="5" t="str">
        <f t="shared" si="0"/>
        <v>key 37</v>
      </c>
      <c r="E37" s="19" t="s">
        <v>74</v>
      </c>
      <c r="AE37" s="5" t="s">
        <v>269</v>
      </c>
      <c r="AT37" s="5" t="s">
        <v>217</v>
      </c>
    </row>
    <row r="38" spans="1:46" x14ac:dyDescent="0.3">
      <c r="A38" s="5" t="str">
        <f t="shared" si="0"/>
        <v>key 38</v>
      </c>
      <c r="E38" s="19" t="s">
        <v>75</v>
      </c>
      <c r="AT38" s="5" t="s">
        <v>217</v>
      </c>
    </row>
    <row r="39" spans="1:46" x14ac:dyDescent="0.3">
      <c r="A39" s="5" t="str">
        <f t="shared" si="0"/>
        <v>key 39</v>
      </c>
      <c r="E39" s="19" t="s">
        <v>76</v>
      </c>
      <c r="AT39" s="5" t="s">
        <v>217</v>
      </c>
    </row>
    <row r="40" spans="1:46" x14ac:dyDescent="0.3">
      <c r="A40" s="5" t="str">
        <f t="shared" si="0"/>
        <v>key 40</v>
      </c>
      <c r="B40" s="3" t="s">
        <v>65</v>
      </c>
      <c r="E40" s="19" t="s">
        <v>77</v>
      </c>
      <c r="AF40" s="5" t="s">
        <v>261</v>
      </c>
      <c r="AG40" s="5" t="s">
        <v>260</v>
      </c>
      <c r="AH40" s="5" t="s">
        <v>154</v>
      </c>
      <c r="AL40" s="4" t="s">
        <v>222</v>
      </c>
      <c r="AT40" s="5" t="s">
        <v>217</v>
      </c>
    </row>
    <row r="41" spans="1:46" ht="27.6" x14ac:dyDescent="0.3">
      <c r="A41" s="5" t="str">
        <f t="shared" si="0"/>
        <v>key 41</v>
      </c>
      <c r="B41" s="5" t="s">
        <v>65</v>
      </c>
      <c r="E41" s="19" t="s">
        <v>78</v>
      </c>
      <c r="AF41" s="5" t="s">
        <v>262</v>
      </c>
      <c r="AG41" s="5" t="s">
        <v>260</v>
      </c>
      <c r="AH41" s="5" t="s">
        <v>155</v>
      </c>
      <c r="AL41" s="4" t="s">
        <v>222</v>
      </c>
      <c r="AT41" s="5" t="s">
        <v>217</v>
      </c>
    </row>
    <row r="42" spans="1:46" x14ac:dyDescent="0.3">
      <c r="A42" s="5" t="str">
        <f t="shared" si="0"/>
        <v>key 42</v>
      </c>
      <c r="B42" s="5" t="s">
        <v>65</v>
      </c>
      <c r="E42" s="19" t="s">
        <v>79</v>
      </c>
      <c r="AF42" s="5" t="s">
        <v>263</v>
      </c>
      <c r="AG42" s="5" t="s">
        <v>260</v>
      </c>
      <c r="AH42" s="5" t="s">
        <v>156</v>
      </c>
      <c r="AL42" s="4" t="s">
        <v>222</v>
      </c>
      <c r="AT42" s="5" t="s">
        <v>217</v>
      </c>
    </row>
    <row r="43" spans="1:46" x14ac:dyDescent="0.3">
      <c r="A43" s="5" t="str">
        <f t="shared" si="0"/>
        <v>key 43</v>
      </c>
      <c r="B43" s="5" t="s">
        <v>65</v>
      </c>
      <c r="E43" s="19" t="s">
        <v>80</v>
      </c>
      <c r="AF43" s="5" t="s">
        <v>264</v>
      </c>
      <c r="AG43" s="5" t="s">
        <v>260</v>
      </c>
      <c r="AH43" s="5" t="s">
        <v>157</v>
      </c>
      <c r="AL43" s="4" t="s">
        <v>222</v>
      </c>
      <c r="AT43" s="5" t="s">
        <v>217</v>
      </c>
    </row>
    <row r="44" spans="1:46" ht="27.6" x14ac:dyDescent="0.3">
      <c r="A44" s="5" t="str">
        <f t="shared" si="0"/>
        <v>key 44</v>
      </c>
      <c r="B44" s="5" t="s">
        <v>65</v>
      </c>
      <c r="E44" s="19" t="s">
        <v>81</v>
      </c>
      <c r="AF44" s="5" t="s">
        <v>265</v>
      </c>
      <c r="AG44" s="5" t="s">
        <v>260</v>
      </c>
      <c r="AH44" s="5" t="s">
        <v>158</v>
      </c>
      <c r="AL44" s="4" t="s">
        <v>222</v>
      </c>
      <c r="AT44" s="5" t="s">
        <v>217</v>
      </c>
    </row>
    <row r="45" spans="1:46" ht="41.4" x14ac:dyDescent="0.3">
      <c r="A45" s="5" t="str">
        <f t="shared" si="0"/>
        <v>key 45</v>
      </c>
      <c r="B45" s="5" t="s">
        <v>65</v>
      </c>
      <c r="E45" s="19" t="s">
        <v>82</v>
      </c>
      <c r="AF45" s="5" t="s">
        <v>266</v>
      </c>
      <c r="AG45" s="5" t="s">
        <v>260</v>
      </c>
      <c r="AH45" s="5" t="s">
        <v>157</v>
      </c>
      <c r="AL45" s="4" t="s">
        <v>222</v>
      </c>
      <c r="AT45" s="5" t="s">
        <v>217</v>
      </c>
    </row>
    <row r="46" spans="1:46" ht="27.6" x14ac:dyDescent="0.3">
      <c r="A46" s="5" t="str">
        <f t="shared" si="0"/>
        <v>key 46</v>
      </c>
      <c r="B46" s="3" t="s">
        <v>249</v>
      </c>
      <c r="E46" s="19" t="s">
        <v>83</v>
      </c>
      <c r="AF46" s="5" t="s">
        <v>267</v>
      </c>
      <c r="AG46" s="5" t="s">
        <v>260</v>
      </c>
      <c r="AT46" s="5" t="s">
        <v>217</v>
      </c>
    </row>
    <row r="47" spans="1:46" x14ac:dyDescent="0.3">
      <c r="A47" s="5" t="str">
        <f t="shared" si="0"/>
        <v>key 47</v>
      </c>
      <c r="E47" s="19" t="s">
        <v>84</v>
      </c>
      <c r="AT47" s="5" t="s">
        <v>217</v>
      </c>
    </row>
    <row r="48" spans="1:46" x14ac:dyDescent="0.3">
      <c r="A48" s="5" t="str">
        <f t="shared" si="0"/>
        <v>key 48</v>
      </c>
      <c r="AT48" s="5" t="s">
        <v>217</v>
      </c>
    </row>
    <row r="49" spans="1:46" x14ac:dyDescent="0.3">
      <c r="A49" s="5" t="str">
        <f t="shared" si="0"/>
        <v>key 49</v>
      </c>
      <c r="B49" s="3" t="s">
        <v>65</v>
      </c>
      <c r="E49" s="19" t="s">
        <v>80</v>
      </c>
      <c r="AF49" s="5" t="s">
        <v>261</v>
      </c>
      <c r="AG49" s="5" t="s">
        <v>260</v>
      </c>
      <c r="AH49" s="5" t="s">
        <v>154</v>
      </c>
      <c r="AL49" s="4" t="s">
        <v>222</v>
      </c>
      <c r="AT49" s="5" t="s">
        <v>217</v>
      </c>
    </row>
    <row r="50" spans="1:46" x14ac:dyDescent="0.3">
      <c r="A50" s="5" t="str">
        <f t="shared" si="0"/>
        <v>key 50</v>
      </c>
      <c r="B50" s="5" t="s">
        <v>61</v>
      </c>
      <c r="K50" s="5" t="s">
        <v>281</v>
      </c>
      <c r="P50" s="5">
        <v>100</v>
      </c>
      <c r="Q50" s="5">
        <v>150</v>
      </c>
      <c r="W50" s="5">
        <v>180</v>
      </c>
      <c r="AG50" s="5" t="s">
        <v>260</v>
      </c>
      <c r="AJ50" s="5" t="s">
        <v>281</v>
      </c>
      <c r="AL50" s="4" t="s">
        <v>222</v>
      </c>
      <c r="AN50" s="5">
        <v>30</v>
      </c>
      <c r="AO50" s="5">
        <v>60</v>
      </c>
      <c r="AP50" s="5">
        <v>40</v>
      </c>
      <c r="AT50" s="5" t="s">
        <v>217</v>
      </c>
    </row>
    <row r="51" spans="1:46" x14ac:dyDescent="0.3">
      <c r="A51" s="5" t="str">
        <f t="shared" si="0"/>
        <v>key 51</v>
      </c>
      <c r="B51" s="3" t="s">
        <v>61</v>
      </c>
      <c r="K51" s="5" t="s">
        <v>277</v>
      </c>
      <c r="P51" s="5">
        <v>50</v>
      </c>
      <c r="Q51" s="5">
        <v>150</v>
      </c>
      <c r="W51" s="5">
        <v>180</v>
      </c>
      <c r="AG51" s="5" t="s">
        <v>260</v>
      </c>
      <c r="AJ51" s="10" t="s">
        <v>254</v>
      </c>
      <c r="AL51" s="4" t="s">
        <v>222</v>
      </c>
      <c r="AN51" s="5">
        <v>30</v>
      </c>
      <c r="AO51" s="5">
        <v>60</v>
      </c>
      <c r="AP51" s="5">
        <v>40</v>
      </c>
      <c r="AT51" s="5" t="s">
        <v>217</v>
      </c>
    </row>
    <row r="52" spans="1:46" s="5" customFormat="1" x14ac:dyDescent="0.3">
      <c r="A52" s="5" t="str">
        <f t="shared" si="0"/>
        <v>key 52</v>
      </c>
      <c r="B52" s="5" t="s">
        <v>61</v>
      </c>
      <c r="C52" s="4"/>
      <c r="D52" s="4"/>
      <c r="E52" s="19" t="s">
        <v>93</v>
      </c>
      <c r="K52" s="5" t="s">
        <v>278</v>
      </c>
      <c r="N52" s="5">
        <v>10</v>
      </c>
      <c r="P52" s="5">
        <v>50</v>
      </c>
      <c r="Q52" s="5">
        <v>150</v>
      </c>
      <c r="W52" s="5">
        <v>180</v>
      </c>
      <c r="AG52" s="5" t="s">
        <v>260</v>
      </c>
      <c r="AI52" s="5" t="s">
        <v>146</v>
      </c>
      <c r="AJ52" s="5" t="s">
        <v>259</v>
      </c>
      <c r="AL52" s="4" t="s">
        <v>222</v>
      </c>
      <c r="AN52" s="5">
        <v>30</v>
      </c>
      <c r="AO52" s="5">
        <v>60</v>
      </c>
      <c r="AP52" s="5">
        <v>40</v>
      </c>
      <c r="AT52" s="5" t="s">
        <v>217</v>
      </c>
    </row>
    <row r="53" spans="1:46" x14ac:dyDescent="0.3">
      <c r="A53" s="5" t="str">
        <f t="shared" si="0"/>
        <v>key 53</v>
      </c>
      <c r="B53" s="5" t="s">
        <v>64</v>
      </c>
      <c r="E53" s="19" t="s">
        <v>95</v>
      </c>
      <c r="K53" s="5" t="s">
        <v>278</v>
      </c>
      <c r="N53" s="5">
        <v>10</v>
      </c>
      <c r="P53" s="5">
        <v>50</v>
      </c>
      <c r="Q53" s="5">
        <v>150</v>
      </c>
      <c r="AG53" s="5" t="s">
        <v>260</v>
      </c>
      <c r="AI53" s="5" t="s">
        <v>174</v>
      </c>
      <c r="AL53" s="4" t="s">
        <v>222</v>
      </c>
      <c r="AT53" s="5" t="s">
        <v>217</v>
      </c>
    </row>
    <row r="54" spans="1:46" ht="27.6" x14ac:dyDescent="0.3">
      <c r="A54" s="5" t="str">
        <f t="shared" si="0"/>
        <v>key 54</v>
      </c>
      <c r="B54" s="5" t="s">
        <v>64</v>
      </c>
      <c r="E54" s="19" t="s">
        <v>96</v>
      </c>
      <c r="K54" s="5" t="s">
        <v>278</v>
      </c>
      <c r="N54" s="5">
        <v>10</v>
      </c>
      <c r="P54" s="5">
        <v>750</v>
      </c>
      <c r="Q54" s="5">
        <v>150</v>
      </c>
      <c r="AG54" s="5" t="s">
        <v>260</v>
      </c>
      <c r="AI54" s="5" t="s">
        <v>147</v>
      </c>
      <c r="AL54" s="4" t="s">
        <v>222</v>
      </c>
      <c r="AT54" s="5" t="s">
        <v>217</v>
      </c>
    </row>
    <row r="55" spans="1:46" x14ac:dyDescent="0.3">
      <c r="A55" s="5" t="str">
        <f t="shared" si="0"/>
        <v>key 55</v>
      </c>
      <c r="B55" s="5" t="s">
        <v>64</v>
      </c>
      <c r="E55" s="19" t="s">
        <v>97</v>
      </c>
      <c r="N55" s="5">
        <v>10</v>
      </c>
      <c r="AG55" s="5" t="s">
        <v>260</v>
      </c>
      <c r="AI55" s="5" t="s">
        <v>148</v>
      </c>
      <c r="AL55" s="4" t="s">
        <v>222</v>
      </c>
      <c r="AT55" s="5" t="s">
        <v>217</v>
      </c>
    </row>
    <row r="56" spans="1:46" x14ac:dyDescent="0.3">
      <c r="A56" s="5" t="str">
        <f t="shared" si="0"/>
        <v>key 56</v>
      </c>
      <c r="B56" s="5" t="s">
        <v>64</v>
      </c>
      <c r="E56" s="19" t="s">
        <v>99</v>
      </c>
      <c r="N56" s="5">
        <v>10</v>
      </c>
      <c r="AG56" s="5" t="s">
        <v>260</v>
      </c>
      <c r="AI56" s="5" t="s">
        <v>150</v>
      </c>
      <c r="AL56" s="4" t="s">
        <v>222</v>
      </c>
      <c r="AT56" s="5" t="s">
        <v>217</v>
      </c>
    </row>
    <row r="57" spans="1:46" s="5" customFormat="1" x14ac:dyDescent="0.3">
      <c r="A57" s="5" t="str">
        <f t="shared" si="0"/>
        <v>key 57</v>
      </c>
      <c r="B57" s="5" t="s">
        <v>64</v>
      </c>
      <c r="C57" s="4"/>
      <c r="D57" s="4"/>
      <c r="E57" s="19" t="s">
        <v>93</v>
      </c>
      <c r="N57" s="5">
        <v>20</v>
      </c>
      <c r="AG57" s="5" t="s">
        <v>260</v>
      </c>
      <c r="AI57" s="5" t="s">
        <v>146</v>
      </c>
      <c r="AL57" s="4" t="s">
        <v>222</v>
      </c>
      <c r="AT57" s="5" t="s">
        <v>217</v>
      </c>
    </row>
    <row r="58" spans="1:46" s="5" customFormat="1" x14ac:dyDescent="0.3">
      <c r="A58" s="5" t="str">
        <f t="shared" si="0"/>
        <v>key 58</v>
      </c>
      <c r="B58" s="5" t="s">
        <v>64</v>
      </c>
      <c r="C58" s="4"/>
      <c r="D58" s="4"/>
      <c r="E58" s="19" t="s">
        <v>95</v>
      </c>
      <c r="N58" s="5">
        <v>20</v>
      </c>
      <c r="AG58" s="5" t="s">
        <v>260</v>
      </c>
      <c r="AI58" s="5" t="s">
        <v>174</v>
      </c>
      <c r="AL58" s="4" t="s">
        <v>222</v>
      </c>
      <c r="AT58" s="5" t="s">
        <v>217</v>
      </c>
    </row>
    <row r="59" spans="1:46" s="5" customFormat="1" ht="27.6" x14ac:dyDescent="0.3">
      <c r="A59" s="5" t="str">
        <f t="shared" si="0"/>
        <v>key 59</v>
      </c>
      <c r="B59" s="5" t="s">
        <v>64</v>
      </c>
      <c r="C59" s="4"/>
      <c r="D59" s="4"/>
      <c r="E59" s="19" t="s">
        <v>96</v>
      </c>
      <c r="N59" s="5">
        <v>20</v>
      </c>
      <c r="AG59" s="5" t="s">
        <v>260</v>
      </c>
      <c r="AI59" s="5" t="s">
        <v>147</v>
      </c>
      <c r="AL59" s="4" t="s">
        <v>222</v>
      </c>
      <c r="AT59" s="5" t="s">
        <v>217</v>
      </c>
    </row>
    <row r="60" spans="1:46" s="5" customFormat="1" x14ac:dyDescent="0.3">
      <c r="A60" s="5" t="str">
        <f t="shared" si="0"/>
        <v>key 60</v>
      </c>
      <c r="B60" s="5" t="s">
        <v>64</v>
      </c>
      <c r="C60" s="4"/>
      <c r="D60" s="4"/>
      <c r="E60" s="19" t="s">
        <v>97</v>
      </c>
      <c r="N60" s="5">
        <v>20</v>
      </c>
      <c r="AG60" s="5" t="s">
        <v>260</v>
      </c>
      <c r="AI60" s="5" t="s">
        <v>148</v>
      </c>
      <c r="AL60" s="4" t="s">
        <v>222</v>
      </c>
      <c r="AT60" s="5" t="s">
        <v>217</v>
      </c>
    </row>
    <row r="61" spans="1:46" s="5" customFormat="1" x14ac:dyDescent="0.3">
      <c r="A61" s="5" t="str">
        <f t="shared" si="0"/>
        <v>key 61</v>
      </c>
      <c r="B61" s="5" t="s">
        <v>64</v>
      </c>
      <c r="C61" s="4"/>
      <c r="D61" s="4"/>
      <c r="E61" s="19" t="s">
        <v>99</v>
      </c>
      <c r="N61" s="5">
        <v>20</v>
      </c>
      <c r="AG61" s="5" t="s">
        <v>260</v>
      </c>
      <c r="AI61" s="5" t="s">
        <v>150</v>
      </c>
      <c r="AL61" s="4" t="s">
        <v>222</v>
      </c>
      <c r="AT61" s="5" t="s">
        <v>217</v>
      </c>
    </row>
    <row r="62" spans="1:46" s="5" customFormat="1" x14ac:dyDescent="0.3">
      <c r="A62" s="5" t="str">
        <f t="shared" si="0"/>
        <v>key 62</v>
      </c>
      <c r="B62" s="5" t="s">
        <v>64</v>
      </c>
      <c r="C62" s="4"/>
      <c r="D62" s="4"/>
      <c r="E62" s="19" t="s">
        <v>93</v>
      </c>
      <c r="N62" s="5">
        <v>30</v>
      </c>
      <c r="AG62" s="5" t="s">
        <v>260</v>
      </c>
      <c r="AI62" s="5" t="s">
        <v>146</v>
      </c>
      <c r="AL62" s="4" t="s">
        <v>222</v>
      </c>
      <c r="AT62" s="5" t="s">
        <v>217</v>
      </c>
    </row>
    <row r="63" spans="1:46" s="5" customFormat="1" x14ac:dyDescent="0.3">
      <c r="A63" s="5" t="str">
        <f t="shared" si="0"/>
        <v>key 63</v>
      </c>
      <c r="B63" s="5" t="s">
        <v>64</v>
      </c>
      <c r="C63" s="4"/>
      <c r="D63" s="4"/>
      <c r="E63" s="19" t="s">
        <v>95</v>
      </c>
      <c r="N63" s="5">
        <v>30</v>
      </c>
      <c r="AG63" s="5" t="s">
        <v>260</v>
      </c>
      <c r="AI63" s="5" t="s">
        <v>174</v>
      </c>
      <c r="AL63" s="4" t="s">
        <v>222</v>
      </c>
      <c r="AT63" s="5" t="s">
        <v>217</v>
      </c>
    </row>
    <row r="64" spans="1:46" s="5" customFormat="1" ht="27.6" x14ac:dyDescent="0.3">
      <c r="A64" s="5" t="str">
        <f t="shared" si="0"/>
        <v>key 64</v>
      </c>
      <c r="B64" s="5" t="s">
        <v>64</v>
      </c>
      <c r="C64" s="4"/>
      <c r="D64" s="4"/>
      <c r="E64" s="19" t="s">
        <v>96</v>
      </c>
      <c r="N64" s="5">
        <v>30</v>
      </c>
      <c r="AE64" s="5" t="s">
        <v>282</v>
      </c>
      <c r="AF64" s="5" t="s">
        <v>283</v>
      </c>
      <c r="AG64" s="5" t="s">
        <v>260</v>
      </c>
      <c r="AI64" s="5" t="s">
        <v>147</v>
      </c>
      <c r="AL64" s="4" t="s">
        <v>222</v>
      </c>
      <c r="AT64" s="5" t="s">
        <v>217</v>
      </c>
    </row>
    <row r="65" spans="1:46" s="5" customFormat="1" x14ac:dyDescent="0.3">
      <c r="A65" s="5" t="str">
        <f t="shared" si="0"/>
        <v>key 65</v>
      </c>
      <c r="B65" s="5" t="s">
        <v>64</v>
      </c>
      <c r="C65" s="4"/>
      <c r="D65" s="4"/>
      <c r="E65" s="19" t="s">
        <v>97</v>
      </c>
      <c r="N65" s="5">
        <v>30</v>
      </c>
      <c r="AE65" s="5" t="s">
        <v>282</v>
      </c>
      <c r="AF65" s="5" t="s">
        <v>283</v>
      </c>
      <c r="AG65" s="5" t="s">
        <v>260</v>
      </c>
      <c r="AI65" s="5" t="s">
        <v>148</v>
      </c>
      <c r="AL65" s="4" t="s">
        <v>222</v>
      </c>
      <c r="AT65" s="5" t="s">
        <v>217</v>
      </c>
    </row>
    <row r="66" spans="1:46" s="5" customFormat="1" x14ac:dyDescent="0.3">
      <c r="A66" s="5" t="str">
        <f t="shared" si="0"/>
        <v>key 66</v>
      </c>
      <c r="B66" s="5" t="s">
        <v>64</v>
      </c>
      <c r="C66" s="4"/>
      <c r="D66" s="4"/>
      <c r="E66" s="19" t="s">
        <v>99</v>
      </c>
      <c r="N66" s="5">
        <v>30</v>
      </c>
      <c r="AG66" s="5" t="s">
        <v>260</v>
      </c>
      <c r="AI66" s="5" t="s">
        <v>150</v>
      </c>
      <c r="AL66" s="4" t="s">
        <v>222</v>
      </c>
      <c r="AT66" s="5" t="s">
        <v>217</v>
      </c>
    </row>
    <row r="67" spans="1:46" s="5" customFormat="1" x14ac:dyDescent="0.3">
      <c r="A67" s="5" t="str">
        <f t="shared" si="0"/>
        <v>key 67</v>
      </c>
      <c r="B67" s="5" t="s">
        <v>64</v>
      </c>
      <c r="C67" s="4"/>
      <c r="D67" s="4"/>
      <c r="E67" s="19" t="s">
        <v>93</v>
      </c>
      <c r="N67" s="5">
        <v>40</v>
      </c>
      <c r="AG67" s="5" t="s">
        <v>260</v>
      </c>
      <c r="AI67" s="5" t="s">
        <v>146</v>
      </c>
      <c r="AL67" s="4" t="s">
        <v>222</v>
      </c>
      <c r="AT67" s="5" t="s">
        <v>217</v>
      </c>
    </row>
    <row r="68" spans="1:46" s="5" customFormat="1" x14ac:dyDescent="0.3">
      <c r="A68" s="5" t="str">
        <f t="shared" si="0"/>
        <v>key 68</v>
      </c>
      <c r="B68" s="5" t="s">
        <v>64</v>
      </c>
      <c r="C68" s="4"/>
      <c r="D68" s="4"/>
      <c r="E68" s="19" t="s">
        <v>95</v>
      </c>
      <c r="N68" s="5">
        <v>40</v>
      </c>
      <c r="AG68" s="5" t="s">
        <v>260</v>
      </c>
      <c r="AI68" s="5" t="s">
        <v>174</v>
      </c>
      <c r="AL68" s="4" t="s">
        <v>222</v>
      </c>
      <c r="AT68" s="5" t="s">
        <v>217</v>
      </c>
    </row>
    <row r="69" spans="1:46" s="5" customFormat="1" ht="27.6" x14ac:dyDescent="0.3">
      <c r="A69" s="5" t="str">
        <f t="shared" ref="A69:A110" si="1">"key " &amp; ROW(A69)</f>
        <v>key 69</v>
      </c>
      <c r="B69" s="5" t="s">
        <v>64</v>
      </c>
      <c r="C69" s="4"/>
      <c r="D69" s="4"/>
      <c r="E69" s="19" t="s">
        <v>96</v>
      </c>
      <c r="N69" s="5">
        <v>40</v>
      </c>
      <c r="AG69" s="5" t="s">
        <v>260</v>
      </c>
      <c r="AI69" s="5" t="s">
        <v>147</v>
      </c>
      <c r="AL69" s="4" t="s">
        <v>222</v>
      </c>
      <c r="AT69" s="5" t="s">
        <v>217</v>
      </c>
    </row>
    <row r="70" spans="1:46" s="5" customFormat="1" x14ac:dyDescent="0.3">
      <c r="A70" s="5" t="str">
        <f t="shared" si="1"/>
        <v>key 70</v>
      </c>
      <c r="B70" s="5" t="s">
        <v>64</v>
      </c>
      <c r="C70" s="4"/>
      <c r="D70" s="4"/>
      <c r="E70" s="19" t="s">
        <v>97</v>
      </c>
      <c r="N70" s="5">
        <v>40</v>
      </c>
      <c r="AG70" s="5" t="s">
        <v>260</v>
      </c>
      <c r="AI70" s="5" t="s">
        <v>148</v>
      </c>
      <c r="AL70" s="4" t="s">
        <v>222</v>
      </c>
      <c r="AT70" s="5" t="s">
        <v>217</v>
      </c>
    </row>
    <row r="71" spans="1:46" s="5" customFormat="1" x14ac:dyDescent="0.3">
      <c r="A71" s="5" t="str">
        <f t="shared" si="1"/>
        <v>key 71</v>
      </c>
      <c r="B71" s="5" t="s">
        <v>64</v>
      </c>
      <c r="C71" s="4"/>
      <c r="D71" s="4"/>
      <c r="E71" s="19" t="s">
        <v>99</v>
      </c>
      <c r="N71" s="5">
        <v>40</v>
      </c>
      <c r="AG71" s="5" t="s">
        <v>260</v>
      </c>
      <c r="AI71" s="5" t="s">
        <v>150</v>
      </c>
      <c r="AL71" s="4" t="s">
        <v>222</v>
      </c>
      <c r="AT71" s="5" t="s">
        <v>217</v>
      </c>
    </row>
    <row r="72" spans="1:46" x14ac:dyDescent="0.3">
      <c r="A72" s="5" t="str">
        <f t="shared" si="1"/>
        <v>key 72</v>
      </c>
      <c r="AT72" s="5" t="s">
        <v>217</v>
      </c>
    </row>
    <row r="73" spans="1:46" x14ac:dyDescent="0.3">
      <c r="A73" s="5" t="str">
        <f t="shared" si="1"/>
        <v>key 73</v>
      </c>
      <c r="B73" s="5" t="s">
        <v>61</v>
      </c>
      <c r="K73" s="5" t="s">
        <v>254</v>
      </c>
      <c r="P73" s="5">
        <v>100</v>
      </c>
      <c r="AG73" s="5" t="s">
        <v>260</v>
      </c>
      <c r="AJ73" s="5" t="s">
        <v>259</v>
      </c>
      <c r="AT73" s="5" t="s">
        <v>217</v>
      </c>
    </row>
    <row r="74" spans="1:46" x14ac:dyDescent="0.3">
      <c r="A74" s="5" t="str">
        <f t="shared" si="1"/>
        <v>key 74</v>
      </c>
      <c r="B74" s="5" t="s">
        <v>61</v>
      </c>
      <c r="P74" s="5">
        <v>50</v>
      </c>
      <c r="AG74" s="5" t="s">
        <v>260</v>
      </c>
      <c r="AJ74" s="10" t="s">
        <v>254</v>
      </c>
      <c r="AT74" s="5" t="s">
        <v>217</v>
      </c>
    </row>
    <row r="75" spans="1:46" s="5" customFormat="1" x14ac:dyDescent="0.3">
      <c r="A75" s="5" t="str">
        <f t="shared" si="1"/>
        <v>key 75</v>
      </c>
      <c r="B75" s="5" t="s">
        <v>61</v>
      </c>
      <c r="C75" s="4"/>
      <c r="D75" s="4"/>
      <c r="P75" s="5">
        <v>50</v>
      </c>
      <c r="AG75" s="5" t="s">
        <v>260</v>
      </c>
      <c r="AJ75" s="10" t="s">
        <v>184</v>
      </c>
      <c r="AT75" s="5" t="s">
        <v>217</v>
      </c>
    </row>
    <row r="76" spans="1:46" x14ac:dyDescent="0.3">
      <c r="A76" s="5" t="str">
        <f t="shared" si="1"/>
        <v>key 76</v>
      </c>
      <c r="B76" s="5" t="s">
        <v>61</v>
      </c>
      <c r="P76" s="5">
        <v>50</v>
      </c>
      <c r="AG76" s="5" t="s">
        <v>260</v>
      </c>
      <c r="AJ76" s="10" t="s">
        <v>185</v>
      </c>
      <c r="AT76" s="5" t="s">
        <v>217</v>
      </c>
    </row>
    <row r="77" spans="1:46" x14ac:dyDescent="0.3">
      <c r="A77" s="5" t="str">
        <f t="shared" si="1"/>
        <v>key 77</v>
      </c>
      <c r="B77" s="5" t="s">
        <v>61</v>
      </c>
      <c r="P77" s="5">
        <v>50</v>
      </c>
      <c r="AG77" s="5" t="s">
        <v>260</v>
      </c>
      <c r="AJ77" s="10" t="s">
        <v>258</v>
      </c>
      <c r="AL77" s="4"/>
      <c r="AT77" s="5" t="s">
        <v>217</v>
      </c>
    </row>
    <row r="78" spans="1:46" x14ac:dyDescent="0.3">
      <c r="A78" s="5" t="str">
        <f t="shared" si="1"/>
        <v>key 78</v>
      </c>
      <c r="B78" s="5" t="s">
        <v>61</v>
      </c>
      <c r="E78" s="19" t="s">
        <v>99</v>
      </c>
      <c r="N78" s="5">
        <v>30</v>
      </c>
      <c r="P78" s="5">
        <v>50</v>
      </c>
      <c r="AF78" s="5" t="s">
        <v>261</v>
      </c>
      <c r="AG78" s="5" t="s">
        <v>260</v>
      </c>
      <c r="AJ78" s="5" t="s">
        <v>254</v>
      </c>
      <c r="AL78" s="4" t="s">
        <v>52</v>
      </c>
    </row>
    <row r="79" spans="1:46" x14ac:dyDescent="0.3">
      <c r="A79" s="5" t="str">
        <f t="shared" si="1"/>
        <v>key 79</v>
      </c>
      <c r="B79" s="5" t="s">
        <v>61</v>
      </c>
      <c r="E79" s="19" t="s">
        <v>99</v>
      </c>
      <c r="N79" s="5">
        <v>30</v>
      </c>
      <c r="P79" s="5">
        <v>50</v>
      </c>
      <c r="AF79" s="5" t="s">
        <v>262</v>
      </c>
      <c r="AG79" s="5" t="s">
        <v>260</v>
      </c>
      <c r="AJ79" s="10" t="s">
        <v>258</v>
      </c>
      <c r="AL79" s="4" t="s">
        <v>54</v>
      </c>
      <c r="AT79" s="5" t="s">
        <v>217</v>
      </c>
    </row>
    <row r="80" spans="1:46" x14ac:dyDescent="0.3">
      <c r="A80" s="5" t="str">
        <f t="shared" si="1"/>
        <v>key 80</v>
      </c>
      <c r="B80" s="5" t="s">
        <v>61</v>
      </c>
      <c r="E80" s="19" t="s">
        <v>99</v>
      </c>
      <c r="N80" s="5">
        <v>30</v>
      </c>
      <c r="P80" s="5">
        <v>50</v>
      </c>
      <c r="AF80" s="5" t="s">
        <v>263</v>
      </c>
      <c r="AG80" s="5" t="s">
        <v>260</v>
      </c>
      <c r="AJ80" s="10" t="s">
        <v>254</v>
      </c>
      <c r="AL80" s="4" t="s">
        <v>55</v>
      </c>
      <c r="AT80" s="5" t="s">
        <v>217</v>
      </c>
    </row>
    <row r="81" spans="1:46" x14ac:dyDescent="0.3">
      <c r="A81" s="5" t="str">
        <f t="shared" si="1"/>
        <v>key 81</v>
      </c>
      <c r="B81" s="5" t="s">
        <v>64</v>
      </c>
      <c r="E81" s="19" t="s">
        <v>99</v>
      </c>
      <c r="N81" s="5">
        <v>30</v>
      </c>
      <c r="AF81" s="5" t="s">
        <v>264</v>
      </c>
      <c r="AL81" s="4" t="s">
        <v>51</v>
      </c>
      <c r="AT81" s="5" t="s">
        <v>217</v>
      </c>
    </row>
    <row r="82" spans="1:46" x14ac:dyDescent="0.3">
      <c r="A82" s="5" t="str">
        <f t="shared" si="1"/>
        <v>key 82</v>
      </c>
      <c r="B82" s="5" t="s">
        <v>64</v>
      </c>
      <c r="E82" s="19" t="s">
        <v>99</v>
      </c>
      <c r="N82" s="5">
        <v>30</v>
      </c>
      <c r="AF82" s="5" t="s">
        <v>265</v>
      </c>
      <c r="AL82" s="4" t="s">
        <v>222</v>
      </c>
      <c r="AT82" s="5" t="s">
        <v>217</v>
      </c>
    </row>
    <row r="83" spans="1:46" x14ac:dyDescent="0.3">
      <c r="A83" s="5" t="str">
        <f t="shared" si="1"/>
        <v>key 83</v>
      </c>
      <c r="B83" s="5" t="s">
        <v>64</v>
      </c>
      <c r="E83" s="19" t="s">
        <v>99</v>
      </c>
      <c r="N83" s="5">
        <v>30</v>
      </c>
      <c r="AF83" s="5" t="s">
        <v>266</v>
      </c>
      <c r="AL83" s="4" t="s">
        <v>52</v>
      </c>
      <c r="AT83" s="5" t="s">
        <v>217</v>
      </c>
    </row>
    <row r="84" spans="1:46" x14ac:dyDescent="0.3">
      <c r="A84" s="5" t="str">
        <f t="shared" si="1"/>
        <v>key 84</v>
      </c>
      <c r="B84" s="5" t="s">
        <v>64</v>
      </c>
      <c r="E84" s="19" t="s">
        <v>99</v>
      </c>
      <c r="N84" s="5">
        <v>30</v>
      </c>
      <c r="AF84" s="5" t="s">
        <v>261</v>
      </c>
      <c r="AL84" s="4" t="s">
        <v>54</v>
      </c>
      <c r="AT84" s="5" t="s">
        <v>217</v>
      </c>
    </row>
    <row r="85" spans="1:46" x14ac:dyDescent="0.3">
      <c r="A85" s="5" t="str">
        <f t="shared" si="1"/>
        <v>key 85</v>
      </c>
      <c r="B85" s="5" t="s">
        <v>64</v>
      </c>
      <c r="E85" s="19" t="s">
        <v>99</v>
      </c>
      <c r="N85" s="5">
        <v>30</v>
      </c>
      <c r="AF85" s="5" t="s">
        <v>262</v>
      </c>
      <c r="AL85" s="4" t="s">
        <v>55</v>
      </c>
      <c r="AT85" s="5" t="s">
        <v>217</v>
      </c>
    </row>
    <row r="86" spans="1:46" x14ac:dyDescent="0.3">
      <c r="A86" s="5" t="str">
        <f t="shared" si="1"/>
        <v>key 86</v>
      </c>
      <c r="B86" s="5" t="s">
        <v>64</v>
      </c>
      <c r="E86" s="19" t="s">
        <v>99</v>
      </c>
      <c r="N86" s="5">
        <v>30</v>
      </c>
      <c r="AF86" s="5" t="s">
        <v>263</v>
      </c>
      <c r="AL86" s="4" t="s">
        <v>51</v>
      </c>
      <c r="AT86" s="5" t="s">
        <v>217</v>
      </c>
    </row>
    <row r="87" spans="1:46" x14ac:dyDescent="0.3">
      <c r="A87" s="5" t="str">
        <f t="shared" si="1"/>
        <v>key 87</v>
      </c>
      <c r="B87" s="5" t="s">
        <v>64</v>
      </c>
      <c r="E87" s="19" t="s">
        <v>99</v>
      </c>
      <c r="N87" s="5">
        <v>30</v>
      </c>
      <c r="AF87" s="5" t="s">
        <v>264</v>
      </c>
      <c r="AL87" s="4" t="s">
        <v>222</v>
      </c>
      <c r="AT87" s="5" t="s">
        <v>217</v>
      </c>
    </row>
    <row r="88" spans="1:46" x14ac:dyDescent="0.3">
      <c r="A88" s="5" t="str">
        <f t="shared" si="1"/>
        <v>key 88</v>
      </c>
      <c r="B88" s="5" t="s">
        <v>64</v>
      </c>
      <c r="E88" s="19" t="s">
        <v>99</v>
      </c>
      <c r="N88" s="5">
        <v>30</v>
      </c>
      <c r="AF88" s="5" t="s">
        <v>265</v>
      </c>
      <c r="AL88" s="4" t="s">
        <v>52</v>
      </c>
      <c r="AT88" s="5" t="s">
        <v>217</v>
      </c>
    </row>
    <row r="89" spans="1:46" x14ac:dyDescent="0.3">
      <c r="A89" s="5" t="str">
        <f t="shared" si="1"/>
        <v>key 89</v>
      </c>
      <c r="B89" s="5" t="s">
        <v>64</v>
      </c>
      <c r="E89" s="19" t="s">
        <v>99</v>
      </c>
      <c r="N89" s="5">
        <v>30</v>
      </c>
      <c r="AF89" s="5" t="s">
        <v>266</v>
      </c>
      <c r="AL89" s="4" t="s">
        <v>54</v>
      </c>
      <c r="AT89" s="5" t="s">
        <v>217</v>
      </c>
    </row>
    <row r="90" spans="1:46" x14ac:dyDescent="0.3">
      <c r="A90" s="5" t="str">
        <f t="shared" si="1"/>
        <v>key 90</v>
      </c>
      <c r="B90" s="5" t="s">
        <v>64</v>
      </c>
      <c r="E90" s="19" t="s">
        <v>99</v>
      </c>
      <c r="N90" s="5">
        <v>30</v>
      </c>
      <c r="AF90" s="5" t="s">
        <v>261</v>
      </c>
      <c r="AL90" s="4" t="s">
        <v>55</v>
      </c>
      <c r="AT90" s="5" t="s">
        <v>217</v>
      </c>
    </row>
    <row r="91" spans="1:46" x14ac:dyDescent="0.3">
      <c r="A91" s="5" t="str">
        <f t="shared" si="1"/>
        <v>key 91</v>
      </c>
      <c r="B91" s="5" t="s">
        <v>64</v>
      </c>
      <c r="E91" s="19" t="s">
        <v>99</v>
      </c>
      <c r="N91" s="5">
        <v>30</v>
      </c>
      <c r="AF91" s="5" t="s">
        <v>262</v>
      </c>
      <c r="AL91" s="4" t="s">
        <v>51</v>
      </c>
      <c r="AT91" s="5" t="s">
        <v>217</v>
      </c>
    </row>
    <row r="92" spans="1:46" x14ac:dyDescent="0.3">
      <c r="A92" s="5" t="str">
        <f t="shared" si="1"/>
        <v>key 92</v>
      </c>
      <c r="B92" s="5" t="s">
        <v>64</v>
      </c>
      <c r="E92" s="19" t="s">
        <v>99</v>
      </c>
      <c r="N92" s="5">
        <v>30</v>
      </c>
      <c r="AF92" s="5" t="s">
        <v>261</v>
      </c>
      <c r="AT92" s="5" t="s">
        <v>217</v>
      </c>
    </row>
    <row r="93" spans="1:46" x14ac:dyDescent="0.3">
      <c r="A93" s="5" t="str">
        <f t="shared" si="1"/>
        <v>key 93</v>
      </c>
      <c r="B93" s="5" t="s">
        <v>57</v>
      </c>
      <c r="E93" s="19" t="s">
        <v>223</v>
      </c>
      <c r="AT93" s="5" t="s">
        <v>217</v>
      </c>
    </row>
    <row r="94" spans="1:46" x14ac:dyDescent="0.3">
      <c r="A94" s="5" t="str">
        <f t="shared" si="1"/>
        <v>key 94</v>
      </c>
      <c r="B94" s="5" t="s">
        <v>57</v>
      </c>
      <c r="E94" s="19" t="s">
        <v>224</v>
      </c>
      <c r="AT94" s="5" t="s">
        <v>217</v>
      </c>
    </row>
    <row r="95" spans="1:46" x14ac:dyDescent="0.3">
      <c r="A95" s="5" t="str">
        <f t="shared" si="1"/>
        <v>key 95</v>
      </c>
      <c r="B95" s="5" t="s">
        <v>57</v>
      </c>
      <c r="E95" s="19" t="s">
        <v>225</v>
      </c>
      <c r="AT95" s="5" t="s">
        <v>217</v>
      </c>
    </row>
    <row r="96" spans="1:46" ht="27.6" x14ac:dyDescent="0.3">
      <c r="A96" s="5" t="str">
        <f t="shared" si="1"/>
        <v>key 96</v>
      </c>
      <c r="B96" s="5" t="s">
        <v>57</v>
      </c>
      <c r="E96" s="19" t="s">
        <v>226</v>
      </c>
      <c r="AT96" s="5" t="s">
        <v>217</v>
      </c>
    </row>
    <row r="97" spans="1:47" x14ac:dyDescent="0.3">
      <c r="A97" s="5" t="str">
        <f t="shared" si="1"/>
        <v>key 97</v>
      </c>
      <c r="B97" s="5" t="s">
        <v>57</v>
      </c>
      <c r="E97" s="19" t="s">
        <v>227</v>
      </c>
      <c r="AT97" s="5" t="s">
        <v>217</v>
      </c>
    </row>
    <row r="98" spans="1:47" ht="27.6" x14ac:dyDescent="0.3">
      <c r="A98" s="5" t="str">
        <f t="shared" si="1"/>
        <v>key 98</v>
      </c>
      <c r="B98" s="5" t="s">
        <v>57</v>
      </c>
      <c r="E98" s="19" t="s">
        <v>228</v>
      </c>
      <c r="AT98" s="5" t="s">
        <v>217</v>
      </c>
    </row>
    <row r="99" spans="1:47" x14ac:dyDescent="0.3">
      <c r="A99" s="5" t="str">
        <f t="shared" si="1"/>
        <v>key 99</v>
      </c>
      <c r="B99" s="5" t="s">
        <v>57</v>
      </c>
      <c r="E99" s="19" t="s">
        <v>229</v>
      </c>
      <c r="AT99" s="5" t="s">
        <v>217</v>
      </c>
    </row>
    <row r="100" spans="1:47" ht="41.4" x14ac:dyDescent="0.3">
      <c r="A100" s="5" t="str">
        <f t="shared" si="1"/>
        <v>key 100</v>
      </c>
      <c r="B100" s="5" t="s">
        <v>57</v>
      </c>
      <c r="E100" s="19" t="s">
        <v>230</v>
      </c>
      <c r="AT100" s="5" t="s">
        <v>217</v>
      </c>
    </row>
    <row r="101" spans="1:47" ht="41.4" x14ac:dyDescent="0.3">
      <c r="A101" s="5" t="str">
        <f t="shared" si="1"/>
        <v>key 101</v>
      </c>
      <c r="B101" s="5" t="s">
        <v>57</v>
      </c>
      <c r="E101" s="19" t="s">
        <v>231</v>
      </c>
      <c r="AT101" s="5" t="s">
        <v>217</v>
      </c>
    </row>
    <row r="102" spans="1:47" ht="27.6" x14ac:dyDescent="0.3">
      <c r="A102" s="5" t="str">
        <f t="shared" si="1"/>
        <v>key 102</v>
      </c>
      <c r="B102" s="5" t="s">
        <v>57</v>
      </c>
      <c r="E102" s="19" t="s">
        <v>232</v>
      </c>
      <c r="AT102" s="5" t="s">
        <v>217</v>
      </c>
    </row>
    <row r="103" spans="1:47" ht="27.6" x14ac:dyDescent="0.3">
      <c r="A103" s="5" t="str">
        <f t="shared" si="1"/>
        <v>key 103</v>
      </c>
      <c r="B103" s="5" t="s">
        <v>57</v>
      </c>
      <c r="E103" s="19" t="s">
        <v>233</v>
      </c>
      <c r="AT103" s="5" t="s">
        <v>217</v>
      </c>
    </row>
    <row r="104" spans="1:47" ht="27.6" x14ac:dyDescent="0.3">
      <c r="A104" s="5" t="str">
        <f t="shared" si="1"/>
        <v>key 104</v>
      </c>
      <c r="B104" s="5" t="s">
        <v>57</v>
      </c>
      <c r="E104" s="19" t="s">
        <v>234</v>
      </c>
      <c r="AT104" s="5" t="s">
        <v>217</v>
      </c>
    </row>
    <row r="105" spans="1:47" s="5" customFormat="1" x14ac:dyDescent="0.3">
      <c r="A105" s="5" t="str">
        <f t="shared" si="1"/>
        <v>key 105</v>
      </c>
      <c r="B105" s="5" t="s">
        <v>65</v>
      </c>
      <c r="C105" s="4"/>
      <c r="D105" s="4"/>
      <c r="E105" s="19" t="s">
        <v>80</v>
      </c>
      <c r="AF105" s="5" t="s">
        <v>261</v>
      </c>
      <c r="AG105" s="5" t="s">
        <v>260</v>
      </c>
      <c r="AH105" s="5" t="s">
        <v>154</v>
      </c>
      <c r="AL105" s="4" t="s">
        <v>222</v>
      </c>
      <c r="AT105" s="5" t="s">
        <v>217</v>
      </c>
    </row>
    <row r="106" spans="1:47" s="5" customFormat="1" x14ac:dyDescent="0.3">
      <c r="A106" s="5" t="str">
        <f t="shared" si="1"/>
        <v>key 106</v>
      </c>
      <c r="B106" s="5" t="s">
        <v>65</v>
      </c>
      <c r="C106" s="4"/>
      <c r="D106" s="4"/>
      <c r="E106" s="19" t="s">
        <v>80</v>
      </c>
      <c r="AF106" s="5" t="s">
        <v>261</v>
      </c>
      <c r="AG106" s="5" t="s">
        <v>260</v>
      </c>
      <c r="AH106" s="5" t="s">
        <v>155</v>
      </c>
      <c r="AL106" s="4" t="s">
        <v>222</v>
      </c>
      <c r="AT106" s="5" t="s">
        <v>217</v>
      </c>
    </row>
    <row r="107" spans="1:47" s="5" customFormat="1" x14ac:dyDescent="0.3">
      <c r="A107" s="5" t="str">
        <f t="shared" si="1"/>
        <v>key 107</v>
      </c>
      <c r="B107" s="5" t="s">
        <v>65</v>
      </c>
      <c r="C107" s="4"/>
      <c r="D107" s="4"/>
      <c r="E107" s="19" t="s">
        <v>80</v>
      </c>
      <c r="AF107" s="5" t="s">
        <v>261</v>
      </c>
      <c r="AG107" s="5" t="s">
        <v>260</v>
      </c>
      <c r="AH107" s="5" t="s">
        <v>156</v>
      </c>
      <c r="AL107" s="4" t="s">
        <v>222</v>
      </c>
      <c r="AT107" s="5" t="s">
        <v>217</v>
      </c>
    </row>
    <row r="108" spans="1:47" s="5" customFormat="1" x14ac:dyDescent="0.3">
      <c r="A108" s="5" t="str">
        <f t="shared" si="1"/>
        <v>key 108</v>
      </c>
      <c r="B108" s="5" t="s">
        <v>65</v>
      </c>
      <c r="C108" s="4"/>
      <c r="D108" s="4"/>
      <c r="E108" s="19" t="s">
        <v>80</v>
      </c>
      <c r="AF108" s="5" t="s">
        <v>261</v>
      </c>
      <c r="AG108" s="5" t="s">
        <v>260</v>
      </c>
      <c r="AH108" s="5" t="s">
        <v>157</v>
      </c>
      <c r="AL108" s="4" t="s">
        <v>222</v>
      </c>
      <c r="AT108" s="5" t="s">
        <v>217</v>
      </c>
    </row>
    <row r="109" spans="1:47" s="5" customFormat="1" x14ac:dyDescent="0.3">
      <c r="A109" s="5" t="str">
        <f t="shared" si="1"/>
        <v>key 109</v>
      </c>
      <c r="B109" s="5" t="s">
        <v>65</v>
      </c>
      <c r="C109" s="4"/>
      <c r="D109" s="4"/>
      <c r="E109" s="19" t="s">
        <v>80</v>
      </c>
      <c r="AF109" s="5" t="s">
        <v>261</v>
      </c>
      <c r="AG109" s="5" t="s">
        <v>260</v>
      </c>
      <c r="AH109" s="5" t="s">
        <v>158</v>
      </c>
      <c r="AL109" s="4" t="s">
        <v>222</v>
      </c>
      <c r="AT109" s="5" t="s">
        <v>217</v>
      </c>
    </row>
    <row r="110" spans="1:47" x14ac:dyDescent="0.3">
      <c r="A110" s="5" t="str">
        <f t="shared" si="1"/>
        <v>key 110</v>
      </c>
      <c r="B110" s="5" t="s">
        <v>57</v>
      </c>
      <c r="E110" s="19" t="s">
        <v>235</v>
      </c>
      <c r="AT110" s="5" t="s">
        <v>217</v>
      </c>
      <c r="AU110" s="5" t="s">
        <v>118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4" x14ac:dyDescent="0.3"/>
  <sheetData>
    <row r="1" spans="1:2" x14ac:dyDescent="0.3">
      <c r="A1" s="43" t="s">
        <v>198</v>
      </c>
    </row>
    <row r="3" spans="1:2" x14ac:dyDescent="0.3">
      <c r="A3" t="s">
        <v>195</v>
      </c>
    </row>
    <row r="4" spans="1:2" x14ac:dyDescent="0.3">
      <c r="B4" t="s">
        <v>194</v>
      </c>
    </row>
    <row r="5" spans="1:2" x14ac:dyDescent="0.3">
      <c r="A5" t="s">
        <v>209</v>
      </c>
    </row>
    <row r="6" spans="1:2" x14ac:dyDescent="0.3">
      <c r="B6" t="s">
        <v>210</v>
      </c>
    </row>
    <row r="7" spans="1:2" x14ac:dyDescent="0.3">
      <c r="A7" t="s">
        <v>211</v>
      </c>
    </row>
    <row r="8" spans="1:2" x14ac:dyDescent="0.3">
      <c r="B8" t="s">
        <v>196</v>
      </c>
    </row>
    <row r="9" spans="1:2" x14ac:dyDescent="0.3">
      <c r="A9" t="s">
        <v>212</v>
      </c>
    </row>
    <row r="10" spans="1:2" x14ac:dyDescent="0.3">
      <c r="B10" t="s">
        <v>197</v>
      </c>
    </row>
    <row r="11" spans="1:2" x14ac:dyDescent="0.3">
      <c r="A11" t="s">
        <v>213</v>
      </c>
    </row>
    <row r="12" spans="1:2" x14ac:dyDescent="0.3">
      <c r="B12" t="s">
        <v>199</v>
      </c>
    </row>
    <row r="13" spans="1:2" x14ac:dyDescent="0.3">
      <c r="B13" t="s">
        <v>200</v>
      </c>
    </row>
    <row r="14" spans="1:2" x14ac:dyDescent="0.3">
      <c r="A14" t="s">
        <v>214</v>
      </c>
    </row>
    <row r="15" spans="1:2" x14ac:dyDescent="0.3">
      <c r="B15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Release</vt:lpstr>
      <vt:lpstr>Admin</vt:lpstr>
      <vt:lpstr>Visio Import</vt:lpstr>
      <vt:lpstr>BoA Audit</vt:lpstr>
      <vt:lpstr>UiPath Integration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  <vt:lpstr>'BoA Audit'!Table10</vt:lpstr>
      <vt:lpstr>'UiPath Integration'!Table10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2020-05-30T15:15:35Z</dcterms:modified>
</cp:coreProperties>
</file>