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4F49D891-1B7F-4CAF-9257-D5207BD18EC1}" xr6:coauthVersionLast="31" xr6:coauthVersionMax="31" xr10:uidLastSave="{00000000-0000-0000-0000-000000000000}"/>
  <bookViews>
    <workbookView xWindow="0" yWindow="0" windowWidth="21600" windowHeight="8715" tabRatio="933" xr2:uid="{00000000-000D-0000-FFFF-FFFF00000000}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OFFSET(Issues!$A$1,0,0,COUNTA(Issues!$A$1:$A$10003),COUNTA(Issues!$A$1:$AAP$1) - 1)</definedName>
  </definedNames>
  <calcPr calcId="179017"/>
  <pivotCaches>
    <pivotCache cacheId="124" r:id="rId18"/>
  </pivotCaches>
  <fileRecoveryPr autoRecover="0"/>
</workbook>
</file>

<file path=xl/calcChain.xml><?xml version="1.0" encoding="utf-8"?>
<calcChain xmlns="http://schemas.openxmlformats.org/spreadsheetml/2006/main">
  <c r="T15" i="9" l="1"/>
  <c r="R15" i="9"/>
  <c r="P15" i="9"/>
  <c r="P14" i="9"/>
  <c r="R14" i="9"/>
  <c r="C29" i="24"/>
  <c r="G17" i="26"/>
  <c r="U17" i="9"/>
  <c r="Q17" i="26"/>
  <c r="M17" i="9"/>
  <c r="T17" i="26"/>
  <c r="W17" i="26"/>
  <c r="D29" i="24"/>
  <c r="S17" i="9"/>
  <c r="N17" i="9"/>
  <c r="Q17" i="9"/>
  <c r="V17" i="26"/>
  <c r="I17" i="26"/>
  <c r="Y17" i="26"/>
  <c r="O17" i="9"/>
  <c r="N17" i="26"/>
  <c r="F17" i="26"/>
  <c r="L17" i="26"/>
  <c r="O17" i="26"/>
  <c r="D17" i="26"/>
  <c r="X17" i="26" l="1"/>
  <c r="AA17" i="26" s="1"/>
  <c r="P17" i="26"/>
  <c r="S17" i="26" s="1"/>
  <c r="Z17" i="26"/>
  <c r="H17" i="26"/>
  <c r="K17" i="26" s="1"/>
  <c r="R17" i="26"/>
  <c r="J17" i="26"/>
  <c r="X16" i="26"/>
  <c r="AA16" i="26" s="1"/>
  <c r="P16" i="26"/>
  <c r="S16" i="26" s="1"/>
  <c r="Z16" i="26"/>
  <c r="R16" i="26"/>
  <c r="H16" i="26"/>
  <c r="K16" i="26" s="1"/>
  <c r="J16" i="26"/>
  <c r="P15" i="26"/>
  <c r="S15" i="26" s="1"/>
  <c r="J15" i="26"/>
  <c r="R15" i="26"/>
  <c r="H15" i="26"/>
  <c r="K15" i="26" s="1"/>
  <c r="X15" i="26"/>
  <c r="AA15" i="26" s="1"/>
  <c r="Z15" i="26"/>
  <c r="T3" i="9"/>
  <c r="P3" i="9"/>
  <c r="J14" i="26" l="1"/>
  <c r="H14" i="26"/>
  <c r="K14" i="26" s="1"/>
  <c r="R14" i="26"/>
  <c r="P14" i="26"/>
  <c r="S14" i="26" s="1"/>
  <c r="Z14" i="26"/>
  <c r="X14" i="26"/>
  <c r="AA14" i="26" s="1"/>
  <c r="Z12" i="26"/>
  <c r="X12" i="26"/>
  <c r="AA12" i="26" s="1"/>
  <c r="P12" i="26"/>
  <c r="S12" i="26" s="1"/>
  <c r="R12" i="26"/>
  <c r="H12" i="26"/>
  <c r="K12" i="26" s="1"/>
  <c r="J12" i="26"/>
  <c r="J13" i="26" l="1"/>
  <c r="Z13" i="26"/>
  <c r="P13" i="26"/>
  <c r="S13" i="26" s="1"/>
  <c r="X13" i="26"/>
  <c r="AA13" i="26" s="1"/>
  <c r="R13" i="26"/>
  <c r="H13" i="26"/>
  <c r="K13" i="26" s="1"/>
  <c r="AA10" i="26"/>
  <c r="Z10" i="26"/>
  <c r="X10" i="26"/>
  <c r="R10" i="26"/>
  <c r="P10" i="26"/>
  <c r="S10" i="26" s="1"/>
  <c r="J10" i="26"/>
  <c r="H10" i="26"/>
  <c r="K10" i="26" s="1"/>
  <c r="Z9" i="26"/>
  <c r="X9" i="26"/>
  <c r="AA9" i="26" s="1"/>
  <c r="R9" i="26"/>
  <c r="P9" i="26"/>
  <c r="S9" i="26" s="1"/>
  <c r="J9" i="26"/>
  <c r="H9" i="26"/>
  <c r="K9" i="26" s="1"/>
  <c r="Z8" i="26"/>
  <c r="X8" i="26"/>
  <c r="AA8" i="26" s="1"/>
  <c r="R8" i="26"/>
  <c r="P8" i="26"/>
  <c r="S8" i="26" s="1"/>
  <c r="J8" i="26"/>
  <c r="H8" i="26"/>
  <c r="K8" i="26" s="1"/>
  <c r="Z7" i="26"/>
  <c r="X7" i="26"/>
  <c r="AA7" i="26" s="1"/>
  <c r="R7" i="26"/>
  <c r="P7" i="26"/>
  <c r="S7" i="26" s="1"/>
  <c r="J7" i="26"/>
  <c r="H7" i="26"/>
  <c r="K7" i="26" s="1"/>
  <c r="Z6" i="26"/>
  <c r="X6" i="26"/>
  <c r="AA6" i="26" s="1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R3" i="26"/>
  <c r="P3" i="26"/>
  <c r="S3" i="26" s="1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R9" i="22" l="1"/>
  <c r="R3" i="9" l="1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B10" i="9"/>
  <c r="B12" i="15"/>
  <c r="H12" i="15"/>
  <c r="B14" i="9"/>
  <c r="K12" i="15"/>
  <c r="E12" i="15"/>
  <c r="B15" i="9" l="1"/>
  <c r="B11" i="9"/>
  <c r="E36" i="9"/>
  <c r="B35" i="9" l="1"/>
  <c r="B6" i="9"/>
  <c r="J4" i="9" l="1"/>
  <c r="E15" i="12" l="1"/>
  <c r="E14" i="12"/>
  <c r="C18" i="14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L16" i="9" s="1"/>
  <c r="T16" i="9" s="1"/>
  <c r="H17" i="9"/>
  <c r="J17" i="9" s="1"/>
  <c r="I17" i="9"/>
  <c r="L14" i="9" l="1"/>
  <c r="T14" i="9" s="1"/>
  <c r="L13" i="9"/>
  <c r="T13" i="9" s="1"/>
  <c r="L6" i="9"/>
  <c r="T6" i="9" s="1"/>
  <c r="L9" i="9"/>
  <c r="T9" i="9" s="1"/>
  <c r="L8" i="9"/>
  <c r="T8" i="9" s="1"/>
  <c r="L17" i="9"/>
  <c r="T17" i="9" s="1"/>
  <c r="L5" i="9"/>
  <c r="T5" i="9" s="1"/>
  <c r="L7" i="9"/>
  <c r="T7" i="9" s="1"/>
  <c r="L4" i="9"/>
  <c r="T4" i="9" s="1"/>
  <c r="L11" i="9"/>
  <c r="T11" i="9" s="1"/>
  <c r="L10" i="9"/>
  <c r="T10" i="9" s="1"/>
  <c r="L15" i="9"/>
  <c r="L12" i="9"/>
  <c r="T12" i="9" s="1"/>
  <c r="K16" i="9"/>
  <c r="P16" i="9" s="1"/>
  <c r="K17" i="9"/>
  <c r="P17" i="9" s="1"/>
  <c r="K4" i="9"/>
  <c r="P4" i="9" s="1"/>
  <c r="K7" i="9"/>
  <c r="P7" i="9" s="1"/>
  <c r="K5" i="9"/>
  <c r="P5" i="9" s="1"/>
  <c r="K8" i="9"/>
  <c r="P8" i="9" s="1"/>
  <c r="K6" i="9"/>
  <c r="P6" i="9" s="1"/>
  <c r="K9" i="9"/>
  <c r="P9" i="9" s="1"/>
  <c r="K11" i="9"/>
  <c r="P11" i="9" s="1"/>
  <c r="K10" i="9"/>
  <c r="P10" i="9" s="1"/>
  <c r="K14" i="9"/>
  <c r="K13" i="9"/>
  <c r="K12" i="9"/>
  <c r="P12" i="9" s="1"/>
  <c r="K15" i="9"/>
  <c r="B7" i="9"/>
  <c r="P13" i="9" l="1"/>
  <c r="R13" i="9"/>
  <c r="R16" i="9"/>
  <c r="R8" i="9"/>
  <c r="R12" i="9"/>
  <c r="R5" i="9"/>
  <c r="R4" i="9"/>
  <c r="R17" i="9"/>
  <c r="R7" i="9"/>
  <c r="R9" i="9"/>
  <c r="R6" i="9"/>
  <c r="R10" i="9"/>
  <c r="R11" i="9"/>
</calcChain>
</file>

<file path=xl/sharedStrings.xml><?xml version="1.0" encoding="utf-8"?>
<sst xmlns="http://schemas.openxmlformats.org/spreadsheetml/2006/main" count="983" uniqueCount="281">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</sst>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6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10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0.96551724137931039</c:v>
                </c:pt>
                <c:pt idx="1">
                  <c:v>3.4482758620689613E-2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0.7147</c:v>
                </c:pt>
                <c:pt idx="11">
                  <c:v>0.82769999999999999</c:v>
                </c:pt>
                <c:pt idx="12">
                  <c:v>0.93130000000000002</c:v>
                </c:pt>
                <c:pt idx="13">
                  <c:v>0.99270000000000003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310</c:v>
                </c:pt>
                <c:pt idx="11">
                  <c:v>180.5</c:v>
                </c:pt>
                <c:pt idx="12">
                  <c:v>68</c:v>
                </c:pt>
                <c:pt idx="13">
                  <c:v>7</c:v>
                </c:pt>
                <c:pt idx="1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1047.5</c:v>
                </c:pt>
                <c:pt idx="12">
                  <c:v>990.5</c:v>
                </c:pt>
                <c:pt idx="13">
                  <c:v>964.5</c:v>
                </c:pt>
                <c:pt idx="1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1026.5</c:v>
                </c:pt>
                <c:pt idx="12">
                  <c:v>990.5</c:v>
                </c:pt>
                <c:pt idx="13">
                  <c:v>964.5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1000</c:v>
                </c:pt>
                <c:pt idx="12">
                  <c:v>981.5</c:v>
                </c:pt>
                <c:pt idx="13">
                  <c:v>964.5</c:v>
                </c:pt>
                <c:pt idx="1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867</c:v>
                </c:pt>
                <c:pt idx="12">
                  <c:v>922.5</c:v>
                </c:pt>
                <c:pt idx="13">
                  <c:v>957.5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0.96551724137931039</c:v>
                </c:pt>
                <c:pt idx="1">
                  <c:v>3.4482758620689613E-2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0.73460000000000003</c:v>
                </c:pt>
                <c:pt idx="11">
                  <c:v>0.79830000000000001</c:v>
                </c:pt>
                <c:pt idx="12">
                  <c:v>0.86060000000000003</c:v>
                </c:pt>
                <c:pt idx="13">
                  <c:v>0.90720000000000001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700</c:v>
                </c:pt>
                <c:pt idx="1">
                  <c:v>669.82758620689651</c:v>
                </c:pt>
                <c:pt idx="2">
                  <c:v>609.48275862068965</c:v>
                </c:pt>
                <c:pt idx="3">
                  <c:v>549.13793103448279</c:v>
                </c:pt>
                <c:pt idx="4">
                  <c:v>494.82758620689651</c:v>
                </c:pt>
                <c:pt idx="5">
                  <c:v>434.48275862068965</c:v>
                </c:pt>
                <c:pt idx="6">
                  <c:v>374.13793103448279</c:v>
                </c:pt>
                <c:pt idx="7">
                  <c:v>319.82758620689651</c:v>
                </c:pt>
                <c:pt idx="8">
                  <c:v>319.82758620689651</c:v>
                </c:pt>
                <c:pt idx="9">
                  <c:v>259.48275862068965</c:v>
                </c:pt>
                <c:pt idx="10">
                  <c:v>205.17241379310346</c:v>
                </c:pt>
                <c:pt idx="11">
                  <c:v>144.82758620689654</c:v>
                </c:pt>
                <c:pt idx="12">
                  <c:v>90.517241379310335</c:v>
                </c:pt>
                <c:pt idx="13">
                  <c:v>30.17241379310347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250.5</c:v>
                </c:pt>
                <c:pt idx="11">
                  <c:v>189</c:v>
                </c:pt>
                <c:pt idx="12">
                  <c:v>131.5</c:v>
                </c:pt>
                <c:pt idx="13">
                  <c:v>88</c:v>
                </c:pt>
                <c:pt idx="1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937</c:v>
                </c:pt>
                <c:pt idx="12">
                  <c:v>943</c:v>
                </c:pt>
                <c:pt idx="13">
                  <c:v>948.5</c:v>
                </c:pt>
                <c:pt idx="1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922</c:v>
                </c:pt>
                <c:pt idx="12">
                  <c:v>943</c:v>
                </c:pt>
                <c:pt idx="13">
                  <c:v>948.5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917</c:v>
                </c:pt>
                <c:pt idx="12">
                  <c:v>943</c:v>
                </c:pt>
                <c:pt idx="13">
                  <c:v>948.5</c:v>
                </c:pt>
                <c:pt idx="1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748</c:v>
                </c:pt>
                <c:pt idx="12">
                  <c:v>811.5</c:v>
                </c:pt>
                <c:pt idx="13">
                  <c:v>817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_ReadinessData!$C$16:$C$29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416</c:v>
                </c:pt>
                <c:pt idx="10">
                  <c:v>770</c:v>
                </c:pt>
                <c:pt idx="11">
                  <c:v>592.5</c:v>
                </c:pt>
                <c:pt idx="12">
                  <c:v>594.5</c:v>
                </c:pt>
                <c:pt idx="13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_ReadinessData!$D$16:$D$29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161</c:v>
                </c:pt>
                <c:pt idx="10">
                  <c:v>239.5</c:v>
                </c:pt>
                <c:pt idx="11">
                  <c:v>239.5</c:v>
                </c:pt>
                <c:pt idx="12">
                  <c:v>101.5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0.70169999999999999</c:v>
                </c:pt>
                <c:pt idx="11">
                  <c:v>0.76429999999999998</c:v>
                </c:pt>
                <c:pt idx="12">
                  <c:v>0.88780000000000003</c:v>
                </c:pt>
                <c:pt idx="13">
                  <c:v>0.94430000000000003</c:v>
                </c:pt>
                <c:pt idx="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2380</c:v>
                </c:pt>
                <c:pt idx="1">
                  <c:v>2277.4137931034484</c:v>
                </c:pt>
                <c:pt idx="2">
                  <c:v>2072.2413793103447</c:v>
                </c:pt>
                <c:pt idx="3">
                  <c:v>1867.0689655172416</c:v>
                </c:pt>
                <c:pt idx="4">
                  <c:v>1682.4137931034481</c:v>
                </c:pt>
                <c:pt idx="5">
                  <c:v>1477.2413793103449</c:v>
                </c:pt>
                <c:pt idx="6">
                  <c:v>1272.0689655172416</c:v>
                </c:pt>
                <c:pt idx="7">
                  <c:v>1087.4137931034481</c:v>
                </c:pt>
                <c:pt idx="8">
                  <c:v>1087.4137931034481</c:v>
                </c:pt>
                <c:pt idx="9">
                  <c:v>882.24137931034488</c:v>
                </c:pt>
                <c:pt idx="10">
                  <c:v>697.58620689655174</c:v>
                </c:pt>
                <c:pt idx="11">
                  <c:v>492.4137931034482</c:v>
                </c:pt>
                <c:pt idx="12">
                  <c:v>307.75862068965512</c:v>
                </c:pt>
                <c:pt idx="13">
                  <c:v>102.5862068965518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725.5</c:v>
                </c:pt>
                <c:pt idx="11">
                  <c:v>577.5</c:v>
                </c:pt>
                <c:pt idx="12">
                  <c:v>252.5</c:v>
                </c:pt>
                <c:pt idx="13">
                  <c:v>124</c:v>
                </c:pt>
                <c:pt idx="1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2450.5</c:v>
                </c:pt>
                <c:pt idx="12">
                  <c:v>2250.5</c:v>
                </c:pt>
                <c:pt idx="13">
                  <c:v>2227</c:v>
                </c:pt>
                <c:pt idx="1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2301.5</c:v>
                </c:pt>
                <c:pt idx="12">
                  <c:v>2247.5</c:v>
                </c:pt>
                <c:pt idx="13">
                  <c:v>2227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2237</c:v>
                </c:pt>
                <c:pt idx="12">
                  <c:v>2237.5</c:v>
                </c:pt>
                <c:pt idx="13">
                  <c:v>2227</c:v>
                </c:pt>
                <c:pt idx="1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1873</c:v>
                </c:pt>
                <c:pt idx="12">
                  <c:v>1998</c:v>
                </c:pt>
                <c:pt idx="13">
                  <c:v>2103</c:v>
                </c:pt>
                <c:pt idx="1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0.96551724137931039</c:v>
                </c:pt>
                <c:pt idx="1">
                  <c:v>3.4482758620689613E-2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155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69.341198379632" createdVersion="6" refreshedVersion="6" minRefreshableVersion="3" recordCount="90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20">
        <s v="$[SUBSTITUTE(SUBSTITUTE(SUBSTITUTE(AE2, &quot;ocket&quot;, &quot;&quot;), &quot;uasar&quot;, &quot;&quot;), &quot;egasus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SUBSTITUTE(SUBSTITUTE(SUBSTITUTE(AE3, &quot;ocket&quot;, &quot;&quot;), &quot;uasar&quot;, &quot;&quot;), &quot;egasus&quot;, &quot;&quot;)]" u="1"/>
        <s v="$[=SUBSTITUTE(SUBSTITUTE(SUBSTITUTE(AE3, &quot;ocket&quot;, &quot;&quot;), &quot;uasar&quot;, &quot;&quot;), &quot;egasus&quot;, &quot;&quot;)]" u="1"/>
        <s v="$[SUBSTITUTE(AE2, &quot;uasar&quot;, &quot;&quot;)]" u="1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4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  <x v="3"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  <x v="3"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  <x v="3"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  <x v="1"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3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3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3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3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3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3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3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  <x v="1"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  <x v="1"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7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7" firstHeaderRow="1" firstDataRow="1" firstDataCol="1" rowPageCount="2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x="4"/>
        <item h="1" x="1"/>
        <item t="default"/>
      </items>
    </pivotField>
    <pivotField showAll="0"/>
    <pivotField showAll="0"/>
    <pivotField showAll="0"/>
    <pivotField showAll="0"/>
    <pivotField axis="axisRow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4"/>
    </i>
    <i>
      <x v="6"/>
    </i>
    <i t="grand">
      <x/>
    </i>
  </rowItems>
  <colItems count="1">
    <i/>
  </colItems>
  <pageFields count="2">
    <pageField fld="32" hier="-1"/>
    <pageField fld="44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5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4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h="1" m="1" x="19"/>
        <item h="1" m="1" x="18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m="1" x="17"/>
        <item h="1" m="1" x="16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4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21">
        <item h="1" m="1" x="19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m="1" x="18"/>
        <item h="1" m="1" x="17"/>
        <item h="1" m="1" x="16"/>
        <item h="1" x="0"/>
        <item t="default"/>
      </items>
    </pivotField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2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2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2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2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2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2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2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2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7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12" totalsRowShown="0" headerRowDxfId="4">
  <autoFilter ref="W2:W12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9" totalsRowShown="0">
  <autoFilter ref="B15:D29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R20" totalsRowCount="1">
  <autoFilter ref="K5:R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Sprint" totalsRowLabel="Total"/>
    <tableColumn id="2" xr3:uid="{00000000-0010-0000-0300-000002000000}" name="Alpha" totalsRowFunction="sum"/>
    <tableColumn id="3" xr3:uid="{00000000-0010-0000-0300-000003000000}" name="ngStars" totalsRowFunction="sum"/>
    <tableColumn id="4" xr3:uid="{00000000-0010-0000-0300-000004000000}" name="NW" totalsRowFunction="sum"/>
    <tableColumn id="5" xr3:uid="{00000000-0010-0000-0300-000005000000}" name="SoftTeco" totalsRowFunction="sum"/>
    <tableColumn id="8" xr3:uid="{00000000-0010-0000-0300-000008000000}" name="Titan" totalsRowFunction="sum"/>
    <tableColumn id="6" xr3:uid="{00000000-0010-0000-0300-000006000000}" name="QA" totalsRowFunction="sum"/>
    <tableColumn id="7" xr3:uid="{00000000-0010-0000-0300-000007000000}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20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198</v>
      </c>
    </row>
    <row r="2" spans="2:18" x14ac:dyDescent="0.45">
      <c r="B2" s="16" t="s">
        <v>0</v>
      </c>
      <c r="C2" t="s">
        <v>198</v>
      </c>
    </row>
    <row r="4" spans="2:18" x14ac:dyDescent="0.45">
      <c r="B4" s="16" t="s">
        <v>189</v>
      </c>
      <c r="C4" s="16" t="s">
        <v>208</v>
      </c>
      <c r="K4" s="44" t="s">
        <v>241</v>
      </c>
    </row>
    <row r="5" spans="2:18" x14ac:dyDescent="0.45">
      <c r="B5" s="16" t="s">
        <v>162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240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239</v>
      </c>
    </row>
    <row r="6" spans="2:18" x14ac:dyDescent="0.45">
      <c r="B6" s="17" t="s">
        <v>148</v>
      </c>
      <c r="C6" s="20"/>
      <c r="D6" s="20"/>
      <c r="E6" s="20">
        <v>30</v>
      </c>
      <c r="F6" s="20"/>
      <c r="G6" s="20"/>
      <c r="H6" s="20">
        <v>30</v>
      </c>
      <c r="K6" t="s">
        <v>148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149</v>
      </c>
      <c r="C7" s="20"/>
      <c r="D7" s="20">
        <v>30</v>
      </c>
      <c r="E7" s="20"/>
      <c r="F7" s="20"/>
      <c r="G7" s="20"/>
      <c r="H7" s="20">
        <v>30</v>
      </c>
      <c r="K7" t="s">
        <v>149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150</v>
      </c>
      <c r="C8" s="20">
        <v>30</v>
      </c>
      <c r="D8" s="20"/>
      <c r="E8" s="20"/>
      <c r="F8" s="20"/>
      <c r="G8" s="20"/>
      <c r="H8" s="20">
        <v>30</v>
      </c>
      <c r="K8" t="s">
        <v>150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151</v>
      </c>
      <c r="C9" s="20"/>
      <c r="D9" s="20"/>
      <c r="E9" s="20"/>
      <c r="F9" s="20"/>
      <c r="G9" s="20">
        <v>30</v>
      </c>
      <c r="H9" s="20">
        <v>30</v>
      </c>
      <c r="K9" t="s">
        <v>151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152</v>
      </c>
      <c r="C10" s="20"/>
      <c r="D10" s="20"/>
      <c r="E10" s="20"/>
      <c r="F10" s="20">
        <v>30</v>
      </c>
      <c r="G10" s="20"/>
      <c r="H10" s="20">
        <v>30</v>
      </c>
      <c r="K10" t="s">
        <v>152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153</v>
      </c>
      <c r="C11" s="20"/>
      <c r="D11" s="20"/>
      <c r="E11" s="20">
        <v>30</v>
      </c>
      <c r="F11" s="20"/>
      <c r="G11" s="20"/>
      <c r="H11" s="20">
        <v>30</v>
      </c>
      <c r="K11" t="s">
        <v>153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154</v>
      </c>
      <c r="C12" s="20"/>
      <c r="D12" s="20">
        <v>30</v>
      </c>
      <c r="E12" s="20"/>
      <c r="F12" s="20"/>
      <c r="G12" s="20"/>
      <c r="H12" s="20">
        <v>30</v>
      </c>
      <c r="K12" t="s">
        <v>154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155</v>
      </c>
      <c r="C13" s="20">
        <v>30</v>
      </c>
      <c r="D13" s="20"/>
      <c r="E13" s="20"/>
      <c r="F13" s="20"/>
      <c r="G13" s="20"/>
      <c r="H13" s="20">
        <v>30</v>
      </c>
      <c r="K13" t="s">
        <v>155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156</v>
      </c>
      <c r="C14" s="20"/>
      <c r="D14" s="20"/>
      <c r="E14" s="20"/>
      <c r="F14" s="20"/>
      <c r="G14" s="20">
        <v>30</v>
      </c>
      <c r="H14" s="20">
        <v>30</v>
      </c>
      <c r="K14" t="s">
        <v>156</v>
      </c>
      <c r="L14">
        <v>14</v>
      </c>
      <c r="M14">
        <v>51</v>
      </c>
      <c r="N14">
        <v>48.5</v>
      </c>
      <c r="O14">
        <v>93.5</v>
      </c>
      <c r="Q14">
        <v>6.5</v>
      </c>
      <c r="R14">
        <f t="shared" si="0"/>
        <v>213.5</v>
      </c>
    </row>
    <row r="15" spans="2:18" x14ac:dyDescent="0.45">
      <c r="B15" s="17" t="s">
        <v>157</v>
      </c>
      <c r="C15" s="20"/>
      <c r="D15" s="20"/>
      <c r="E15" s="20"/>
      <c r="F15" s="20">
        <v>30</v>
      </c>
      <c r="G15" s="20"/>
      <c r="H15" s="20">
        <v>30</v>
      </c>
      <c r="K15" t="s">
        <v>157</v>
      </c>
      <c r="L15">
        <v>18</v>
      </c>
      <c r="M15">
        <v>51</v>
      </c>
      <c r="N15">
        <v>57</v>
      </c>
      <c r="O15">
        <v>80</v>
      </c>
      <c r="R15">
        <f t="shared" si="0"/>
        <v>206</v>
      </c>
    </row>
    <row r="16" spans="2:18" x14ac:dyDescent="0.45">
      <c r="B16" s="17" t="s">
        <v>158</v>
      </c>
      <c r="C16" s="20"/>
      <c r="D16" s="20"/>
      <c r="E16" s="20">
        <v>30</v>
      </c>
      <c r="F16" s="20"/>
      <c r="G16" s="20"/>
      <c r="H16" s="20">
        <v>30</v>
      </c>
      <c r="K16" t="s">
        <v>158</v>
      </c>
      <c r="L16">
        <v>28.5</v>
      </c>
      <c r="M16">
        <v>51.5</v>
      </c>
      <c r="N16">
        <v>54</v>
      </c>
      <c r="O16">
        <v>57.5</v>
      </c>
      <c r="R16">
        <f t="shared" si="0"/>
        <v>191.5</v>
      </c>
    </row>
    <row r="17" spans="2:18" x14ac:dyDescent="0.45">
      <c r="B17" s="17" t="s">
        <v>159</v>
      </c>
      <c r="C17" s="20"/>
      <c r="D17" s="20">
        <v>30</v>
      </c>
      <c r="E17" s="20"/>
      <c r="F17" s="20"/>
      <c r="G17" s="20"/>
      <c r="H17" s="20">
        <v>30</v>
      </c>
      <c r="K17" t="s">
        <v>159</v>
      </c>
      <c r="L17">
        <v>18</v>
      </c>
      <c r="M17">
        <v>26</v>
      </c>
      <c r="N17">
        <v>48.5</v>
      </c>
      <c r="O17">
        <v>54</v>
      </c>
      <c r="R17">
        <f t="shared" si="0"/>
        <v>146.5</v>
      </c>
    </row>
    <row r="18" spans="2:18" x14ac:dyDescent="0.45">
      <c r="B18" s="17" t="s">
        <v>160</v>
      </c>
      <c r="C18" s="20">
        <v>30</v>
      </c>
      <c r="D18" s="20"/>
      <c r="E18" s="20"/>
      <c r="F18" s="20"/>
      <c r="G18" s="20"/>
      <c r="H18" s="20">
        <v>30</v>
      </c>
      <c r="K18" t="s">
        <v>160</v>
      </c>
      <c r="L18">
        <v>5</v>
      </c>
      <c r="M18">
        <v>22</v>
      </c>
      <c r="N18">
        <v>32.5</v>
      </c>
      <c r="O18">
        <v>58</v>
      </c>
      <c r="Q18">
        <v>3</v>
      </c>
      <c r="R18">
        <f t="shared" si="0"/>
        <v>120.5</v>
      </c>
    </row>
    <row r="19" spans="2:18" x14ac:dyDescent="0.45">
      <c r="B19" s="17" t="s">
        <v>161</v>
      </c>
      <c r="C19" s="20"/>
      <c r="D19" s="20"/>
      <c r="E19" s="20"/>
      <c r="F19" s="20"/>
      <c r="G19" s="20">
        <v>30</v>
      </c>
      <c r="H19" s="20">
        <v>30</v>
      </c>
      <c r="K19" t="s">
        <v>161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239</v>
      </c>
      <c r="L20">
        <f>SUBTOTAL(109,Table1[Alpha])</f>
        <v>235.5</v>
      </c>
      <c r="M20">
        <f>SUBTOTAL(109,Table1[ngStars])</f>
        <v>524</v>
      </c>
      <c r="N20">
        <f>SUBTOTAL(109,Table1[NW])</f>
        <v>643.5</v>
      </c>
      <c r="O20">
        <f>SUBTOTAL(109,Table1[SoftTeco])</f>
        <v>856</v>
      </c>
      <c r="P20">
        <f>SUBTOTAL(109,Table1[Titan])</f>
        <v>25.5</v>
      </c>
      <c r="Q20">
        <f>SUBTOTAL(109,Table1[QA])</f>
        <v>32.5</v>
      </c>
      <c r="R20">
        <f>SUBTOTAL(109,Table1[Total])</f>
        <v>2317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166</v>
      </c>
      <c r="B1" t="str">
        <f>$E$2</f>
        <v>Quasar14</v>
      </c>
      <c r="D1" s="16" t="s">
        <v>9</v>
      </c>
      <c r="E1" t="s">
        <v>198</v>
      </c>
    </row>
    <row r="2" spans="1:5" x14ac:dyDescent="0.45">
      <c r="D2" s="16" t="s">
        <v>164</v>
      </c>
      <c r="E2" t="s">
        <v>188</v>
      </c>
    </row>
    <row r="4" spans="1:5" x14ac:dyDescent="0.45">
      <c r="D4" s="16" t="s">
        <v>162</v>
      </c>
      <c r="E4" t="s">
        <v>189</v>
      </c>
    </row>
    <row r="5" spans="1:5" x14ac:dyDescent="0.45">
      <c r="D5" s="17" t="s">
        <v>196</v>
      </c>
      <c r="E5" s="20">
        <v>1</v>
      </c>
    </row>
    <row r="6" spans="1:5" x14ac:dyDescent="0.45">
      <c r="D6" s="17" t="s">
        <v>194</v>
      </c>
      <c r="E6" s="20">
        <v>1</v>
      </c>
    </row>
    <row r="7" spans="1:5" x14ac:dyDescent="0.45">
      <c r="D7" s="17" t="s">
        <v>193</v>
      </c>
      <c r="E7" s="20">
        <v>1</v>
      </c>
    </row>
    <row r="8" spans="1:5" x14ac:dyDescent="0.45">
      <c r="D8" s="17" t="s">
        <v>221</v>
      </c>
      <c r="E8" s="20">
        <v>1</v>
      </c>
    </row>
    <row r="9" spans="1:5" x14ac:dyDescent="0.45">
      <c r="D9" s="17" t="s">
        <v>192</v>
      </c>
      <c r="E9" s="20">
        <v>1</v>
      </c>
    </row>
    <row r="10" spans="1:5" x14ac:dyDescent="0.45">
      <c r="D10" s="17" t="s">
        <v>195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199</v>
      </c>
      <c r="E15" t="str">
        <f>"Sprint " &amp; SUBSTITUTE($B$1,"Quasar", "") &amp; " Progress"</f>
        <v>Sprint 14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200</v>
      </c>
    </row>
    <row r="2" spans="1:12" x14ac:dyDescent="0.45">
      <c r="A2" t="s">
        <v>207</v>
      </c>
    </row>
    <row r="4" spans="1:12" x14ac:dyDescent="0.45">
      <c r="B4" s="16" t="s">
        <v>141</v>
      </c>
      <c r="C4" t="s">
        <v>144</v>
      </c>
      <c r="F4" s="16" t="s">
        <v>141</v>
      </c>
      <c r="G4" t="s">
        <v>144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198</v>
      </c>
      <c r="F6" s="16" t="s">
        <v>0</v>
      </c>
      <c r="G6" t="s">
        <v>198</v>
      </c>
    </row>
    <row r="7" spans="1:12" x14ac:dyDescent="0.45">
      <c r="B7" s="16" t="s">
        <v>0</v>
      </c>
      <c r="C7" t="s">
        <v>198</v>
      </c>
    </row>
    <row r="8" spans="1:12" x14ac:dyDescent="0.45">
      <c r="F8" s="16" t="s">
        <v>206</v>
      </c>
      <c r="G8" s="16" t="s">
        <v>208</v>
      </c>
    </row>
    <row r="9" spans="1:12" x14ac:dyDescent="0.45">
      <c r="B9" s="16" t="s">
        <v>162</v>
      </c>
      <c r="C9" t="s">
        <v>206</v>
      </c>
      <c r="F9" s="16" t="s">
        <v>162</v>
      </c>
      <c r="G9" t="s">
        <v>201</v>
      </c>
      <c r="H9" t="s">
        <v>202</v>
      </c>
      <c r="I9" t="s">
        <v>203</v>
      </c>
      <c r="J9" t="s">
        <v>204</v>
      </c>
      <c r="K9" t="s">
        <v>205</v>
      </c>
      <c r="L9" t="s">
        <v>50</v>
      </c>
    </row>
    <row r="10" spans="1:12" x14ac:dyDescent="0.45">
      <c r="B10" s="17" t="s">
        <v>201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202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203</v>
      </c>
      <c r="C12" s="20">
        <v>1</v>
      </c>
    </row>
    <row r="13" spans="1:12" x14ac:dyDescent="0.45">
      <c r="B13" s="17" t="s">
        <v>204</v>
      </c>
      <c r="C13" s="20">
        <v>1</v>
      </c>
    </row>
    <row r="14" spans="1:12" x14ac:dyDescent="0.45">
      <c r="B14" s="17" t="s">
        <v>205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225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198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162</v>
      </c>
      <c r="C29" t="s">
        <v>206</v>
      </c>
    </row>
    <row r="30" spans="2:3" x14ac:dyDescent="0.45">
      <c r="B30" s="17" t="s">
        <v>148</v>
      </c>
      <c r="C30" s="20">
        <v>1</v>
      </c>
    </row>
    <row r="31" spans="2:3" x14ac:dyDescent="0.45">
      <c r="B31" s="17" t="s">
        <v>149</v>
      </c>
      <c r="C31" s="20"/>
    </row>
    <row r="32" spans="2:3" x14ac:dyDescent="0.45">
      <c r="B32" s="17" t="s">
        <v>150</v>
      </c>
      <c r="C32" s="20"/>
    </row>
    <row r="33" spans="2:3" x14ac:dyDescent="0.45">
      <c r="B33" s="17" t="s">
        <v>151</v>
      </c>
      <c r="C33" s="20"/>
    </row>
    <row r="34" spans="2:3" x14ac:dyDescent="0.45">
      <c r="B34" s="17" t="s">
        <v>152</v>
      </c>
      <c r="C34" s="20">
        <v>1</v>
      </c>
    </row>
    <row r="35" spans="2:3" x14ac:dyDescent="0.45">
      <c r="B35" s="17" t="s">
        <v>153</v>
      </c>
      <c r="C35" s="20"/>
    </row>
    <row r="36" spans="2:3" x14ac:dyDescent="0.45">
      <c r="B36" s="17" t="s">
        <v>154</v>
      </c>
      <c r="C36" s="20"/>
    </row>
    <row r="37" spans="2:3" x14ac:dyDescent="0.45">
      <c r="B37" s="17" t="s">
        <v>155</v>
      </c>
      <c r="C37" s="20"/>
    </row>
    <row r="38" spans="2:3" x14ac:dyDescent="0.45">
      <c r="B38" s="17" t="s">
        <v>156</v>
      </c>
      <c r="C38" s="20"/>
    </row>
    <row r="39" spans="2:3" x14ac:dyDescent="0.45">
      <c r="B39" s="17" t="s">
        <v>157</v>
      </c>
      <c r="C39" s="20"/>
    </row>
    <row r="40" spans="2:3" x14ac:dyDescent="0.45">
      <c r="B40" s="17" t="s">
        <v>158</v>
      </c>
      <c r="C40" s="20"/>
    </row>
    <row r="41" spans="2:3" x14ac:dyDescent="0.45">
      <c r="B41" s="17" t="s">
        <v>159</v>
      </c>
      <c r="C41" s="20"/>
    </row>
    <row r="42" spans="2:3" x14ac:dyDescent="0.45">
      <c r="B42" s="17" t="s">
        <v>160</v>
      </c>
      <c r="C42" s="20"/>
    </row>
    <row r="43" spans="2:3" x14ac:dyDescent="0.45">
      <c r="B43" s="17" t="s">
        <v>161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9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164</v>
      </c>
      <c r="AF1" s="1" t="s">
        <v>209</v>
      </c>
      <c r="AG1" s="1" t="s">
        <v>141</v>
      </c>
      <c r="AH1" s="1" t="s">
        <v>43</v>
      </c>
      <c r="AI1" s="1" t="s">
        <v>190</v>
      </c>
      <c r="AJ1" s="1" t="s">
        <v>232</v>
      </c>
      <c r="AK1" s="1" t="s">
        <v>44</v>
      </c>
      <c r="AL1" s="1" t="s">
        <v>119</v>
      </c>
      <c r="AM1" s="1" t="s">
        <v>120</v>
      </c>
      <c r="AN1" s="1" t="s">
        <v>216</v>
      </c>
      <c r="AO1" s="1" t="s">
        <v>215</v>
      </c>
      <c r="AP1" s="1" t="s">
        <v>217</v>
      </c>
      <c r="AQ1" s="1" t="s">
        <v>128</v>
      </c>
      <c r="AR1" s="1" t="s">
        <v>48</v>
      </c>
      <c r="AS1" s="1" t="s">
        <v>275</v>
      </c>
      <c r="AT1" s="3" t="s">
        <v>163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165</v>
      </c>
      <c r="AF2" s="15" t="s">
        <v>280</v>
      </c>
      <c r="AG2" s="15" t="s">
        <v>142</v>
      </c>
      <c r="AH2" s="10" t="s">
        <v>46</v>
      </c>
      <c r="AI2" s="10" t="s">
        <v>191</v>
      </c>
      <c r="AJ2" s="10" t="s">
        <v>231</v>
      </c>
      <c r="AK2" s="14" t="s">
        <v>49</v>
      </c>
      <c r="AL2" s="14" t="s">
        <v>122</v>
      </c>
      <c r="AM2" s="14" t="s">
        <v>121</v>
      </c>
      <c r="AN2" s="11" t="s">
        <v>210</v>
      </c>
      <c r="AO2" s="11" t="s">
        <v>211</v>
      </c>
      <c r="AP2" s="11" t="s">
        <v>212</v>
      </c>
      <c r="AQ2" s="15" t="s">
        <v>129</v>
      </c>
      <c r="AR2" s="15" t="s">
        <v>274</v>
      </c>
      <c r="AS2" s="15" t="s">
        <v>279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168</v>
      </c>
      <c r="AG4" s="5" t="s">
        <v>143</v>
      </c>
      <c r="AI4" s="5" t="s">
        <v>192</v>
      </c>
      <c r="AJ4" s="10" t="s">
        <v>228</v>
      </c>
      <c r="AL4" s="4" t="s">
        <v>56</v>
      </c>
      <c r="AM4" s="4" t="s">
        <v>56</v>
      </c>
      <c r="AN4" s="4"/>
      <c r="AO4" s="4"/>
      <c r="AP4" s="4"/>
      <c r="AQ4" s="4"/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169</v>
      </c>
      <c r="AG5" s="5" t="s">
        <v>144</v>
      </c>
      <c r="AI5" s="5" t="s">
        <v>221</v>
      </c>
      <c r="AJ5" s="10" t="s">
        <v>229</v>
      </c>
      <c r="AL5" s="4" t="s">
        <v>54</v>
      </c>
      <c r="AM5" s="4" t="s">
        <v>54</v>
      </c>
      <c r="AN5" s="4"/>
      <c r="AO5" s="4"/>
      <c r="AP5" s="4"/>
      <c r="AQ5" s="4"/>
      <c r="AS5" s="5" t="s">
        <v>277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170</v>
      </c>
      <c r="AG6" s="5" t="s">
        <v>276</v>
      </c>
      <c r="AI6" s="5" t="s">
        <v>193</v>
      </c>
      <c r="AJ6" s="10" t="s">
        <v>237</v>
      </c>
      <c r="AL6" s="4" t="s">
        <v>57</v>
      </c>
      <c r="AM6" s="4" t="s">
        <v>57</v>
      </c>
      <c r="AN6" s="4"/>
      <c r="AO6" s="4"/>
      <c r="AP6" s="4"/>
      <c r="AQ6" s="4"/>
      <c r="AS6" s="5" t="s">
        <v>277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171</v>
      </c>
      <c r="AI7" s="5" t="s">
        <v>194</v>
      </c>
      <c r="AJ7" s="10" t="s">
        <v>238</v>
      </c>
      <c r="AL7" s="4" t="s">
        <v>52</v>
      </c>
      <c r="AM7" s="4" t="s">
        <v>52</v>
      </c>
      <c r="AN7" s="4"/>
      <c r="AO7" s="4"/>
      <c r="AP7" s="4"/>
      <c r="AQ7" s="4"/>
      <c r="AS7" s="5" t="s">
        <v>277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172</v>
      </c>
      <c r="AI8" s="5" t="s">
        <v>196</v>
      </c>
      <c r="AL8" s="4" t="s">
        <v>58</v>
      </c>
      <c r="AM8" s="4" t="s">
        <v>58</v>
      </c>
      <c r="AN8" s="4"/>
      <c r="AO8" s="4"/>
      <c r="AP8" s="4"/>
      <c r="AQ8" s="4"/>
      <c r="AS8" s="5" t="s">
        <v>278</v>
      </c>
    </row>
    <row r="9" spans="1:46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173</v>
      </c>
      <c r="AI9" s="5" t="s">
        <v>195</v>
      </c>
      <c r="AL9" s="4" t="s">
        <v>59</v>
      </c>
      <c r="AM9" s="4" t="s">
        <v>59</v>
      </c>
      <c r="AN9" s="4"/>
      <c r="AO9" s="4"/>
      <c r="AP9" s="4"/>
      <c r="AQ9" s="4"/>
      <c r="AS9" s="5" t="s">
        <v>278</v>
      </c>
    </row>
    <row r="10" spans="1:46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174</v>
      </c>
      <c r="AI10" s="5" t="s">
        <v>197</v>
      </c>
      <c r="AL10" s="4" t="s">
        <v>60</v>
      </c>
      <c r="AM10" s="4" t="s">
        <v>60</v>
      </c>
      <c r="AN10" s="4"/>
      <c r="AO10" s="4"/>
      <c r="AP10" s="4"/>
      <c r="AQ10" s="4"/>
      <c r="AS10" s="5" t="s">
        <v>278</v>
      </c>
    </row>
    <row r="11" spans="1:46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175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167</v>
      </c>
      <c r="AF12" s="5" t="s">
        <v>148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176</v>
      </c>
      <c r="AF13" s="5" t="s">
        <v>149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177</v>
      </c>
      <c r="AF14" s="5" t="s">
        <v>150</v>
      </c>
      <c r="AL14" s="4"/>
      <c r="AM14" s="4"/>
      <c r="AN14" s="4"/>
      <c r="AO14" s="4"/>
      <c r="AP14" s="4"/>
      <c r="AQ14" s="4"/>
      <c r="AS14" s="5" t="s">
        <v>277</v>
      </c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178</v>
      </c>
      <c r="AF15" s="5" t="s">
        <v>151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179</v>
      </c>
      <c r="AF16" s="5" t="s">
        <v>152</v>
      </c>
    </row>
    <row r="17" spans="1:35" ht="26.25" x14ac:dyDescent="0.45">
      <c r="A17" s="5" t="s">
        <v>51</v>
      </c>
      <c r="E17" s="19" t="s">
        <v>105</v>
      </c>
      <c r="AE17" s="5" t="s">
        <v>180</v>
      </c>
      <c r="AF17" s="5" t="s">
        <v>153</v>
      </c>
    </row>
    <row r="18" spans="1:35" x14ac:dyDescent="0.45">
      <c r="A18" s="5" t="s">
        <v>51</v>
      </c>
      <c r="E18" s="19" t="s">
        <v>106</v>
      </c>
      <c r="AE18" s="5" t="s">
        <v>181</v>
      </c>
      <c r="AF18" s="5" t="s">
        <v>154</v>
      </c>
    </row>
    <row r="19" spans="1:35" ht="39.4" x14ac:dyDescent="0.45">
      <c r="A19" s="5" t="s">
        <v>51</v>
      </c>
      <c r="E19" s="19" t="s">
        <v>107</v>
      </c>
      <c r="AE19" s="5" t="s">
        <v>182</v>
      </c>
      <c r="AF19" s="5" t="s">
        <v>155</v>
      </c>
    </row>
    <row r="20" spans="1:35" ht="26.25" x14ac:dyDescent="0.45">
      <c r="A20" s="5" t="s">
        <v>51</v>
      </c>
      <c r="E20" s="19" t="s">
        <v>108</v>
      </c>
      <c r="AE20" s="5" t="s">
        <v>183</v>
      </c>
      <c r="AF20" s="5" t="s">
        <v>156</v>
      </c>
    </row>
    <row r="21" spans="1:35" ht="26.25" x14ac:dyDescent="0.45">
      <c r="A21" s="5" t="s">
        <v>51</v>
      </c>
      <c r="E21" s="19" t="s">
        <v>109</v>
      </c>
      <c r="AE21" s="5" t="s">
        <v>184</v>
      </c>
      <c r="AF21" s="5" t="s">
        <v>157</v>
      </c>
    </row>
    <row r="22" spans="1:35" ht="26.25" x14ac:dyDescent="0.45">
      <c r="A22" s="5" t="s">
        <v>51</v>
      </c>
      <c r="E22" s="19" t="s">
        <v>110</v>
      </c>
      <c r="AE22" s="5" t="s">
        <v>185</v>
      </c>
      <c r="AF22" s="5" t="s">
        <v>158</v>
      </c>
    </row>
    <row r="23" spans="1:35" ht="26.25" x14ac:dyDescent="0.45">
      <c r="A23" s="5" t="s">
        <v>51</v>
      </c>
      <c r="E23" s="19" t="s">
        <v>111</v>
      </c>
      <c r="AE23" s="5" t="s">
        <v>186</v>
      </c>
      <c r="AF23" s="5" t="s">
        <v>159</v>
      </c>
    </row>
    <row r="24" spans="1:35" x14ac:dyDescent="0.45">
      <c r="A24" s="5" t="s">
        <v>51</v>
      </c>
      <c r="E24" s="19" t="s">
        <v>112</v>
      </c>
      <c r="AE24" s="5" t="s">
        <v>187</v>
      </c>
      <c r="AF24" s="5" t="s">
        <v>160</v>
      </c>
    </row>
    <row r="25" spans="1:35" x14ac:dyDescent="0.45">
      <c r="A25" s="5" t="s">
        <v>51</v>
      </c>
      <c r="E25" s="19" t="s">
        <v>113</v>
      </c>
      <c r="AE25" s="5" t="s">
        <v>188</v>
      </c>
      <c r="AF25" s="5" t="s">
        <v>161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Quasar14</v>
      </c>
      <c r="AI30" s="5" t="s">
        <v>192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Quasar14</v>
      </c>
      <c r="AI31" s="5" t="s">
        <v>221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Quasar14</v>
      </c>
      <c r="AI32" s="5" t="s">
        <v>193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Quasar14</v>
      </c>
      <c r="AI33" s="5" t="s">
        <v>194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Quasar14</v>
      </c>
      <c r="AI34" s="5" t="s">
        <v>196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Quasar14</v>
      </c>
      <c r="AI35" s="5" t="s">
        <v>195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Quasar14</v>
      </c>
      <c r="AI36" s="5" t="s">
        <v>197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148</v>
      </c>
      <c r="AG40" s="5" t="s">
        <v>144</v>
      </c>
      <c r="AH40" s="5" t="s">
        <v>201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149</v>
      </c>
      <c r="AG41" s="5" t="s">
        <v>144</v>
      </c>
      <c r="AH41" s="5" t="s">
        <v>202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161</v>
      </c>
      <c r="AG42" s="5" t="s">
        <v>144</v>
      </c>
      <c r="AH42" s="5" t="s">
        <v>203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152</v>
      </c>
      <c r="AG43" s="5" t="s">
        <v>144</v>
      </c>
      <c r="AH43" s="5" t="s">
        <v>204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153</v>
      </c>
      <c r="AG44" s="5" t="s">
        <v>144</v>
      </c>
      <c r="AH44" s="5" t="s">
        <v>205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154</v>
      </c>
      <c r="AG45" s="5" t="s">
        <v>144</v>
      </c>
      <c r="AH45" s="5" t="s">
        <v>204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148</v>
      </c>
      <c r="AG49" s="5" t="s">
        <v>144</v>
      </c>
      <c r="AH49" s="5" t="s">
        <v>201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223</v>
      </c>
      <c r="P50" s="5">
        <v>200</v>
      </c>
      <c r="Q50" s="5">
        <v>150</v>
      </c>
      <c r="W50" s="5">
        <v>180</v>
      </c>
      <c r="AG50" s="5" t="s">
        <v>144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224</v>
      </c>
      <c r="P51" s="5">
        <v>200</v>
      </c>
      <c r="Q51" s="5">
        <v>150</v>
      </c>
      <c r="W51" s="5">
        <v>180</v>
      </c>
      <c r="AG51" s="5" t="s">
        <v>144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144</v>
      </c>
      <c r="AI52" s="5" t="s">
        <v>192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144</v>
      </c>
      <c r="AI53" s="5" t="s">
        <v>221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144</v>
      </c>
      <c r="AI54" s="5" t="s">
        <v>193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144</v>
      </c>
      <c r="AI55" s="5" t="s">
        <v>194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144</v>
      </c>
      <c r="AI56" s="5" t="s">
        <v>196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144</v>
      </c>
      <c r="AI57" s="5" t="s">
        <v>192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144</v>
      </c>
      <c r="AI58" s="5" t="s">
        <v>221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144</v>
      </c>
      <c r="AI59" s="5" t="s">
        <v>193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144</v>
      </c>
      <c r="AI60" s="5" t="s">
        <v>194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144</v>
      </c>
      <c r="AI61" s="5" t="s">
        <v>196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144</v>
      </c>
      <c r="AI62" s="5" t="s">
        <v>192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144</v>
      </c>
      <c r="AI63" s="5" t="s">
        <v>221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144</v>
      </c>
      <c r="AI64" s="5" t="s">
        <v>193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144</v>
      </c>
      <c r="AI65" s="5" t="s">
        <v>194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144</v>
      </c>
      <c r="AI66" s="5" t="s">
        <v>196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144</v>
      </c>
      <c r="AI67" s="5" t="s">
        <v>192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144</v>
      </c>
      <c r="AI68" s="5" t="s">
        <v>221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144</v>
      </c>
      <c r="AI69" s="5" t="s">
        <v>193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144</v>
      </c>
      <c r="AI70" s="5" t="s">
        <v>194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144</v>
      </c>
      <c r="AI71" s="5" t="s">
        <v>196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144</v>
      </c>
      <c r="AJ73" s="10" t="s">
        <v>228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144</v>
      </c>
      <c r="AJ74" s="10" t="s">
        <v>229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144</v>
      </c>
      <c r="AJ75" s="10" t="s">
        <v>237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144</v>
      </c>
      <c r="AJ76" s="10" t="s">
        <v>238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148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149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150</v>
      </c>
      <c r="AL80" s="4" t="s">
        <v>58</v>
      </c>
    </row>
    <row r="81" spans="1:45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151</v>
      </c>
      <c r="AL81" s="4" t="s">
        <v>52</v>
      </c>
    </row>
    <row r="82" spans="1:45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152</v>
      </c>
      <c r="AL82" s="4" t="s">
        <v>57</v>
      </c>
    </row>
    <row r="83" spans="1:45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153</v>
      </c>
      <c r="AL83" s="4" t="s">
        <v>54</v>
      </c>
    </row>
    <row r="84" spans="1:45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154</v>
      </c>
      <c r="AL84" s="4" t="s">
        <v>56</v>
      </c>
    </row>
    <row r="85" spans="1:45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155</v>
      </c>
      <c r="AL85" s="4" t="s">
        <v>58</v>
      </c>
    </row>
    <row r="86" spans="1:45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156</v>
      </c>
      <c r="AL86" s="4" t="s">
        <v>52</v>
      </c>
    </row>
    <row r="87" spans="1:45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157</v>
      </c>
      <c r="AL87" s="4" t="s">
        <v>57</v>
      </c>
    </row>
    <row r="88" spans="1:45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158</v>
      </c>
      <c r="AL88" s="4" t="s">
        <v>54</v>
      </c>
    </row>
    <row r="89" spans="1:45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159</v>
      </c>
      <c r="AL89" s="4" t="s">
        <v>56</v>
      </c>
    </row>
    <row r="90" spans="1:45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160</v>
      </c>
      <c r="AL90" s="4" t="s">
        <v>58</v>
      </c>
    </row>
    <row r="91" spans="1:45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161</v>
      </c>
      <c r="AL91" s="4" t="s">
        <v>52</v>
      </c>
      <c r="AS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51" t="s">
        <v>251</v>
      </c>
    </row>
    <row r="3" spans="1:2" x14ac:dyDescent="0.45">
      <c r="A3" t="s">
        <v>248</v>
      </c>
    </row>
    <row r="4" spans="1:2" x14ac:dyDescent="0.45">
      <c r="B4" t="s">
        <v>247</v>
      </c>
    </row>
    <row r="5" spans="1:2" x14ac:dyDescent="0.45">
      <c r="A5" t="s">
        <v>268</v>
      </c>
    </row>
    <row r="6" spans="1:2" x14ac:dyDescent="0.45">
      <c r="B6" t="s">
        <v>269</v>
      </c>
    </row>
    <row r="7" spans="1:2" x14ac:dyDescent="0.45">
      <c r="A7" t="s">
        <v>270</v>
      </c>
    </row>
    <row r="8" spans="1:2" x14ac:dyDescent="0.45">
      <c r="B8" t="s">
        <v>249</v>
      </c>
    </row>
    <row r="9" spans="1:2" x14ac:dyDescent="0.45">
      <c r="A9" t="s">
        <v>271</v>
      </c>
    </row>
    <row r="10" spans="1:2" x14ac:dyDescent="0.45">
      <c r="B10" t="s">
        <v>250</v>
      </c>
    </row>
    <row r="11" spans="1:2" x14ac:dyDescent="0.45">
      <c r="A11" t="s">
        <v>272</v>
      </c>
    </row>
    <row r="12" spans="1:2" x14ac:dyDescent="0.45">
      <c r="B12" t="s">
        <v>252</v>
      </c>
    </row>
    <row r="13" spans="1:2" x14ac:dyDescent="0.45">
      <c r="B13" t="s">
        <v>253</v>
      </c>
    </row>
    <row r="14" spans="1:2" x14ac:dyDescent="0.45">
      <c r="A14" t="s">
        <v>273</v>
      </c>
    </row>
    <row r="15" spans="1:2" x14ac:dyDescent="0.45">
      <c r="B15" t="s">
        <v>254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/>
  </sheetViews>
  <sheetFormatPr defaultRowHeight="14.25" x14ac:dyDescent="0.45"/>
  <cols>
    <col min="1" max="1" width="22.9296875" bestFit="1" customWidth="1"/>
    <col min="2" max="2" width="9.6640625" bestFit="1" customWidth="1"/>
    <col min="3" max="3" width="10.19921875" bestFit="1" customWidth="1"/>
    <col min="4" max="4" width="15" bestFit="1" customWidth="1"/>
    <col min="5" max="5" width="16.1328125" bestFit="1" customWidth="1"/>
    <col min="7" max="7" width="22.929687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230</v>
      </c>
      <c r="B1" t="s">
        <v>200</v>
      </c>
      <c r="K1" t="s">
        <v>257</v>
      </c>
      <c r="L1" t="s">
        <v>229</v>
      </c>
      <c r="M1" t="s">
        <v>141</v>
      </c>
      <c r="N1" t="s">
        <v>228</v>
      </c>
      <c r="O1" t="s">
        <v>229</v>
      </c>
      <c r="P1" s="73" t="s">
        <v>141</v>
      </c>
      <c r="Q1" s="73"/>
      <c r="R1" s="73" t="s">
        <v>228</v>
      </c>
      <c r="S1" s="73"/>
      <c r="T1" s="73" t="s">
        <v>229</v>
      </c>
      <c r="U1" s="73"/>
      <c r="Y1" s="16" t="s">
        <v>141</v>
      </c>
      <c r="Z1" t="s">
        <v>144</v>
      </c>
    </row>
    <row r="2" spans="1:27" x14ac:dyDescent="0.45">
      <c r="A2" t="s">
        <v>145</v>
      </c>
      <c r="B2" s="52">
        <f ca="1">MAX(NETWORKDAYS($D$3,$E$6,$W$3:$W$12)/NETWORKDAYS($D$3,$E$3,$W$3:$W$12),0%)</f>
        <v>0.96551724137931039</v>
      </c>
      <c r="D2" s="30" t="s">
        <v>130</v>
      </c>
      <c r="E2" s="31" t="s">
        <v>131</v>
      </c>
      <c r="G2" s="22" t="s">
        <v>147</v>
      </c>
      <c r="H2" s="22" t="s">
        <v>130</v>
      </c>
      <c r="I2" s="22" t="s">
        <v>131</v>
      </c>
      <c r="J2" s="22" t="s">
        <v>214</v>
      </c>
      <c r="K2" s="22" t="s">
        <v>226</v>
      </c>
      <c r="L2" s="22" t="s">
        <v>226</v>
      </c>
      <c r="M2" s="22" t="s">
        <v>227</v>
      </c>
      <c r="N2" s="22" t="s">
        <v>227</v>
      </c>
      <c r="O2" s="22" t="s">
        <v>227</v>
      </c>
      <c r="P2" s="22" t="s">
        <v>245</v>
      </c>
      <c r="Q2" s="22" t="s">
        <v>246</v>
      </c>
      <c r="R2" s="22" t="s">
        <v>245</v>
      </c>
      <c r="S2" s="22" t="s">
        <v>246</v>
      </c>
      <c r="T2" s="22" t="s">
        <v>245</v>
      </c>
      <c r="U2" s="22" t="s">
        <v>246</v>
      </c>
      <c r="W2" s="27" t="s">
        <v>213</v>
      </c>
      <c r="Y2" s="16" t="s">
        <v>9</v>
      </c>
      <c r="Z2" t="s">
        <v>68</v>
      </c>
    </row>
    <row r="3" spans="1:27" x14ac:dyDescent="0.45">
      <c r="A3" t="s">
        <v>146</v>
      </c>
      <c r="B3" s="32">
        <f ca="1">MAX(100%,B2)-B2</f>
        <v>3.4482758620689613E-2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 t="shared" ref="P3:P17" si="0">2380*(100%-K3)</f>
        <v>2380</v>
      </c>
      <c r="Q3" s="46">
        <v>2023</v>
      </c>
      <c r="R3" s="46">
        <f>1400*(100%-K3)</f>
        <v>1400</v>
      </c>
      <c r="S3" s="46">
        <v>918</v>
      </c>
      <c r="T3" s="46">
        <f t="shared" ref="T3:T17" si="1">700*(100%-L3)</f>
        <v>700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148</v>
      </c>
      <c r="H4" s="24">
        <v>43201</v>
      </c>
      <c r="I4" s="24">
        <v>43207</v>
      </c>
      <c r="J4" s="38">
        <f t="shared" ref="J4:J17" si="2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si="0"/>
        <v>2277.4137931034484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1"/>
        <v>669.82758620689651</v>
      </c>
      <c r="U4" s="46">
        <v>654</v>
      </c>
      <c r="W4" s="27">
        <v>43293</v>
      </c>
      <c r="Y4" s="16" t="s">
        <v>162</v>
      </c>
      <c r="Z4" t="s">
        <v>118</v>
      </c>
      <c r="AA4" t="s">
        <v>117</v>
      </c>
    </row>
    <row r="5" spans="1:27" x14ac:dyDescent="0.45">
      <c r="A5" s="44" t="s">
        <v>141</v>
      </c>
      <c r="D5" t="s">
        <v>235</v>
      </c>
      <c r="E5" s="27" t="s">
        <v>233</v>
      </c>
      <c r="G5" s="23" t="s">
        <v>149</v>
      </c>
      <c r="H5" s="24">
        <f>I4+1</f>
        <v>43208</v>
      </c>
      <c r="I5" s="24">
        <f>I4+14</f>
        <v>43221</v>
      </c>
      <c r="J5" s="38">
        <f t="shared" si="2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 t="shared" si="0"/>
        <v>2072.2413793103447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1"/>
        <v>609.48275862068965</v>
      </c>
      <c r="U5" s="46">
        <v>525.5</v>
      </c>
      <c r="W5" s="27">
        <v>43294</v>
      </c>
      <c r="Y5" s="17" t="s">
        <v>236</v>
      </c>
      <c r="Z5" s="20">
        <v>800</v>
      </c>
      <c r="AA5" s="20"/>
    </row>
    <row r="6" spans="1:27" x14ac:dyDescent="0.45">
      <c r="A6" t="s">
        <v>145</v>
      </c>
      <c r="B6" s="52">
        <f>100%-GETPIVOTDATA("Epic Remaining Estimate",$Y$4)/GETPIVOTDATA("Epic Total Estimate",$Y$4)</f>
        <v>0.75</v>
      </c>
      <c r="C6" s="21"/>
      <c r="D6" s="21" t="s">
        <v>234</v>
      </c>
      <c r="E6" s="27">
        <f ca="1">TODAY()</f>
        <v>43369</v>
      </c>
      <c r="G6" s="23" t="s">
        <v>150</v>
      </c>
      <c r="H6" s="24">
        <f>I5+1</f>
        <v>43222</v>
      </c>
      <c r="I6" s="24">
        <f>I5+14</f>
        <v>43235</v>
      </c>
      <c r="J6" s="38">
        <f t="shared" si="2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 t="shared" si="0"/>
        <v>1867.0689655172416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1"/>
        <v>549.13793103448279</v>
      </c>
      <c r="U6" s="47">
        <v>462</v>
      </c>
      <c r="W6" s="27">
        <v>43297</v>
      </c>
      <c r="Y6" s="17" t="s">
        <v>223</v>
      </c>
      <c r="Z6" s="20">
        <v>200</v>
      </c>
      <c r="AA6" s="20">
        <v>150</v>
      </c>
    </row>
    <row r="7" spans="1:27" x14ac:dyDescent="0.45">
      <c r="A7" t="s">
        <v>146</v>
      </c>
      <c r="B7" s="32">
        <f>MAX(100%,B6)-B6</f>
        <v>0.25</v>
      </c>
      <c r="D7" s="21"/>
      <c r="E7" s="20"/>
      <c r="G7" s="23" t="s">
        <v>151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2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 t="shared" si="0"/>
        <v>1682.4137931034481</v>
      </c>
      <c r="Q7" s="47">
        <v>1741</v>
      </c>
      <c r="R7" s="50">
        <f t="shared" si="3"/>
        <v>989.65517241379303</v>
      </c>
      <c r="S7" s="47">
        <v>1161</v>
      </c>
      <c r="T7" s="46">
        <f t="shared" si="1"/>
        <v>494.82758620689651</v>
      </c>
      <c r="U7" s="47">
        <v>458</v>
      </c>
      <c r="W7" s="34">
        <v>43298</v>
      </c>
      <c r="Y7" s="17" t="s">
        <v>224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152</v>
      </c>
      <c r="H8" s="24">
        <f t="shared" si="4"/>
        <v>43250</v>
      </c>
      <c r="I8" s="24">
        <f t="shared" si="5"/>
        <v>43263</v>
      </c>
      <c r="J8" s="38">
        <f t="shared" si="2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 t="shared" si="0"/>
        <v>1477.2413793103449</v>
      </c>
      <c r="Q8" s="47">
        <v>1597</v>
      </c>
      <c r="R8" s="50">
        <f t="shared" si="3"/>
        <v>868.9655172413793</v>
      </c>
      <c r="S8" s="47">
        <v>1032.5</v>
      </c>
      <c r="T8" s="46">
        <f t="shared" si="1"/>
        <v>434.48275862068965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228</v>
      </c>
      <c r="B9" s="21"/>
      <c r="C9" s="21"/>
      <c r="D9" s="21"/>
      <c r="G9" s="23" t="s">
        <v>153</v>
      </c>
      <c r="H9" s="24">
        <f t="shared" si="4"/>
        <v>43264</v>
      </c>
      <c r="I9" s="24">
        <f t="shared" si="5"/>
        <v>43277</v>
      </c>
      <c r="J9" s="38">
        <f t="shared" si="2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 t="shared" si="0"/>
        <v>1272.0689655172416</v>
      </c>
      <c r="Q9" s="47">
        <v>1184.5</v>
      </c>
      <c r="R9" s="50">
        <f t="shared" ref="R9" si="6">1400*(100%-K9)</f>
        <v>748.27586206896558</v>
      </c>
      <c r="S9" s="47">
        <v>743.5</v>
      </c>
      <c r="T9" s="46">
        <f t="shared" si="1"/>
        <v>374.13793103448279</v>
      </c>
      <c r="U9" s="47">
        <v>321.5</v>
      </c>
      <c r="W9" s="35">
        <v>43283</v>
      </c>
    </row>
    <row r="10" spans="1:27" x14ac:dyDescent="0.45">
      <c r="A10" t="s">
        <v>145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154</v>
      </c>
      <c r="H10" s="24">
        <f>I9+1</f>
        <v>43278</v>
      </c>
      <c r="I10" s="24">
        <f>I9+14</f>
        <v>43291</v>
      </c>
      <c r="J10" s="38">
        <f t="shared" si="2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0"/>
        <v>1087.4137931034481</v>
      </c>
      <c r="Q10" s="47">
        <v>1001</v>
      </c>
      <c r="R10" s="50">
        <f t="shared" si="3"/>
        <v>639.65517241379303</v>
      </c>
      <c r="S10" s="47">
        <v>634</v>
      </c>
      <c r="T10" s="46">
        <f t="shared" si="1"/>
        <v>319.82758620689651</v>
      </c>
      <c r="U10" s="47">
        <v>249.5</v>
      </c>
      <c r="W10" s="35">
        <v>43318</v>
      </c>
    </row>
    <row r="11" spans="1:27" x14ac:dyDescent="0.45">
      <c r="A11" t="s">
        <v>146</v>
      </c>
      <c r="B11" s="32">
        <f>MAX(100%,B10)-B10</f>
        <v>0.75</v>
      </c>
      <c r="G11" s="23" t="s">
        <v>155</v>
      </c>
      <c r="H11" s="24">
        <f t="shared" si="4"/>
        <v>43292</v>
      </c>
      <c r="I11" s="24">
        <f>I10+7</f>
        <v>43298</v>
      </c>
      <c r="J11" s="38">
        <f t="shared" si="2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0"/>
        <v>1087.4137931034481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1"/>
        <v>319.82758620689651</v>
      </c>
      <c r="U11" s="47">
        <v>259.5</v>
      </c>
      <c r="W11" s="35">
        <v>43346</v>
      </c>
    </row>
    <row r="12" spans="1:27" x14ac:dyDescent="0.45">
      <c r="G12" s="23" t="s">
        <v>156</v>
      </c>
      <c r="H12" s="24">
        <f t="shared" si="4"/>
        <v>43299</v>
      </c>
      <c r="I12" s="24">
        <f t="shared" si="5"/>
        <v>43312</v>
      </c>
      <c r="J12" s="38">
        <f t="shared" si="2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 t="shared" si="0"/>
        <v>882.24137931034488</v>
      </c>
      <c r="Q12" s="47">
        <v>793</v>
      </c>
      <c r="R12" s="50">
        <f t="shared" si="3"/>
        <v>518.9655172413793</v>
      </c>
      <c r="S12" s="47">
        <v>401.5</v>
      </c>
      <c r="T12" s="46">
        <f t="shared" si="1"/>
        <v>259.48275862068965</v>
      </c>
      <c r="U12" s="47">
        <v>257</v>
      </c>
      <c r="W12" s="35">
        <v>43381</v>
      </c>
    </row>
    <row r="13" spans="1:27" x14ac:dyDescent="0.45">
      <c r="A13" s="44" t="s">
        <v>229</v>
      </c>
      <c r="G13" s="23" t="s">
        <v>157</v>
      </c>
      <c r="H13" s="24">
        <f t="shared" si="4"/>
        <v>43313</v>
      </c>
      <c r="I13" s="24">
        <f t="shared" si="5"/>
        <v>43326</v>
      </c>
      <c r="J13" s="38">
        <f t="shared" si="2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v>0.70169999999999999</v>
      </c>
      <c r="N13" s="43">
        <v>0.7147</v>
      </c>
      <c r="O13" s="43">
        <v>0.73460000000000003</v>
      </c>
      <c r="P13" s="46">
        <f t="shared" si="0"/>
        <v>697.58620689655174</v>
      </c>
      <c r="Q13" s="47">
        <v>725.5</v>
      </c>
      <c r="R13" s="50">
        <f t="shared" si="3"/>
        <v>410.34482758620692</v>
      </c>
      <c r="S13" s="47">
        <v>310</v>
      </c>
      <c r="T13" s="46">
        <f t="shared" si="1"/>
        <v>205.17241379310346</v>
      </c>
      <c r="U13" s="47">
        <v>250.5</v>
      </c>
    </row>
    <row r="14" spans="1:27" x14ac:dyDescent="0.45">
      <c r="A14" t="s">
        <v>145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158</v>
      </c>
      <c r="H14" s="24">
        <f t="shared" si="4"/>
        <v>43327</v>
      </c>
      <c r="I14" s="24">
        <f t="shared" si="5"/>
        <v>43340</v>
      </c>
      <c r="J14" s="38">
        <f t="shared" si="2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3">
        <v>0.76429999999999998</v>
      </c>
      <c r="N14" s="43">
        <v>0.82769999999999999</v>
      </c>
      <c r="O14" s="43">
        <v>0.79830000000000001</v>
      </c>
      <c r="P14" s="46">
        <f t="shared" si="0"/>
        <v>492.4137931034482</v>
      </c>
      <c r="Q14" s="47">
        <v>577.5</v>
      </c>
      <c r="R14" s="50">
        <f t="shared" si="3"/>
        <v>289.65517241379308</v>
      </c>
      <c r="S14" s="47">
        <v>180.5</v>
      </c>
      <c r="T14" s="46">
        <f t="shared" si="1"/>
        <v>144.82758620689654</v>
      </c>
      <c r="U14" s="47">
        <v>189</v>
      </c>
    </row>
    <row r="15" spans="1:27" x14ac:dyDescent="0.45">
      <c r="A15" t="s">
        <v>146</v>
      </c>
      <c r="B15" s="32">
        <f>MAX(100%,B14)-B14</f>
        <v>0.75</v>
      </c>
      <c r="G15" s="23" t="s">
        <v>159</v>
      </c>
      <c r="H15" s="24">
        <f t="shared" si="4"/>
        <v>43341</v>
      </c>
      <c r="I15" s="24">
        <f t="shared" si="5"/>
        <v>43354</v>
      </c>
      <c r="J15" s="38">
        <f t="shared" si="2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3">
        <v>0.88780000000000003</v>
      </c>
      <c r="N15" s="43">
        <v>0.93130000000000002</v>
      </c>
      <c r="O15" s="43">
        <v>0.86060000000000003</v>
      </c>
      <c r="P15" s="46">
        <f t="shared" ref="P15" si="7">2380*(100%-K15)</f>
        <v>307.75862068965512</v>
      </c>
      <c r="Q15" s="47">
        <v>252.5</v>
      </c>
      <c r="R15" s="50">
        <f t="shared" ref="R15" si="8">1400*(100%-K15)</f>
        <v>181.03448275862067</v>
      </c>
      <c r="S15" s="47">
        <v>68</v>
      </c>
      <c r="T15" s="46">
        <f t="shared" ref="T15" si="9">700*(100%-L15)</f>
        <v>90.517241379310335</v>
      </c>
      <c r="U15" s="47">
        <v>131.5</v>
      </c>
    </row>
    <row r="16" spans="1:27" x14ac:dyDescent="0.45">
      <c r="G16" s="23" t="s">
        <v>160</v>
      </c>
      <c r="H16" s="24">
        <f t="shared" si="4"/>
        <v>43355</v>
      </c>
      <c r="I16" s="24">
        <f t="shared" si="5"/>
        <v>43368</v>
      </c>
      <c r="J16" s="38">
        <f t="shared" si="2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3">
        <v>0.94430000000000003</v>
      </c>
      <c r="N16" s="43">
        <v>0.99270000000000003</v>
      </c>
      <c r="O16" s="43">
        <v>0.90720000000000001</v>
      </c>
      <c r="P16" s="46">
        <f t="shared" si="0"/>
        <v>102.5862068965518</v>
      </c>
      <c r="Q16" s="47">
        <v>124</v>
      </c>
      <c r="R16" s="50">
        <f t="shared" si="3"/>
        <v>60.344827586206939</v>
      </c>
      <c r="S16" s="47">
        <v>7</v>
      </c>
      <c r="T16" s="46">
        <f t="shared" si="1"/>
        <v>30.17241379310347</v>
      </c>
      <c r="U16" s="47">
        <v>88</v>
      </c>
    </row>
    <row r="17" spans="1:21" x14ac:dyDescent="0.45">
      <c r="A17" s="44" t="s">
        <v>255</v>
      </c>
      <c r="B17" s="44" t="s">
        <v>256</v>
      </c>
      <c r="G17" s="25" t="s">
        <v>161</v>
      </c>
      <c r="H17" s="26">
        <f t="shared" si="4"/>
        <v>43369</v>
      </c>
      <c r="I17" s="26">
        <f>I16+7</f>
        <v>43375</v>
      </c>
      <c r="J17" s="39">
        <f t="shared" si="2"/>
        <v>5</v>
      </c>
      <c r="K17" s="41">
        <f>SUM($J$4:J17)/SUM($J$4:$J$17)</f>
        <v>1</v>
      </c>
      <c r="L17" s="41">
        <f>SUM($J$4:J17)/SUM($J$4:$J$17)</f>
        <v>1</v>
      </c>
      <c r="M17" s="72">
        <f>100%-GETPIVOTDATA("Epic Remaining Estimate",$Y$4)/GETPIVOTDATA("Epic Total Estimate",$Y$4)</f>
        <v>0.75</v>
      </c>
      <c r="N17" s="72">
        <f>100%-GETPIVOTDATA("Epic Remaining Estimate",$Y$4,"ST:Components","Diagram Editor")/GETPIVOTDATA("Epic Total Estimate",$Y$4,"ST:Components","Diagram Editor")</f>
        <v>0.25</v>
      </c>
      <c r="O17" s="72">
        <f>100%-GETPIVOTDATA("Epic Remaining Estimate",$Y$4,"ST:Components","Artifact List")/GETPIVOTDATA("Epic Total Estimate",$Y$4,"ST:Components","Artifact List")</f>
        <v>0.25</v>
      </c>
      <c r="P17" s="49">
        <f t="shared" si="0"/>
        <v>0</v>
      </c>
      <c r="Q17" s="48">
        <f>GETPIVOTDATA("Epic Remaining Estimate",$Y$4)</f>
        <v>300</v>
      </c>
      <c r="R17" s="49">
        <f t="shared" si="3"/>
        <v>0</v>
      </c>
      <c r="S17" s="48">
        <f>GETPIVOTDATA("Epic Remaining Estimate",$Y$4,"ST:Components","Diagram Editor")</f>
        <v>150</v>
      </c>
      <c r="T17" s="49">
        <f t="shared" si="1"/>
        <v>0</v>
      </c>
      <c r="U17" s="48">
        <f>GETPIVOTDATA("Epic Remaining Estimate",$Y$4,"ST:Components","Artifact List")</f>
        <v>150</v>
      </c>
    </row>
    <row r="18" spans="1:21" x14ac:dyDescent="0.45">
      <c r="A18" t="s">
        <v>145</v>
      </c>
      <c r="B18" s="52">
        <f ca="1">MAX(NETWORKDAYS($D$3,$E$6,$W$3:$W$12)/NETWORKDAYS($D$3,$E$3,$W$3:$W$12),0%)</f>
        <v>0.96551724137931039</v>
      </c>
    </row>
    <row r="19" spans="1:21" x14ac:dyDescent="0.45">
      <c r="A19" t="s">
        <v>146</v>
      </c>
      <c r="B19" s="32">
        <f ca="1">MAX(100%,B18)-B18</f>
        <v>3.4482758620689613E-2</v>
      </c>
    </row>
    <row r="20" spans="1:21" x14ac:dyDescent="0.45">
      <c r="D20" s="16" t="s">
        <v>141</v>
      </c>
      <c r="E20" t="s">
        <v>144</v>
      </c>
      <c r="G20" s="16" t="s">
        <v>141</v>
      </c>
      <c r="H20" t="s">
        <v>144</v>
      </c>
    </row>
    <row r="21" spans="1:21" x14ac:dyDescent="0.45">
      <c r="A21" s="16" t="s">
        <v>141</v>
      </c>
      <c r="B21" t="s">
        <v>144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224</v>
      </c>
      <c r="G22" s="16" t="s">
        <v>20</v>
      </c>
      <c r="H22" t="s">
        <v>223</v>
      </c>
    </row>
    <row r="24" spans="1:21" x14ac:dyDescent="0.45">
      <c r="A24" s="16" t="s">
        <v>218</v>
      </c>
      <c r="D24" s="16" t="s">
        <v>218</v>
      </c>
      <c r="G24" s="16" t="s">
        <v>218</v>
      </c>
    </row>
    <row r="25" spans="1:21" x14ac:dyDescent="0.45">
      <c r="A25" s="17" t="s">
        <v>219</v>
      </c>
      <c r="B25" s="20">
        <v>900</v>
      </c>
      <c r="D25" s="17" t="s">
        <v>219</v>
      </c>
      <c r="E25" s="20">
        <v>50</v>
      </c>
      <c r="G25" s="17" t="s">
        <v>219</v>
      </c>
      <c r="H25" s="20">
        <v>50</v>
      </c>
    </row>
    <row r="26" spans="1:21" x14ac:dyDescent="0.45">
      <c r="A26" s="17" t="s">
        <v>220</v>
      </c>
      <c r="B26" s="20">
        <v>80</v>
      </c>
      <c r="D26" s="17" t="s">
        <v>220</v>
      </c>
      <c r="E26" s="20">
        <v>40</v>
      </c>
      <c r="G26" s="17" t="s">
        <v>220</v>
      </c>
      <c r="H26" s="20">
        <v>40</v>
      </c>
    </row>
    <row r="27" spans="1:21" x14ac:dyDescent="0.45">
      <c r="A27" s="17" t="s">
        <v>193</v>
      </c>
      <c r="B27" s="20">
        <v>120</v>
      </c>
      <c r="D27" s="17" t="s">
        <v>193</v>
      </c>
      <c r="E27" s="20">
        <v>60</v>
      </c>
      <c r="G27" s="17" t="s">
        <v>193</v>
      </c>
      <c r="H27" s="20">
        <v>60</v>
      </c>
    </row>
    <row r="28" spans="1:21" x14ac:dyDescent="0.45">
      <c r="A28" s="17" t="s">
        <v>221</v>
      </c>
      <c r="B28" s="20">
        <v>60</v>
      </c>
      <c r="D28" s="17" t="s">
        <v>221</v>
      </c>
      <c r="E28" s="20">
        <v>30</v>
      </c>
      <c r="G28" s="17" t="s">
        <v>221</v>
      </c>
      <c r="H28" s="20">
        <v>30</v>
      </c>
    </row>
    <row r="29" spans="1:21" x14ac:dyDescent="0.45">
      <c r="A29" s="17" t="s">
        <v>222</v>
      </c>
      <c r="B29" s="20">
        <v>840</v>
      </c>
      <c r="D29" s="17" t="s">
        <v>222</v>
      </c>
      <c r="E29" s="20">
        <v>20</v>
      </c>
      <c r="G29" s="17" t="s">
        <v>222</v>
      </c>
      <c r="H29" s="20">
        <v>20</v>
      </c>
    </row>
    <row r="31" spans="1:21" x14ac:dyDescent="0.45">
      <c r="A31" s="16" t="s">
        <v>141</v>
      </c>
      <c r="B31" t="s">
        <v>144</v>
      </c>
      <c r="D31" s="16" t="s">
        <v>141</v>
      </c>
      <c r="E31" t="s">
        <v>144</v>
      </c>
      <c r="G31" s="16" t="s">
        <v>141</v>
      </c>
      <c r="H31" t="s">
        <v>144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224</v>
      </c>
      <c r="G33" s="16" t="s">
        <v>20</v>
      </c>
      <c r="H33" t="s">
        <v>223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141</v>
      </c>
      <c r="B47" t="s">
        <v>144</v>
      </c>
    </row>
    <row r="49" spans="1:2" x14ac:dyDescent="0.45">
      <c r="A49" s="16" t="s">
        <v>162</v>
      </c>
      <c r="B49" t="s">
        <v>118</v>
      </c>
    </row>
    <row r="50" spans="1:2" x14ac:dyDescent="0.45">
      <c r="A50" s="17" t="s">
        <v>228</v>
      </c>
      <c r="B50" s="20">
        <v>200</v>
      </c>
    </row>
    <row r="51" spans="1:2" x14ac:dyDescent="0.45">
      <c r="A51" s="17" t="s">
        <v>229</v>
      </c>
      <c r="B51" s="20">
        <v>200</v>
      </c>
    </row>
    <row r="52" spans="1:2" x14ac:dyDescent="0.45">
      <c r="A52" s="17" t="s">
        <v>237</v>
      </c>
      <c r="B52" s="20">
        <v>200</v>
      </c>
    </row>
    <row r="53" spans="1:2" x14ac:dyDescent="0.45">
      <c r="A53" s="17" t="s">
        <v>238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4"/>
      <c r="B1" s="74"/>
      <c r="C1" s="74"/>
      <c r="D1" s="75" t="s">
        <v>141</v>
      </c>
      <c r="E1" s="75"/>
      <c r="F1" s="75"/>
      <c r="G1" s="75"/>
      <c r="H1" s="75"/>
      <c r="I1" s="75"/>
      <c r="J1" s="75"/>
      <c r="K1" s="75"/>
      <c r="L1" s="75" t="s">
        <v>228</v>
      </c>
      <c r="M1" s="75"/>
      <c r="N1" s="75"/>
      <c r="O1" s="75"/>
      <c r="P1" s="75"/>
      <c r="Q1" s="75"/>
      <c r="R1" s="75"/>
      <c r="S1" s="75"/>
      <c r="T1" s="75" t="s">
        <v>229</v>
      </c>
      <c r="U1" s="75"/>
      <c r="V1" s="75"/>
      <c r="W1" s="75"/>
      <c r="X1" s="75"/>
      <c r="Y1" s="75"/>
      <c r="Z1" s="75"/>
      <c r="AA1" s="75"/>
    </row>
    <row r="2" spans="1:34" s="63" customFormat="1" ht="42.75" x14ac:dyDescent="0.45">
      <c r="A2" s="56" t="s">
        <v>240</v>
      </c>
      <c r="B2" s="56" t="s">
        <v>130</v>
      </c>
      <c r="C2" s="56" t="s">
        <v>131</v>
      </c>
      <c r="D2" s="57" t="s">
        <v>258</v>
      </c>
      <c r="E2" s="58" t="s">
        <v>259</v>
      </c>
      <c r="F2" s="59" t="s">
        <v>123</v>
      </c>
      <c r="G2" s="59" t="s">
        <v>260</v>
      </c>
      <c r="H2" s="59" t="s">
        <v>261</v>
      </c>
      <c r="I2" s="59" t="s">
        <v>262</v>
      </c>
      <c r="J2" s="59" t="s">
        <v>263</v>
      </c>
      <c r="K2" s="60" t="s">
        <v>264</v>
      </c>
      <c r="L2" s="57" t="s">
        <v>258</v>
      </c>
      <c r="M2" s="58" t="s">
        <v>259</v>
      </c>
      <c r="N2" s="59" t="s">
        <v>123</v>
      </c>
      <c r="O2" s="59" t="s">
        <v>260</v>
      </c>
      <c r="P2" s="59" t="s">
        <v>261</v>
      </c>
      <c r="Q2" s="59" t="s">
        <v>262</v>
      </c>
      <c r="R2" s="59" t="s">
        <v>263</v>
      </c>
      <c r="S2" s="60" t="s">
        <v>264</v>
      </c>
      <c r="T2" s="61" t="s">
        <v>258</v>
      </c>
      <c r="U2" s="58" t="s">
        <v>259</v>
      </c>
      <c r="V2" s="59" t="s">
        <v>123</v>
      </c>
      <c r="W2" s="59" t="s">
        <v>260</v>
      </c>
      <c r="X2" s="59" t="s">
        <v>261</v>
      </c>
      <c r="Y2" s="59" t="s">
        <v>262</v>
      </c>
      <c r="Z2" s="59" t="s">
        <v>263</v>
      </c>
      <c r="AA2" s="60" t="s">
        <v>264</v>
      </c>
      <c r="AB2" s="62"/>
    </row>
    <row r="3" spans="1:34" x14ac:dyDescent="0.45">
      <c r="A3" t="s">
        <v>265</v>
      </c>
      <c r="B3" s="64"/>
      <c r="C3" s="64"/>
      <c r="D3" s="65">
        <v>2023</v>
      </c>
      <c r="E3" s="66">
        <v>2380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700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148</v>
      </c>
      <c r="B4" s="68">
        <v>43194</v>
      </c>
      <c r="C4" s="68">
        <v>43207</v>
      </c>
      <c r="D4" s="65">
        <v>2442</v>
      </c>
      <c r="E4" s="66">
        <v>2380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700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149</v>
      </c>
      <c r="B5" s="68">
        <v>43208</v>
      </c>
      <c r="C5" s="68">
        <v>43221</v>
      </c>
      <c r="D5" s="65">
        <v>2743.8</v>
      </c>
      <c r="E5" s="66">
        <v>2380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700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150</v>
      </c>
      <c r="B6" s="68">
        <v>43222</v>
      </c>
      <c r="C6" s="68">
        <v>43235</v>
      </c>
      <c r="D6" s="65">
        <v>2412</v>
      </c>
      <c r="E6" s="66">
        <v>2380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700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151</v>
      </c>
      <c r="B7" s="68">
        <v>43236</v>
      </c>
      <c r="C7" s="68">
        <v>43249</v>
      </c>
      <c r="D7" s="65">
        <v>2437.5</v>
      </c>
      <c r="E7" s="66">
        <v>2380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700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152</v>
      </c>
      <c r="B8" s="68">
        <v>43250</v>
      </c>
      <c r="C8" s="68">
        <v>43263</v>
      </c>
      <c r="D8" s="65">
        <v>2462.5</v>
      </c>
      <c r="E8" s="66">
        <v>2380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700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141</v>
      </c>
      <c r="AE8" t="s">
        <v>144</v>
      </c>
    </row>
    <row r="9" spans="1:34" x14ac:dyDescent="0.45">
      <c r="A9" t="s">
        <v>153</v>
      </c>
      <c r="B9" s="68">
        <v>43264</v>
      </c>
      <c r="C9" s="68">
        <v>43277</v>
      </c>
      <c r="D9" s="65">
        <v>2257</v>
      </c>
      <c r="E9" s="66">
        <v>2380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700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154</v>
      </c>
      <c r="B10" s="68">
        <v>43278</v>
      </c>
      <c r="C10" s="68">
        <v>43291</v>
      </c>
      <c r="D10" s="65">
        <v>2264.5</v>
      </c>
      <c r="E10" s="66">
        <v>2380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700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208</v>
      </c>
    </row>
    <row r="11" spans="1:34" x14ac:dyDescent="0.45">
      <c r="A11" t="s">
        <v>155</v>
      </c>
      <c r="B11" s="68">
        <v>43292</v>
      </c>
      <c r="C11" s="68">
        <v>43298</v>
      </c>
      <c r="D11" s="65">
        <v>2220.5</v>
      </c>
      <c r="E11" s="66">
        <v>2380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700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156</v>
      </c>
      <c r="B12" s="68">
        <v>43299</v>
      </c>
      <c r="C12" s="68">
        <v>43312</v>
      </c>
      <c r="D12" s="65">
        <v>2306.5</v>
      </c>
      <c r="E12" s="66">
        <v>2380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700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162</v>
      </c>
      <c r="AE12" t="s">
        <v>118</v>
      </c>
      <c r="AF12" t="s">
        <v>266</v>
      </c>
      <c r="AG12" t="s">
        <v>267</v>
      </c>
      <c r="AH12" t="s">
        <v>117</v>
      </c>
    </row>
    <row r="13" spans="1:34" x14ac:dyDescent="0.45">
      <c r="A13" t="s">
        <v>157</v>
      </c>
      <c r="B13" s="68">
        <v>43313</v>
      </c>
      <c r="C13" s="68">
        <v>43326</v>
      </c>
      <c r="D13" s="65">
        <v>2432.5</v>
      </c>
      <c r="E13" s="66">
        <v>2380</v>
      </c>
      <c r="F13" s="46">
        <v>2284.5</v>
      </c>
      <c r="G13" s="46">
        <v>2016.5</v>
      </c>
      <c r="H13" s="46">
        <f t="shared" ref="H13" si="19">D13-I13</f>
        <v>1707</v>
      </c>
      <c r="I13" s="46">
        <v>725.5</v>
      </c>
      <c r="J13" s="36">
        <f t="shared" ref="J13" si="20" xml:space="preserve"> G13/D13</f>
        <v>0.82898252826310381</v>
      </c>
      <c r="K13" s="36">
        <f t="shared" ref="K13" si="21" xml:space="preserve"> H13/D13</f>
        <v>0.7017471736896197</v>
      </c>
      <c r="L13" s="67">
        <v>1086.5</v>
      </c>
      <c r="M13" s="66">
        <v>1400</v>
      </c>
      <c r="N13" s="46">
        <v>1064.5</v>
      </c>
      <c r="O13" s="46">
        <v>885</v>
      </c>
      <c r="P13" s="46">
        <f t="shared" ref="P13" si="22">L13-Q13</f>
        <v>776.5</v>
      </c>
      <c r="Q13" s="46">
        <v>310</v>
      </c>
      <c r="R13" s="36">
        <f t="shared" ref="R13" si="23" xml:space="preserve"> O13/L13</f>
        <v>0.81454210768522783</v>
      </c>
      <c r="S13" s="36">
        <f t="shared" ref="S13" si="24" xml:space="preserve"> P13/L13</f>
        <v>0.71468016566958126</v>
      </c>
      <c r="T13" s="65">
        <v>944</v>
      </c>
      <c r="U13" s="66">
        <v>700</v>
      </c>
      <c r="V13" s="46">
        <v>874</v>
      </c>
      <c r="W13" s="46">
        <v>822.5</v>
      </c>
      <c r="X13" s="46">
        <f t="shared" ref="X13" si="25">T13-Y13</f>
        <v>693.5</v>
      </c>
      <c r="Y13" s="46">
        <v>250.5</v>
      </c>
      <c r="Z13" s="36">
        <f t="shared" ref="Z13" si="26" xml:space="preserve"> W13/T13</f>
        <v>0.87129237288135597</v>
      </c>
      <c r="AA13" s="36">
        <f t="shared" ref="AA13" si="27">X13/T13</f>
        <v>0.73463983050847459</v>
      </c>
      <c r="AD13" s="17" t="s">
        <v>223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158</v>
      </c>
      <c r="B14" s="68">
        <v>43327</v>
      </c>
      <c r="C14" s="68">
        <v>43340</v>
      </c>
      <c r="D14" s="65">
        <v>2450.5</v>
      </c>
      <c r="E14" s="66">
        <v>2380</v>
      </c>
      <c r="F14" s="46">
        <v>2301.5</v>
      </c>
      <c r="G14" s="46">
        <v>2237</v>
      </c>
      <c r="H14" s="46">
        <f t="shared" ref="H14" si="28">D14-I14</f>
        <v>1873</v>
      </c>
      <c r="I14" s="46">
        <v>577.5</v>
      </c>
      <c r="J14" s="36">
        <f t="shared" ref="J14" si="29" xml:space="preserve"> G14/D14</f>
        <v>0.9128749234850031</v>
      </c>
      <c r="K14" s="36">
        <f t="shared" ref="K14" si="30" xml:space="preserve"> H14/D14</f>
        <v>0.76433380942664764</v>
      </c>
      <c r="L14" s="67">
        <v>1047.5</v>
      </c>
      <c r="M14" s="66">
        <v>1400</v>
      </c>
      <c r="N14" s="46">
        <v>1026.5</v>
      </c>
      <c r="O14" s="46">
        <v>1000</v>
      </c>
      <c r="P14" s="46">
        <f t="shared" ref="P14" si="31">L14-Q14</f>
        <v>867</v>
      </c>
      <c r="Q14" s="46">
        <v>180.5</v>
      </c>
      <c r="R14" s="36">
        <f t="shared" ref="R14" si="32" xml:space="preserve"> O14/L14</f>
        <v>0.95465393794749398</v>
      </c>
      <c r="S14" s="36">
        <f t="shared" ref="S14" si="33" xml:space="preserve"> P14/L14</f>
        <v>0.82768496420047732</v>
      </c>
      <c r="T14" s="65">
        <v>937</v>
      </c>
      <c r="U14" s="66">
        <v>700</v>
      </c>
      <c r="V14" s="46">
        <v>922</v>
      </c>
      <c r="W14" s="46">
        <v>917</v>
      </c>
      <c r="X14" s="46">
        <f t="shared" ref="X14" si="34">T14-Y14</f>
        <v>748</v>
      </c>
      <c r="Y14" s="46">
        <v>189</v>
      </c>
      <c r="Z14" s="36">
        <f t="shared" ref="Z14" si="35" xml:space="preserve"> W14/T14</f>
        <v>0.97865528281750269</v>
      </c>
      <c r="AA14" s="36">
        <f t="shared" ref="AA14" si="36">X14/T14</f>
        <v>0.79829242262540023</v>
      </c>
      <c r="AD14" s="17" t="s">
        <v>224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159</v>
      </c>
      <c r="B15" s="68">
        <v>43341</v>
      </c>
      <c r="C15" s="68">
        <v>43354</v>
      </c>
      <c r="D15" s="65">
        <v>2250.5</v>
      </c>
      <c r="E15" s="66">
        <v>2380</v>
      </c>
      <c r="F15" s="46">
        <v>2247.5</v>
      </c>
      <c r="G15" s="46">
        <v>2237.5</v>
      </c>
      <c r="H15" s="46">
        <f t="shared" ref="H15" si="37">D15-I15</f>
        <v>1998</v>
      </c>
      <c r="I15" s="46">
        <v>252.5</v>
      </c>
      <c r="J15" s="36">
        <f t="shared" ref="J15" si="38" xml:space="preserve"> G15/D15</f>
        <v>0.99422350588758057</v>
      </c>
      <c r="K15" s="36">
        <f t="shared" ref="K15" si="39" xml:space="preserve"> H15/D15</f>
        <v>0.88780271050877579</v>
      </c>
      <c r="L15" s="67">
        <v>990.5</v>
      </c>
      <c r="M15" s="66">
        <v>1400</v>
      </c>
      <c r="N15" s="46">
        <v>990.5</v>
      </c>
      <c r="O15" s="46">
        <v>981.5</v>
      </c>
      <c r="P15" s="46">
        <f t="shared" ref="P15" si="40">L15-Q15</f>
        <v>922.5</v>
      </c>
      <c r="Q15" s="46">
        <v>68</v>
      </c>
      <c r="R15" s="36">
        <f t="shared" ref="R15" si="41" xml:space="preserve"> O15/L15</f>
        <v>0.99091367995961632</v>
      </c>
      <c r="S15" s="36">
        <f t="shared" ref="S15" si="42" xml:space="preserve"> P15/L15</f>
        <v>0.93134780413932361</v>
      </c>
      <c r="T15" s="65">
        <v>943</v>
      </c>
      <c r="U15" s="66">
        <v>700</v>
      </c>
      <c r="V15" s="46">
        <v>943</v>
      </c>
      <c r="W15" s="46">
        <v>943</v>
      </c>
      <c r="X15" s="46">
        <f t="shared" ref="X15" si="43">T15-Y15</f>
        <v>811.5</v>
      </c>
      <c r="Y15" s="46">
        <v>131.5</v>
      </c>
      <c r="Z15" s="36">
        <f t="shared" ref="Z15" si="44" xml:space="preserve"> W15/T15</f>
        <v>1</v>
      </c>
      <c r="AA15" s="36">
        <f t="shared" ref="AA15" si="45">X15/T15</f>
        <v>0.86055143160127257</v>
      </c>
      <c r="AD15" s="17" t="s">
        <v>236</v>
      </c>
      <c r="AE15" s="20">
        <v>800</v>
      </c>
      <c r="AF15" s="20"/>
      <c r="AG15" s="20"/>
      <c r="AH15" s="20"/>
    </row>
    <row r="16" spans="1:34" x14ac:dyDescent="0.45">
      <c r="A16" t="s">
        <v>160</v>
      </c>
      <c r="B16" s="68">
        <v>43355</v>
      </c>
      <c r="C16" s="68">
        <v>43368</v>
      </c>
      <c r="D16" s="65">
        <v>2227</v>
      </c>
      <c r="E16" s="66">
        <v>2380</v>
      </c>
      <c r="F16" s="46">
        <v>2227</v>
      </c>
      <c r="G16" s="46">
        <v>2227</v>
      </c>
      <c r="H16" s="46">
        <f t="shared" ref="H16" si="46">D16-I16</f>
        <v>2103</v>
      </c>
      <c r="I16" s="46">
        <v>124</v>
      </c>
      <c r="J16" s="36">
        <f t="shared" ref="J16" si="47" xml:space="preserve"> G16/D16</f>
        <v>1</v>
      </c>
      <c r="K16" s="36">
        <f t="shared" ref="K16" si="48" xml:space="preserve"> H16/D16</f>
        <v>0.94431971261787162</v>
      </c>
      <c r="L16" s="67">
        <v>964.5</v>
      </c>
      <c r="M16" s="66">
        <v>1400</v>
      </c>
      <c r="N16" s="46">
        <v>964.5</v>
      </c>
      <c r="O16" s="46">
        <v>964.5</v>
      </c>
      <c r="P16" s="46">
        <f t="shared" ref="P16" si="49">L16-Q16</f>
        <v>957.5</v>
      </c>
      <c r="Q16" s="46">
        <v>7</v>
      </c>
      <c r="R16" s="36">
        <f t="shared" ref="R16" si="50" xml:space="preserve"> O16/L16</f>
        <v>1</v>
      </c>
      <c r="S16" s="36">
        <f t="shared" ref="S16" si="51" xml:space="preserve"> P16/L16</f>
        <v>0.99274235355106277</v>
      </c>
      <c r="T16" s="65">
        <v>948.5</v>
      </c>
      <c r="U16" s="66">
        <v>700</v>
      </c>
      <c r="V16" s="46">
        <v>948.5</v>
      </c>
      <c r="W16" s="46">
        <v>948.5</v>
      </c>
      <c r="X16" s="46">
        <f t="shared" ref="X16" si="52">T16-Y16</f>
        <v>817</v>
      </c>
      <c r="Y16" s="46">
        <v>131.5</v>
      </c>
      <c r="Z16" s="36">
        <f t="shared" ref="Z16" si="53" xml:space="preserve"> W16/T16</f>
        <v>1</v>
      </c>
      <c r="AA16" s="36">
        <f t="shared" ref="AA16" si="54">X16/T16</f>
        <v>0.86136004217185025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7" x14ac:dyDescent="0.45">
      <c r="A17" t="s">
        <v>161</v>
      </c>
      <c r="B17" s="70">
        <v>43369</v>
      </c>
      <c r="C17" s="70">
        <v>43382</v>
      </c>
      <c r="D17" s="65">
        <f>GETPIVOTDATA("Epic Total Estimate", $AD$8, "Type", "Epic")</f>
        <v>1200</v>
      </c>
      <c r="E17" s="66">
        <v>2380</v>
      </c>
      <c r="F17" s="46">
        <f>GETPIVOTDATA("Stories Estimate", $AD$8, "Type", "Epic")</f>
        <v>0</v>
      </c>
      <c r="G17" s="46">
        <f>GETPIVOTDATA("Epic Decomposed", $AD$8, "Type", "Epic")</f>
        <v>360</v>
      </c>
      <c r="H17" s="46">
        <f t="shared" ref="H17" si="55">D17-I17</f>
        <v>900</v>
      </c>
      <c r="I17" s="46">
        <f>GETPIVOTDATA("Epic Remaining Estimate", $AD$8, "Type", "Epic")</f>
        <v>300</v>
      </c>
      <c r="J17" s="36">
        <f t="shared" ref="J17" si="56" xml:space="preserve"> G17/D17</f>
        <v>0.3</v>
      </c>
      <c r="K17" s="36">
        <f t="shared" ref="K17" si="57" xml:space="preserve"> H17/D17</f>
        <v>0.75</v>
      </c>
      <c r="L17" s="67">
        <f>GETPIVOTDATA("Epic Total Estimate", $AD$8, "Type", "Epic", "ST:Components", "Diagram Editor")</f>
        <v>200</v>
      </c>
      <c r="M17" s="66">
        <v>1400</v>
      </c>
      <c r="N17" s="46">
        <f>GETPIVOTDATA("Stories Estimate", $AD$8, "Type", "Epic", "ST:Components", "Diagram Editor")</f>
        <v>0</v>
      </c>
      <c r="O17" s="46">
        <f>GETPIVOTDATA("Epic Decomposed", $AD$8, "Type", "Epic", "ST:Components", "Diagram Editor")</f>
        <v>180</v>
      </c>
      <c r="P17" s="46">
        <f t="shared" ref="P17" si="58">L17-Q17</f>
        <v>50</v>
      </c>
      <c r="Q17" s="46">
        <f>GETPIVOTDATA("Epic Remaining Estimate", $AD$8, "Type", "Epic", "ST:Components", "Diagram Editor")</f>
        <v>150</v>
      </c>
      <c r="R17" s="36">
        <f t="shared" ref="R17" si="59" xml:space="preserve"> O17/L17</f>
        <v>0.9</v>
      </c>
      <c r="S17" s="36">
        <f t="shared" ref="S17" si="60" xml:space="preserve"> P17/L17</f>
        <v>0.25</v>
      </c>
      <c r="T17" s="65">
        <f>GETPIVOTDATA("Epic Total Estimate", $AD$8, "Type", "Epic", "ST:Components", "Artifact List")</f>
        <v>200</v>
      </c>
      <c r="U17" s="66">
        <v>700</v>
      </c>
      <c r="V17" s="46">
        <f>GETPIVOTDATA("Stories Estimate", $AD$8, "Type", "Epic", "ST:Components", "Artifact List")</f>
        <v>0</v>
      </c>
      <c r="W17" s="46">
        <f>GETPIVOTDATA("Epic Decomposed", $AD$8, "Type", "Epic", "ST:Components", "Artifact List")</f>
        <v>180</v>
      </c>
      <c r="X17" s="46">
        <f t="shared" ref="X17" si="61">T17-Y17</f>
        <v>50</v>
      </c>
      <c r="Y17" s="46">
        <f>GETPIVOTDATA("Epic Remaining Estimate", $AD$8, "Type", "Epic", "ST:Components", "Artifact List")</f>
        <v>150</v>
      </c>
      <c r="Z17" s="36">
        <f t="shared" ref="Z17" si="62" xml:space="preserve"> W17/T17</f>
        <v>0.9</v>
      </c>
      <c r="AA17" s="36">
        <f t="shared" ref="AA17" si="63">X17/T17</f>
        <v>0.25</v>
      </c>
    </row>
    <row r="18" spans="1:27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9"/>
  <sheetViews>
    <sheetView workbookViewId="0">
      <selection activeCell="D29" sqref="D29"/>
    </sheetView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198</v>
      </c>
    </row>
    <row r="2" spans="2:8" x14ac:dyDescent="0.45">
      <c r="G2" s="16" t="s">
        <v>275</v>
      </c>
      <c r="H2" t="s">
        <v>277</v>
      </c>
    </row>
    <row r="3" spans="2:8" x14ac:dyDescent="0.45">
      <c r="B3" s="16" t="s">
        <v>162</v>
      </c>
      <c r="C3" t="s">
        <v>242</v>
      </c>
    </row>
    <row r="4" spans="2:8" x14ac:dyDescent="0.45">
      <c r="B4" s="17" t="s">
        <v>68</v>
      </c>
      <c r="C4" s="20">
        <v>840</v>
      </c>
      <c r="G4" s="16" t="s">
        <v>162</v>
      </c>
      <c r="H4" t="s">
        <v>189</v>
      </c>
    </row>
    <row r="5" spans="2:8" x14ac:dyDescent="0.45">
      <c r="B5" s="17" t="s">
        <v>50</v>
      </c>
      <c r="C5" s="20">
        <v>840</v>
      </c>
      <c r="G5" s="17" t="s">
        <v>54</v>
      </c>
      <c r="H5" s="20">
        <v>5</v>
      </c>
    </row>
    <row r="6" spans="2:8" x14ac:dyDescent="0.45">
      <c r="G6" s="17" t="s">
        <v>57</v>
      </c>
      <c r="H6" s="20">
        <v>10</v>
      </c>
    </row>
    <row r="7" spans="2:8" x14ac:dyDescent="0.45">
      <c r="G7" s="17" t="s">
        <v>50</v>
      </c>
      <c r="H7" s="20">
        <v>15</v>
      </c>
    </row>
    <row r="15" spans="2:8" x14ac:dyDescent="0.45">
      <c r="B15" t="s">
        <v>240</v>
      </c>
      <c r="C15" t="s">
        <v>243</v>
      </c>
      <c r="D15" t="s">
        <v>244</v>
      </c>
    </row>
    <row r="16" spans="2:8" x14ac:dyDescent="0.45">
      <c r="B16" t="s">
        <v>148</v>
      </c>
      <c r="C16">
        <v>1872.5</v>
      </c>
      <c r="D16">
        <v>227.5</v>
      </c>
    </row>
    <row r="17" spans="2:4" x14ac:dyDescent="0.45">
      <c r="B17" t="s">
        <v>149</v>
      </c>
      <c r="C17">
        <v>1932.75</v>
      </c>
      <c r="D17">
        <v>291</v>
      </c>
    </row>
    <row r="18" spans="2:4" x14ac:dyDescent="0.45">
      <c r="B18" t="s">
        <v>150</v>
      </c>
      <c r="C18">
        <v>1438</v>
      </c>
      <c r="D18">
        <v>286</v>
      </c>
    </row>
    <row r="19" spans="2:4" x14ac:dyDescent="0.45">
      <c r="B19" t="s">
        <v>151</v>
      </c>
      <c r="C19">
        <v>1265</v>
      </c>
      <c r="D19">
        <v>339.5</v>
      </c>
    </row>
    <row r="20" spans="2:4" x14ac:dyDescent="0.45">
      <c r="B20" t="s">
        <v>152</v>
      </c>
      <c r="C20">
        <v>1099</v>
      </c>
      <c r="D20">
        <v>348</v>
      </c>
    </row>
    <row r="21" spans="2:4" x14ac:dyDescent="0.45">
      <c r="B21" t="s">
        <v>153</v>
      </c>
      <c r="C21">
        <v>779</v>
      </c>
      <c r="D21">
        <v>348</v>
      </c>
    </row>
    <row r="22" spans="2:4" x14ac:dyDescent="0.45">
      <c r="B22" t="s">
        <v>154</v>
      </c>
      <c r="C22">
        <v>701</v>
      </c>
      <c r="D22">
        <v>217</v>
      </c>
    </row>
    <row r="23" spans="2:4" x14ac:dyDescent="0.45">
      <c r="B23" t="s">
        <v>155</v>
      </c>
      <c r="C23">
        <v>521</v>
      </c>
      <c r="D23">
        <v>222.5</v>
      </c>
    </row>
    <row r="24" spans="2:4" x14ac:dyDescent="0.45">
      <c r="B24" t="s">
        <v>156</v>
      </c>
      <c r="C24">
        <v>441</v>
      </c>
      <c r="D24">
        <v>205</v>
      </c>
    </row>
    <row r="25" spans="2:4" x14ac:dyDescent="0.45">
      <c r="B25" t="s">
        <v>157</v>
      </c>
      <c r="C25">
        <v>416</v>
      </c>
      <c r="D25">
        <v>161</v>
      </c>
    </row>
    <row r="26" spans="2:4" x14ac:dyDescent="0.45">
      <c r="B26" t="s">
        <v>158</v>
      </c>
      <c r="C26">
        <v>770</v>
      </c>
      <c r="D26">
        <v>239.5</v>
      </c>
    </row>
    <row r="27" spans="2:4" x14ac:dyDescent="0.45">
      <c r="B27" t="s">
        <v>159</v>
      </c>
      <c r="C27">
        <v>592.5</v>
      </c>
      <c r="D27">
        <v>239.5</v>
      </c>
    </row>
    <row r="28" spans="2:4" x14ac:dyDescent="0.45">
      <c r="B28" t="s">
        <v>160</v>
      </c>
      <c r="C28">
        <v>594.5</v>
      </c>
      <c r="D28">
        <v>101.5</v>
      </c>
    </row>
    <row r="29" spans="2:4" x14ac:dyDescent="0.45">
      <c r="B29" t="s">
        <v>161</v>
      </c>
      <c r="C29">
        <f t="shared" ref="C29" si="0">GETPIVOTDATA("Epic Not Decomposed Estimate",$B$3)</f>
        <v>840</v>
      </c>
      <c r="D29">
        <f>GETPIVOTDATA("Story Points",$G$1)</f>
        <v>15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pivotSelection pane="bottomRight" click="1" r:id="rId4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141</v>
      </c>
      <c r="B1" t="s">
        <v>144</v>
      </c>
      <c r="D1" s="16" t="s">
        <v>141</v>
      </c>
      <c r="E1" t="s">
        <v>144</v>
      </c>
      <c r="G1" s="16" t="s">
        <v>141</v>
      </c>
      <c r="H1" t="s">
        <v>144</v>
      </c>
      <c r="J1" s="16" t="s">
        <v>141</v>
      </c>
      <c r="K1" t="s">
        <v>144</v>
      </c>
    </row>
    <row r="2" spans="1:11" x14ac:dyDescent="0.45">
      <c r="A2" s="16" t="s">
        <v>9</v>
      </c>
      <c r="B2" t="s">
        <v>198</v>
      </c>
      <c r="D2" s="16" t="s">
        <v>9</v>
      </c>
      <c r="E2" t="s">
        <v>198</v>
      </c>
      <c r="G2" s="16" t="s">
        <v>9</v>
      </c>
      <c r="H2" t="s">
        <v>198</v>
      </c>
      <c r="J2" s="16" t="s">
        <v>9</v>
      </c>
      <c r="K2" t="s">
        <v>198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162</v>
      </c>
      <c r="B5" t="s">
        <v>189</v>
      </c>
      <c r="D5" s="16" t="s">
        <v>162</v>
      </c>
      <c r="E5" t="s">
        <v>189</v>
      </c>
      <c r="G5" s="16" t="s">
        <v>162</v>
      </c>
      <c r="H5" t="s">
        <v>189</v>
      </c>
      <c r="J5" s="16" t="s">
        <v>162</v>
      </c>
      <c r="K5" t="s">
        <v>189</v>
      </c>
    </row>
    <row r="6" spans="1:11" x14ac:dyDescent="0.45">
      <c r="A6" s="17" t="s">
        <v>196</v>
      </c>
      <c r="B6" s="20">
        <v>10</v>
      </c>
      <c r="D6" s="17" t="s">
        <v>196</v>
      </c>
      <c r="E6" s="20">
        <v>20</v>
      </c>
      <c r="G6" s="17" t="s">
        <v>196</v>
      </c>
      <c r="H6" s="20">
        <v>30</v>
      </c>
      <c r="J6" s="17" t="s">
        <v>196</v>
      </c>
      <c r="K6" s="20">
        <v>40</v>
      </c>
    </row>
    <row r="7" spans="1:11" x14ac:dyDescent="0.45">
      <c r="A7" s="17" t="s">
        <v>194</v>
      </c>
      <c r="B7" s="20">
        <v>10</v>
      </c>
      <c r="D7" s="17" t="s">
        <v>194</v>
      </c>
      <c r="E7" s="20">
        <v>20</v>
      </c>
      <c r="G7" s="17" t="s">
        <v>194</v>
      </c>
      <c r="H7" s="20">
        <v>30</v>
      </c>
      <c r="J7" s="17" t="s">
        <v>194</v>
      </c>
      <c r="K7" s="20">
        <v>40</v>
      </c>
    </row>
    <row r="8" spans="1:11" x14ac:dyDescent="0.45">
      <c r="A8" s="17" t="s">
        <v>193</v>
      </c>
      <c r="B8" s="20">
        <v>10</v>
      </c>
      <c r="D8" s="17" t="s">
        <v>193</v>
      </c>
      <c r="E8" s="20">
        <v>20</v>
      </c>
      <c r="G8" s="17" t="s">
        <v>193</v>
      </c>
      <c r="H8" s="20">
        <v>30</v>
      </c>
      <c r="J8" s="17" t="s">
        <v>193</v>
      </c>
      <c r="K8" s="20">
        <v>40</v>
      </c>
    </row>
    <row r="9" spans="1:11" x14ac:dyDescent="0.45">
      <c r="A9" s="17" t="s">
        <v>221</v>
      </c>
      <c r="B9" s="20">
        <v>10</v>
      </c>
      <c r="D9" s="17" t="s">
        <v>221</v>
      </c>
      <c r="E9" s="20">
        <v>20</v>
      </c>
      <c r="G9" s="17" t="s">
        <v>221</v>
      </c>
      <c r="H9" s="20">
        <v>35</v>
      </c>
      <c r="J9" s="17" t="s">
        <v>221</v>
      </c>
      <c r="K9" s="20">
        <v>40</v>
      </c>
    </row>
    <row r="10" spans="1:11" x14ac:dyDescent="0.45">
      <c r="A10" s="17" t="s">
        <v>192</v>
      </c>
      <c r="B10" s="20">
        <v>10</v>
      </c>
      <c r="D10" s="17" t="s">
        <v>192</v>
      </c>
      <c r="E10" s="20">
        <v>20</v>
      </c>
      <c r="G10" s="17" t="s">
        <v>192</v>
      </c>
      <c r="H10" s="20">
        <v>30</v>
      </c>
      <c r="J10" s="17" t="s">
        <v>192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155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155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2018-09-26T12:11:33Z</dcterms:modified>
</cp:coreProperties>
</file>