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E2D9694C-12A3-47DF-8EC7-700B9E08E88F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6" i="26" l="1"/>
  <c r="AC7" i="26"/>
  <c r="U7" i="26"/>
  <c r="M7" i="26"/>
  <c r="E7" i="26"/>
  <c r="AB7" i="26"/>
  <c r="O7" i="26"/>
  <c r="Q7" i="26"/>
  <c r="I7" i="26"/>
  <c r="D7" i="26"/>
  <c r="AD7" i="26"/>
  <c r="W7" i="26"/>
  <c r="F7" i="26"/>
  <c r="AG7" i="26"/>
  <c r="C19" i="24"/>
  <c r="V7" i="26"/>
  <c r="AE7" i="26"/>
  <c r="N7" i="26"/>
  <c r="G7" i="26"/>
  <c r="L7" i="26"/>
  <c r="T7" i="26"/>
  <c r="Y7" i="26"/>
  <c r="D19" i="24"/>
  <c r="P7" i="26" l="1"/>
  <c r="S7" i="26" s="1"/>
  <c r="X7" i="26"/>
  <c r="AA7" i="26" s="1"/>
  <c r="AF7" i="26"/>
  <c r="AI7" i="26" s="1"/>
  <c r="Z7" i="26"/>
  <c r="AH7" i="26"/>
  <c r="H7" i="26"/>
  <c r="K7" i="26" s="1"/>
  <c r="R7" i="26"/>
  <c r="J7" i="26"/>
  <c r="J6" i="9"/>
  <c r="J9" i="9"/>
  <c r="J8" i="9"/>
  <c r="J7" i="9"/>
  <c r="J5" i="9"/>
  <c r="J4" i="9"/>
  <c r="R7" i="9"/>
  <c r="O7" i="9"/>
  <c r="X7" i="9"/>
  <c r="N7" i="9"/>
  <c r="V7" i="9"/>
  <c r="P7" i="9"/>
  <c r="M7" i="9"/>
  <c r="T7" i="9"/>
  <c r="U6" i="26" l="1"/>
  <c r="M6" i="26"/>
  <c r="E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3" i="26"/>
  <c r="F66" i="9"/>
  <c r="B66" i="9"/>
  <c r="AF3" i="26" l="1"/>
  <c r="AI3" i="26" s="1"/>
  <c r="AH3" i="26"/>
  <c r="K42" i="9"/>
  <c r="W3" i="9"/>
  <c r="B18" i="9"/>
  <c r="B19" i="9" l="1"/>
  <c r="U9" i="26"/>
  <c r="U8" i="26"/>
  <c r="U3" i="26"/>
  <c r="B14" i="9"/>
  <c r="B10" i="9"/>
  <c r="E9" i="26" l="1"/>
  <c r="E8" i="26"/>
  <c r="E3" i="26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I6" i="9" l="1"/>
  <c r="I7" i="9" l="1"/>
  <c r="H7" i="9"/>
  <c r="I8" i="9" l="1"/>
  <c r="H8" i="9"/>
  <c r="H9" i="9" l="1"/>
  <c r="I9" i="9"/>
  <c r="L7" i="9" l="1"/>
  <c r="U7" i="9" s="1"/>
  <c r="K5" i="9"/>
  <c r="W5" i="9" s="1"/>
  <c r="K9" i="9"/>
  <c r="W9" i="9" s="1"/>
  <c r="L6" i="9"/>
  <c r="U6" i="9" s="1"/>
  <c r="K6" i="9"/>
  <c r="W6" i="9" s="1"/>
  <c r="K4" i="9"/>
  <c r="W4" i="9" s="1"/>
  <c r="L5" i="9"/>
  <c r="U5" i="9" s="1"/>
  <c r="K7" i="9"/>
  <c r="W7" i="9" s="1"/>
  <c r="L4" i="9"/>
  <c r="U4" i="9" s="1"/>
  <c r="L8" i="9"/>
  <c r="U8" i="9" s="1"/>
  <c r="K8" i="9"/>
  <c r="W8" i="9" s="1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<sst xmlns="http://schemas.openxmlformats.org/spreadsheetml/2006/main" count="1118" uniqueCount="293">
  <si>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</si>
  <si>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</si>
  <si>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</si>
  <si>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</si>
  <si>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</si>
  <si>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</si>
  <si>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</si>
  <si>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</si>
  <si>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</si>
  <si>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</si>
  <si>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</si>
  <si>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</si>
  <si>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</si>
  <si>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</si>
  <si>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</si>
  <si>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</si>
  <si>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</si>
  <si>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</si>
  <si>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</si>
  <si>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</si>
  <si>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</si>
  <si>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</si>
  <si>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</si>
  <si>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</si>
  <si>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</si>
  <si>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</si>
  <si>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</si>
  <si>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</si>
  <si>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</si>
  <si>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</si>
  <si>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</si>
  <si>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</si>
  <si>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</si>
  <si>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</si>
  <si>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</si>
  <si>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</si>
  <si>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</si>
  <si>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</si>
  <si>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</si>
  <si>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</si>
  <si>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</si>
  <si>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</si>
  <si>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</si>
  <si>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</si>
  <si>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</si>
  <si>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</si>
  <si>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</si>
  <si>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</si>
  <si>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</si>
  <si>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</si>
  <si>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</si>
  <si>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</si>
  <si>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</si>
  <si>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</si>
  <si>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</si>
  <si>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</si>
  <si>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</si>
  <si>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</si>
  <si>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</si>
  <si>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</si>
  <si>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</si>
  <si>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</si>
  <si>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</si>
  <si>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</si>
  <si>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</si>
  <si>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</si>
  <si>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</si>
  <si>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</si>
  <si>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</si>
  <si>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</si>
  <si>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</si>
  <si>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</si>
  <si>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</si>
  <si>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</si>
  <si>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</si>
  <si>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</si>
  <si>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</si>
  <si>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</si>
  <si>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</si>
  <si>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</si>
  <si>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</si>
  <si>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</si>
  <si>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</si>
  <si>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</si>
  <si>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</si>
  <si>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</si>
  <si>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</si>
  <si>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</si>
  <si>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</si>
  <si>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</si>
  <si>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</si>
  <si>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</si>
  <si>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</si>
  <si>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</si>
  <si>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</si>
  <si>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</si>
  <si>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</si>
  <si>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</si>
  <si>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</si>
  <si>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</si>
  <si>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</si>
  <si>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</si>
  <si>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</si>
  <si>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</si>
  <si>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</si>
  <si>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</si>
  <si>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</si>
  <si>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</si>
  <si>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</si>
  <si>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</si>
  <si>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</si>
  <si>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</si>
  <si>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</si>
  <si>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</si>
  <si>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</si>
  <si>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</si>
  <si>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</si>
  <si>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</si>
  <si>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</si>
  <si>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</si>
  <si>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</si>
  <si>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</si>
  <si>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</si>
  <si>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</si>
  <si>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</si>
  <si>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</si>
  <si>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</si>
  <si>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</si>
  <si>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</si>
  <si>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</si>
  <si>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</si>
  <si>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</si>
  <si>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</si>
  <si>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</si>
  <si>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</si>
  <si>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</si>
  <si>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</si>
  <si>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</si>
  <si>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</si>
  <si>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</si>
  <si>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</si>
  <si>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</si>
  <si>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</si>
  <si>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</si>
  <si>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</si>
  <si>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</si>
  <si>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</si>
  <si>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</si>
  <si>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</si>
  <si>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</si>
  <si>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</si>
  <si>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</si>
  <si>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</si>
  <si>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</si>
  <si>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</si>
  <si>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</si>
  <si>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</si>
  <si>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</si>
  <si>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</si>
  <si>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</si>
  <si>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</si>
  <si>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</si>
  <si>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</si>
  <si>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</si>
  <si>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</si>
  <si>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</si>
  <si>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</si>
  <si>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</si>
  <si>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</si>
  <si>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</si>
  <si>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</si>
  <si>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</si>
  <si>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</si>
  <si>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</si>
  <si>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</si>
  <si>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</si>
  <si>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</si>
  <si>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</si>
  <si>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</si>
  <si>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</si>
  <si>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</si>
  <si>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</si>
  <si>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</si>
  <si>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</si>
  <si>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</si>
  <si>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</si>
  <si>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</si>
  <si>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</si>
  <si>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</si>
  <si>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</si>
  <si>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</si>
  <si>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</si>
  <si>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</si>
  <si>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</si>
  <si>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</si>
  <si>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</si>
  <si>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</si>
  <si>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</si>
  <si>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</si>
  <si>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</si>
  <si>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</si>
  <si>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</si>
  <si>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</si>
  <si>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</si>
  <si>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</si>
  <si>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</si>
  <si>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</si>
  <si>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</si>
  <si>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</si>
  <si>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</si>
  <si>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</si>
  <si>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</si>
  <si>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</si>
  <si>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</si>
  <si>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</si>
  <si>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</si>
  <si>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</si>
  <si>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</si>
  <si>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</si>
  <si>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</si>
  <si>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</si>
  <si>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</si>
  <si>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</si>
  <si>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</si>
  <si>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</si>
  <si>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</si>
  <si>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</si>
  <si>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</si>
  <si>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</si>
  <si>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</si>
  <si>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</si>
  <si>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</si>
  <si>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</si>
  <si>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</si>
  <si>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</si>
  <si>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</si>
  <si>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</si>
  <si>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</si>
  <si>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</si>
  <si>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</si>
  <si>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</si>
  <si>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</si>
  <si>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</si>
  <si>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</si>
  <si>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</si>
  <si>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</si>
  <si>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</si>
  <si>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</si>
  <si>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</si>
  <si>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</si>
  <si>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</si>
  <si>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</si>
  <si>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</si>
  <si>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</si>
  <si>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</si>
  <si>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</si>
  <si>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</si>
  <si>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</si>
  <si>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</si>
  <si>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</si>
  <si>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</si>
  <si>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</si>
  <si>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</si>
  <si>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</si>
  <si>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</si>
  <si>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</si>
  <si>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</si>
  <si>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</si>
  <si>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</si>
  <si>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</si>
  <si>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</si>
  <si>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</si>
  <si>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</si>
  <si>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</si>
  <si>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</si>
  <si>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</si>
  <si>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</si>
  <si>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</si>
  <si>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</si>
  <si>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</si>
  <si>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</si>
  <si>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</si>
  <si>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</si>
  <si>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</si>
  <si>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</si>
  <si>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</si>
  <si>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</si>
  <si>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</si>
  <si>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</si>
  <si>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</si>
  <si>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</si>
  <si>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</si>
  <si>
    <t>Custom P0/P1 Bugs: ${bpHelper.getCustomP0P1BugCount()}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</si>
</sst>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0.98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0.54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44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0.59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60.84905660377359</c:v>
                </c:pt>
                <c:pt idx="2">
                  <c:v>46.698113207547166</c:v>
                </c:pt>
                <c:pt idx="3">
                  <c:v>32.547169811320757</c:v>
                </c:pt>
                <c:pt idx="4">
                  <c:v>18.396226415094336</c:v>
                </c:pt>
                <c:pt idx="5">
                  <c:v>14.150943396226412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33.5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81.8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81.8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76.8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48.3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59</c:v>
                </c:pt>
                <c:pt idx="2">
                  <c:v>23</c:v>
                </c:pt>
                <c:pt idx="3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94.5</c:v>
                </c:pt>
                <c:pt idx="2">
                  <c:v>90.5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0.49530000000000002</c:v>
                </c:pt>
                <c:pt idx="4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231.22641509433964</c:v>
                </c:pt>
                <c:pt idx="2">
                  <c:v>177.45283018867923</c:v>
                </c:pt>
                <c:pt idx="3">
                  <c:v>123.67924528301887</c:v>
                </c:pt>
                <c:pt idx="4">
                  <c:v>69.905660377358473</c:v>
                </c:pt>
                <c:pt idx="5">
                  <c:v>53.773584905660364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173.5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343.8</c:v>
                </c:pt>
                <c:pt idx="4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343.8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320.8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170.3</c:v>
                </c:pt>
                <c:pt idx="4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0.57407407407407407</c:v>
                </c:pt>
                <c:pt idx="1">
                  <c:v>0.42592592592592593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39.37713252315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6" firstHeaderRow="1" firstDataRow="1" firstDataCol="1" rowPageCount="3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3">
    <pageField fld="32" hier="-1"/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7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L9">
        <v>59.5</v>
      </c>
      <c r="M9">
        <f t="shared" si="0"/>
        <v>59.5</v>
      </c>
    </row>
    <row r="10" spans="2:13" x14ac:dyDescent="0.45">
      <c r="B10" s="17" t="s">
        <v>245</v>
      </c>
      <c r="C10" s="20">
        <v>60</v>
      </c>
      <c r="K10" t="s">
        <v>244</v>
      </c>
      <c r="M10">
        <f t="shared" si="0"/>
        <v>0</v>
      </c>
    </row>
    <row r="11" spans="2:13" x14ac:dyDescent="0.45">
      <c r="B11" s="17" t="s">
        <v>246</v>
      </c>
      <c r="C11" s="20">
        <v>60</v>
      </c>
      <c r="K11" t="s">
        <v>245</v>
      </c>
      <c r="M11">
        <f t="shared" si="0"/>
        <v>0</v>
      </c>
    </row>
    <row r="12" spans="2:13" x14ac:dyDescent="0.45">
      <c r="B12" s="17" t="s">
        <v>50</v>
      </c>
      <c r="C12" s="20">
        <v>340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180.75</v>
      </c>
      <c r="M13">
        <f>SUBTOTAL(109,Table1[Total])</f>
        <v>180.75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Rocket4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259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160</v>
      </c>
      <c r="E16" t="str">
        <f>"Sprint " &amp; SUBSTITUTE($B$1,"Quasar", "") &amp; " Progress"</f>
        <v>Sprint Rocket4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>
      <selection activeCell="I6" sqref="I6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161</v>
      </c>
    </row>
    <row r="2" spans="1:7" x14ac:dyDescent="0.45">
      <c r="A2" t="s">
        <v>168</v>
      </c>
      <c r="G2" t="s">
        <v>292</v>
      </c>
    </row>
    <row r="4" spans="1:7" x14ac:dyDescent="0.45">
      <c r="B4" s="16" t="s">
        <v>141</v>
      </c>
      <c r="C4" t="s">
        <v>227</v>
      </c>
    </row>
    <row r="5" spans="1:7" x14ac:dyDescent="0.45">
      <c r="B5" s="16" t="s">
        <v>9</v>
      </c>
      <c r="C5" t="s">
        <v>72</v>
      </c>
    </row>
    <row r="6" spans="1:7" x14ac:dyDescent="0.45">
      <c r="B6" s="16" t="s">
        <v>119</v>
      </c>
      <c r="C6" t="s">
        <v>186</v>
      </c>
    </row>
    <row r="7" spans="1:7" x14ac:dyDescent="0.45">
      <c r="B7" s="16" t="s">
        <v>0</v>
      </c>
      <c r="C7" t="s">
        <v>159</v>
      </c>
    </row>
    <row r="9" spans="1:7" x14ac:dyDescent="0.45">
      <c r="B9" s="16" t="s">
        <v>146</v>
      </c>
      <c r="C9" t="s">
        <v>167</v>
      </c>
    </row>
    <row r="10" spans="1:7" x14ac:dyDescent="0.45">
      <c r="B10" s="17" t="s">
        <v>162</v>
      </c>
      <c r="C10" s="20">
        <v>1</v>
      </c>
    </row>
    <row r="11" spans="1:7" x14ac:dyDescent="0.45">
      <c r="B11" s="17" t="s">
        <v>163</v>
      </c>
      <c r="C11" s="20">
        <v>1</v>
      </c>
    </row>
    <row r="12" spans="1:7" x14ac:dyDescent="0.45">
      <c r="B12" s="17" t="s">
        <v>164</v>
      </c>
      <c r="C12" s="20">
        <v>1</v>
      </c>
    </row>
    <row r="13" spans="1:7" x14ac:dyDescent="0.45">
      <c r="B13" s="17" t="s">
        <v>165</v>
      </c>
      <c r="C13" s="20">
        <v>1</v>
      </c>
    </row>
    <row r="14" spans="1:7" x14ac:dyDescent="0.45">
      <c r="B14" s="17" t="s">
        <v>166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Rocket4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Rocket4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Rocket4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Rocket4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Rocket4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Rocket4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Rocket4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Normal="100" workbookViewId="0"/>
  </sheetViews>
  <sheetFormatPr defaultRowHeight="14.25" x14ac:dyDescent="0.45"/>
  <cols>
    <col min="1" max="1" width="12.0664062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18.06640625" bestFit="1" customWidth="1"/>
    <col min="6" max="6" width="16.86328125" bestFit="1" customWidth="1"/>
    <col min="7" max="7" width="22.46484375" bestFit="1" customWidth="1"/>
    <col min="8" max="8" width="12.73046875" bestFit="1" customWidth="1"/>
    <col min="9" max="9" width="12" customWidth="1"/>
    <col min="10" max="10" width="14.3320312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59765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0.57407407407407407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0.42592592592592593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NETWORKDAYS(H4,I4,$Z$3:$Z$9)</f>
        <v>10</v>
      </c>
      <c r="K4" s="36">
        <f>SUM($J$4:J4)/SUM($J$4:$J$9)</f>
        <v>0.18867924528301888</v>
      </c>
      <c r="L4" s="36">
        <f>SUM($J$4:J4)/SUM($J$4:$J$9)</f>
        <v>0.18867924528301888</v>
      </c>
      <c r="M4" s="65">
        <v>0.151</v>
      </c>
      <c r="N4" s="33">
        <v>0.16</v>
      </c>
      <c r="O4" s="33">
        <v>0.23</v>
      </c>
      <c r="P4" s="33">
        <v>0.24</v>
      </c>
      <c r="Q4" s="40">
        <f>Q25*(100%-K4)</f>
        <v>231.22641509433964</v>
      </c>
      <c r="R4" s="40">
        <v>306.8</v>
      </c>
      <c r="S4" s="42">
        <f>Q26*(100%-K4)</f>
        <v>40.566037735849058</v>
      </c>
      <c r="T4" s="40">
        <v>37</v>
      </c>
      <c r="U4" s="40">
        <f>Q27*(100%-L4)</f>
        <v>40.566037735849058</v>
      </c>
      <c r="V4" s="40">
        <v>37</v>
      </c>
      <c r="W4" s="40">
        <f>Q28*(100%-K4)</f>
        <v>60.84905660377359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0.37735849056603776</v>
      </c>
      <c r="L5" s="36">
        <f>SUM($J$4:J5)/SUM($J$4:$J$9)</f>
        <v>0.37735849056603776</v>
      </c>
      <c r="M5" s="65">
        <v>0.35510000000000003</v>
      </c>
      <c r="N5" s="33">
        <v>0.65</v>
      </c>
      <c r="O5" s="33">
        <v>0.42</v>
      </c>
      <c r="P5" s="33">
        <v>0.41</v>
      </c>
      <c r="Q5" s="40">
        <f>Q25*(100%-K5)</f>
        <v>177.45283018867923</v>
      </c>
      <c r="R5" s="40">
        <v>207.5</v>
      </c>
      <c r="S5" s="42">
        <f>Q26*(100%-K5)</f>
        <v>31.132075471698112</v>
      </c>
      <c r="T5" s="40">
        <v>17</v>
      </c>
      <c r="U5" s="40">
        <f>Q27*(100%-L5)</f>
        <v>31.132075471698112</v>
      </c>
      <c r="V5" s="40">
        <v>28</v>
      </c>
      <c r="W5" s="40">
        <f>Q28*(100%-K5)</f>
        <v>46.698113207547166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43439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0.56603773584905659</v>
      </c>
      <c r="L6" s="36">
        <f>SUM($J$4:J6)/SUM($J$4:$J$9)</f>
        <v>0.56603773584905659</v>
      </c>
      <c r="M6" s="65">
        <v>0.49530000000000002</v>
      </c>
      <c r="N6" s="33">
        <v>0.98</v>
      </c>
      <c r="O6" s="33">
        <v>0.54</v>
      </c>
      <c r="P6" s="33">
        <v>0.59</v>
      </c>
      <c r="Q6" s="40">
        <f>Q25*(100%-K6)</f>
        <v>123.67924528301887</v>
      </c>
      <c r="R6" s="40">
        <v>173.5</v>
      </c>
      <c r="S6" s="42">
        <f>Q26*(100%-K6)</f>
        <v>21.69811320754717</v>
      </c>
      <c r="T6" s="40">
        <v>1</v>
      </c>
      <c r="U6" s="40">
        <f>Q27*(100%-L6)</f>
        <v>21.69811320754717</v>
      </c>
      <c r="V6" s="40">
        <v>24</v>
      </c>
      <c r="W6" s="40">
        <f>Q28*(100%-K6)</f>
        <v>32.547169811320757</v>
      </c>
      <c r="X6" s="40">
        <v>33.5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0.75471698113207553</v>
      </c>
      <c r="L7" s="36">
        <f>SUM($J$4:J7)/SUM($J$4:$J$9)</f>
        <v>0.75471698113207553</v>
      </c>
      <c r="M7" s="65">
        <f>100%-GETPIVOTDATA("Epic Remaining Estimate",$AB$4)/GETPIVOTDATA("Epic Total Estimate",$AB$4)</f>
        <v>0.83334490660370808</v>
      </c>
      <c r="N7" s="33" t="e">
        <f>100%-GETPIVOTDATA("Epic Remaining Estimate",$AB$4,"ST:Components","Cross Project Move")/GETPIVOTDATA("Epic Total Estimate",$AB$4,"ST:Components","Cross Project Move")</f>
        <v>#REF!</v>
      </c>
      <c r="O7" s="33">
        <f>100%-GETPIVOTDATA("Epic Remaining Estimate",$AB$4,"ST:Components","Excel Import")/GETPIVOTDATA("Epic Total Estimate",$AB$4,"ST:Components","Excel Import")</f>
        <v>0.25</v>
      </c>
      <c r="P7" s="33">
        <f>100%-GETPIVOTDATA("Epic Remaining Estimate",$AB$4,"ST:Components","Diagram Editor")/GETPIVOTDATA("Epic Total Estimate",$AB$4,"ST:Components","Diagram Editor")</f>
        <v>0.25</v>
      </c>
      <c r="Q7" s="40">
        <f>Q25*(100%-K7)</f>
        <v>69.905660377358473</v>
      </c>
      <c r="R7" s="40">
        <f>GETPIVOTDATA("Epic Remaining Estimate",$AB$4)</f>
        <v>300</v>
      </c>
      <c r="S7" s="42">
        <f>Q26*(100%-K7)</f>
        <v>12.264150943396224</v>
      </c>
      <c r="T7" s="40" t="e">
        <f>GETPIVOTDATA("Epic Remaining Estimate",$AB$4,"ST:Components","Cross Project Move")</f>
        <v>#REF!</v>
      </c>
      <c r="U7" s="40">
        <f>Q27*(100%-L7)</f>
        <v>12.264150943396224</v>
      </c>
      <c r="V7" s="40">
        <f>GETPIVOTDATA("Epic Remaining Estimate",$AB$4,"ST:Components","Excel Import")</f>
        <v>150</v>
      </c>
      <c r="W7" s="40">
        <f>Q28*(100%-K7)</f>
        <v>18.396226415094336</v>
      </c>
      <c r="X7" s="40">
        <f>GETPIVOTDATA("Epic Remaining Estimate",$AB$4,"ST:Components","Diagram Editor")</f>
        <v>150</v>
      </c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3</v>
      </c>
      <c r="K8" s="36">
        <f>SUM($J$4:J8)/SUM($J$4:$J$9)</f>
        <v>0.81132075471698117</v>
      </c>
      <c r="L8" s="36">
        <f>SUM($J$4:J8)/SUM($J$4:$J$9)</f>
        <v>0.81132075471698117</v>
      </c>
      <c r="M8" s="38"/>
      <c r="N8" s="38"/>
      <c r="O8" s="38"/>
      <c r="P8" s="38"/>
      <c r="Q8" s="40">
        <f>Q25*(100%-K8)</f>
        <v>53.773584905660364</v>
      </c>
      <c r="R8" s="41"/>
      <c r="S8" s="42">
        <f>Q26*(100%-K8)</f>
        <v>9.4339622641509422</v>
      </c>
      <c r="T8" s="41"/>
      <c r="U8" s="40">
        <f>Q27*(100%-L8)</f>
        <v>9.4339622641509422</v>
      </c>
      <c r="V8" s="41"/>
      <c r="W8" s="40">
        <f>Q28*(100%-K8)</f>
        <v>14.150943396226412</v>
      </c>
      <c r="X8" s="41"/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 t="e">
        <f>MAX(100%,B10)-B10</f>
        <v>#REF!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0.57407407407407407</v>
      </c>
    </row>
    <row r="23" spans="1:24" x14ac:dyDescent="0.45">
      <c r="A23" t="s">
        <v>144</v>
      </c>
      <c r="B23" s="30">
        <f ca="1">MAX(100%,B22)-B22</f>
        <v>0.42592592592592593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>D3-I3</f>
        <v>0</v>
      </c>
      <c r="I3" s="40">
        <v>469</v>
      </c>
      <c r="J3" s="33">
        <f t="shared" ref="J3" si="0" xml:space="preserve"> G3/D3</f>
        <v>0.35181236673773986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>D4-I4</f>
        <v>54</v>
      </c>
      <c r="I4" s="40">
        <v>306.8</v>
      </c>
      <c r="J4" s="33">
        <f t="shared" ref="J4" si="4" xml:space="preserve"> G4/D4</f>
        <v>0.63830376940133038</v>
      </c>
      <c r="K4" s="33">
        <f xml:space="preserve"> H4/D4</f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>D5-I5</f>
        <v>114.30000000000001</v>
      </c>
      <c r="I5" s="40">
        <v>207.5</v>
      </c>
      <c r="J5" s="33">
        <f t="shared" ref="J5" si="8" xml:space="preserve"> G5/D5</f>
        <v>0.81665630826600377</v>
      </c>
      <c r="K5" s="33">
        <f xml:space="preserve"> H5/D5</f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>L5-Q5</f>
        <v>32</v>
      </c>
      <c r="Q5" s="40">
        <v>17</v>
      </c>
      <c r="R5" s="33">
        <f t="shared" ref="R5" si="9" xml:space="preserve"> O5/L5</f>
        <v>1</v>
      </c>
      <c r="S5" s="33">
        <f xml:space="preserve"> P5/L5</f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>T5-Y5</f>
        <v>20</v>
      </c>
      <c r="Y5" s="40">
        <v>28</v>
      </c>
      <c r="Z5" s="33">
        <f t="shared" ref="Z5" si="10" xml:space="preserve"> W5/T5</f>
        <v>0.85416666666666663</v>
      </c>
      <c r="AA5" s="33">
        <f>X5/T5</f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>AB5-AG5</f>
        <v>34.299999999999997</v>
      </c>
      <c r="AG5" s="40">
        <v>48.5</v>
      </c>
      <c r="AH5" s="33">
        <f t="shared" ref="AH5" si="11" xml:space="preserve"> AE5/AB5</f>
        <v>0.96376811594202894</v>
      </c>
      <c r="AI5" s="33">
        <f>AF5/AB5</f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v>343.8</v>
      </c>
      <c r="E6" s="58">
        <f>_ReleaseData!Q25</f>
        <v>285</v>
      </c>
      <c r="F6" s="40">
        <v>343.8</v>
      </c>
      <c r="G6" s="40">
        <v>320.8</v>
      </c>
      <c r="H6" s="40">
        <f>D6-I6</f>
        <v>170.3</v>
      </c>
      <c r="I6" s="40">
        <v>173.5</v>
      </c>
      <c r="J6" s="33">
        <f t="shared" ref="J6" si="12" xml:space="preserve"> G6/D6</f>
        <v>0.9331006399069226</v>
      </c>
      <c r="K6" s="33">
        <f xml:space="preserve"> H6/D6</f>
        <v>0.49534613147178597</v>
      </c>
      <c r="L6" s="59">
        <v>49</v>
      </c>
      <c r="M6" s="58">
        <f>_ReleaseData!Q26</f>
        <v>50</v>
      </c>
      <c r="N6" s="40">
        <v>49</v>
      </c>
      <c r="O6" s="40">
        <v>49</v>
      </c>
      <c r="P6" s="40">
        <f>L6-Q6</f>
        <v>48</v>
      </c>
      <c r="Q6" s="40">
        <v>1</v>
      </c>
      <c r="R6" s="33">
        <f t="shared" ref="R6" si="13" xml:space="preserve"> O6/L6</f>
        <v>1</v>
      </c>
      <c r="S6" s="33">
        <f xml:space="preserve"> P6/L6</f>
        <v>0.97959183673469385</v>
      </c>
      <c r="T6" s="57">
        <v>52</v>
      </c>
      <c r="U6" s="58">
        <f>_ReleaseData!Q27</f>
        <v>50</v>
      </c>
      <c r="V6" s="40">
        <v>52</v>
      </c>
      <c r="W6" s="40">
        <v>44</v>
      </c>
      <c r="X6" s="40">
        <f>T6-Y6</f>
        <v>28</v>
      </c>
      <c r="Y6" s="40">
        <v>24</v>
      </c>
      <c r="Z6" s="33">
        <f t="shared" ref="Z6" si="14" xml:space="preserve"> W6/T6</f>
        <v>0.84615384615384615</v>
      </c>
      <c r="AA6" s="33">
        <f>X6/T6</f>
        <v>0.53846153846153844</v>
      </c>
      <c r="AB6" s="57">
        <v>81.8</v>
      </c>
      <c r="AC6" s="58">
        <f>_ReleaseData!Q28</f>
        <v>75</v>
      </c>
      <c r="AD6" s="40">
        <v>81.8</v>
      </c>
      <c r="AE6" s="40">
        <v>76.8</v>
      </c>
      <c r="AF6" s="40">
        <f>AB6-AG6</f>
        <v>48.3</v>
      </c>
      <c r="AG6" s="40">
        <v>33.5</v>
      </c>
      <c r="AH6" s="33">
        <f t="shared" ref="AH6" si="15" xml:space="preserve"> AE6/AB6</f>
        <v>0.93887530562347188</v>
      </c>
      <c r="AI6" s="33">
        <f>AF6/AB6</f>
        <v>0.59046454767726164</v>
      </c>
    </row>
    <row r="7" spans="1:42" x14ac:dyDescent="0.45">
      <c r="A7" t="s">
        <v>244</v>
      </c>
      <c r="B7" s="60">
        <v>43439</v>
      </c>
      <c r="C7" s="60">
        <v>43452</v>
      </c>
      <c r="D7" s="57">
        <f>GETPIVOTDATA("Epic Total Estimate", $AL$8, "Type", "Epic")</f>
        <v>1800.125</v>
      </c>
      <c r="E7" s="58">
        <f>_ReleaseData!Q25</f>
        <v>285</v>
      </c>
      <c r="F7" s="40">
        <f>GETPIVOTDATA("Stories Estimate", $AL$8, "Type", "Epic")</f>
        <v>0</v>
      </c>
      <c r="G7" s="40">
        <f>GETPIVOTDATA("Epic Decomposed", $AL$8, "Type", "Epic")</f>
        <v>180</v>
      </c>
      <c r="H7" s="40">
        <f>D7-I7</f>
        <v>1500.125</v>
      </c>
      <c r="I7" s="40">
        <f>GETPIVOTDATA("Epic Remaining Estimate", $AL$8, "Type", "Epic")</f>
        <v>300</v>
      </c>
      <c r="J7" s="33">
        <f t="shared" ref="J7" si="16" xml:space="preserve"> G7/D7</f>
        <v>9.9993056037775155E-2</v>
      </c>
      <c r="K7" s="33">
        <f xml:space="preserve"> H7/D7</f>
        <v>0.83334490660370808</v>
      </c>
      <c r="L7" s="59" t="e">
        <f>GETPIVOTDATA("Epic Total Estimate", $AL$8, "Type", "Epic", "ST:Components", "Cross Project Move")</f>
        <v>#REF!</v>
      </c>
      <c r="M7" s="58">
        <f>_ReleaseData!Q26</f>
        <v>50</v>
      </c>
      <c r="N7" s="40" t="e">
        <f>GETPIVOTDATA("Stories Estimate", $AL$8, "Type", "Epic", "ST:Components", "Cross Project Move")</f>
        <v>#REF!</v>
      </c>
      <c r="O7" s="40" t="e">
        <f>GETPIVOTDATA("Epic Decomposed", $AL$8, "Type", "Epic", "ST:Components", "Cross Project Move")</f>
        <v>#REF!</v>
      </c>
      <c r="P7" s="40" t="e">
        <f>L7-Q7</f>
        <v>#REF!</v>
      </c>
      <c r="Q7" s="40" t="e">
        <f>GETPIVOTDATA("Epic Remaining Estimate", $AL$8, "Type", "Epic", "ST:Components", "Cross Project Move")</f>
        <v>#REF!</v>
      </c>
      <c r="R7" s="33" t="e">
        <f t="shared" ref="R7" si="17" xml:space="preserve"> O7/L7</f>
        <v>#REF!</v>
      </c>
      <c r="S7" s="33" t="e">
        <f xml:space="preserve"> P7/L7</f>
        <v>#REF!</v>
      </c>
      <c r="T7" s="57">
        <f>GETPIVOTDATA("Epic Total Estimate", $AL$8, "Type", "Epic", "ST:Components", "Excel Import")</f>
        <v>200</v>
      </c>
      <c r="U7" s="58">
        <f>_ReleaseData!Q27</f>
        <v>50</v>
      </c>
      <c r="V7" s="40">
        <f>GETPIVOTDATA("Stories Estimate", $AL$8, "Type", "Epic", "ST:Components", "Excel Import")</f>
        <v>0</v>
      </c>
      <c r="W7" s="40">
        <f>GETPIVOTDATA("Epic Decomposed", $AL$8, "Type", "Epic", "ST:Components", "Excel Import")</f>
        <v>180</v>
      </c>
      <c r="X7" s="40">
        <f>T7-Y7</f>
        <v>50</v>
      </c>
      <c r="Y7" s="40">
        <f>GETPIVOTDATA("Epic Remaining Estimate", $AL$8, "Type", "Epic", "ST:Components", "Excel Import")</f>
        <v>150</v>
      </c>
      <c r="Z7" s="33">
        <f t="shared" ref="Z7" si="18" xml:space="preserve"> W7/T7</f>
        <v>0.9</v>
      </c>
      <c r="AA7" s="33">
        <f>X7/T7</f>
        <v>0.25</v>
      </c>
      <c r="AB7" s="57">
        <f>GETPIVOTDATA("Epic Total Estimate", $AL$8, "Type", "Epic", "ST:Components", "Diagram Editor")</f>
        <v>200</v>
      </c>
      <c r="AC7" s="58">
        <f>_ReleaseData!Q28</f>
        <v>75</v>
      </c>
      <c r="AD7" s="40">
        <f>GETPIVOTDATA("Stories Estimate", $AL$8, "Type", "Epic", "ST:Components", "Diagram Editor")</f>
        <v>0</v>
      </c>
      <c r="AE7" s="40">
        <f>GETPIVOTDATA("Epic Decomposed", $AL$8, "Type", "Epic", "ST:Components", "Diagram Editor")</f>
        <v>0</v>
      </c>
      <c r="AF7" s="40">
        <f>AB7-AG7</f>
        <v>50</v>
      </c>
      <c r="AG7" s="40">
        <f>GETPIVOTDATA("Epic Remaining Estimate", $AL$8, "Type", "Epic", "ST:Components", "Diagram Editor")</f>
        <v>150</v>
      </c>
      <c r="AH7" s="33">
        <f t="shared" ref="AH7" si="19" xml:space="preserve"> AE7/AB7</f>
        <v>0</v>
      </c>
      <c r="AI7" s="33">
        <f>AF7/AB7</f>
        <v>0.25</v>
      </c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50</v>
      </c>
      <c r="H6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v>23</v>
      </c>
      <c r="D18">
        <v>90.5</v>
      </c>
    </row>
    <row r="19" spans="2:4" x14ac:dyDescent="0.45">
      <c r="B19" t="s">
        <v>252</v>
      </c>
      <c r="C19">
        <f>GETPIVOTDATA("Epic Not Decomposed Estimate",$B$3)</f>
        <v>1620.125</v>
      </c>
      <c r="D19">
        <f>GETPIVOTDATA("Story Points",$G$1)</f>
        <v>0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2018-12-05T14:10:07Z</dcterms:modified>
</cp:coreProperties>
</file>