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AF141E4A-42A5-422F-90D3-EC95FFFD2900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61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9" i="26" l="1"/>
  <c r="E8" i="26"/>
  <c r="AC9" i="26"/>
  <c r="U9" i="26"/>
  <c r="M9" i="26"/>
  <c r="E9" i="26"/>
  <c r="D21" i="24"/>
  <c r="C21" i="24"/>
  <c r="AT9" i="26"/>
  <c r="AW9" i="26"/>
  <c r="AU9" i="26"/>
  <c r="AR9" i="26"/>
  <c r="V9" i="26"/>
  <c r="AG9" i="26"/>
  <c r="I9" i="26"/>
  <c r="Y9" i="26"/>
  <c r="L9" i="26"/>
  <c r="T9" i="26"/>
  <c r="AE9" i="26"/>
  <c r="G9" i="26"/>
  <c r="F9" i="26"/>
  <c r="Q9" i="26"/>
  <c r="AB9" i="26"/>
  <c r="D9" i="26"/>
  <c r="O9" i="26"/>
  <c r="N9" i="26"/>
  <c r="AD9" i="26"/>
  <c r="W9" i="26"/>
  <c r="AV9" i="26" l="1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AI9" i="9"/>
  <c r="AG9" i="9"/>
  <c r="X9" i="9"/>
  <c r="V9" i="9"/>
  <c r="T9" i="9"/>
  <c r="R9" i="9"/>
  <c r="P9" i="9"/>
  <c r="N9" i="9"/>
  <c r="M9" i="9"/>
  <c r="O9" i="9"/>
  <c r="AX8" i="26" l="1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AX7" i="26" l="1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AH9" i="9" l="1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AG21" i="9"/>
  <c r="B18" i="9"/>
  <c r="B14" i="9"/>
  <c r="H50" i="14" l="1"/>
  <c r="G50" i="14"/>
  <c r="F50" i="14"/>
  <c r="E50" i="14"/>
  <c r="D50" i="14"/>
  <c r="C50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<sst xmlns="http://schemas.openxmlformats.org/spreadsheetml/2006/main" count="1136" uniqueCount="281">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</sst>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_BugsData!$B$43:$B$50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068.791263541665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Pegasus2" u="1"/>
        <s v="Rocket1" u="1"/>
        <s v="Pegasus7" u="1"/>
        <s v="Ursa1" u="1"/>
        <s v="Rocket2" u="1"/>
        <s v="Wavelength6" u="1"/>
        <s v="Ursa7" u="1"/>
        <s v="Rocket3" u="1"/>
        <s v="Quasar14" u="1"/>
        <s v="Rocket4" u="1"/>
        <s v="Wavelength7" u="1"/>
        <s v="Pegasus1" u="1"/>
        <s v="Pegasus6" u="1"/>
        <s v="Rocket5" u="1"/>
        <s v="Ursa6" u="1"/>
        <s v="Rocket6" u="1"/>
        <s v="Wavelength8" u="1"/>
        <s v="Rocket7" u="1"/>
        <s v="Saturn1" u="1"/>
        <s v="Quasar13" u="1"/>
        <s v="Venus1" u="1"/>
        <s v="Quasar1" u="1"/>
        <s v="Pegasus5" u="1"/>
        <s v="Wavelength9" u="1"/>
        <s v="Ursa5" u="1"/>
        <s v="Saturn2" u="1"/>
        <s v="Venus2" u="1"/>
        <s v="Quasar2" u="1"/>
        <s v="Venus3" u="1"/>
        <s v="Saturn3" u="1"/>
        <s v="Wavelength1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Wavelength2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Wavelength3" u="1"/>
        <s v="Quasar7" u="1"/>
        <s v="Titan6" u="1"/>
        <s v="Quasar11" u="1"/>
        <s v="Titan7" u="1"/>
        <s v="Quasar8" u="1"/>
        <s v="Pegasus3" u="1"/>
        <s v="Pegasus8" u="1"/>
        <s v="Wavelength4" u="1"/>
        <s v="Quasar9" u="1"/>
        <s v="Ursa2" u="1"/>
        <s v="Quasar10" u="1"/>
        <s v="Wavelength5" u="1"/>
      </sharedItems>
    </cacheField>
    <cacheField name="Sprint Label" numFmtId="0">
      <sharedItems containsBlank="1" count="82">
        <s v="$[SUBSTITUTE(SUBSTITUTE(AE2, &quot;-Ray&quot;, &quot;&quot;), &quot;enus&quot;, &quot;&quot;)]"/>
        <m/>
        <s v="X1"/>
        <s v="X2"/>
        <s v="X3"/>
        <s v="X4"/>
        <s v="X5"/>
        <s v="X6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W1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W3" u="1"/>
        <s v="Q6" u="1"/>
        <s v="$[SUBSTITUTE(SUBSTITUTE(AE2, &quot;enus&quot;, &quot;&quot;), &quot;rsa&quot;, &quot;&quot;)]" u="1"/>
        <s v="P3" u="1"/>
        <s v="W5" u="1"/>
        <s v="V2" u="1"/>
        <s v="Q8" u="1"/>
        <s v="P5" u="1"/>
        <s v="W7" u="1"/>
        <s v="V4" u="1"/>
        <s v="U1" u="1"/>
        <s v="W9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$[SUBSTITUTE(SUBSTITUTE(AE2, &quot;avelength&quot;, &quot;&quot;), &quot;enus&quot;, &quot;&quot;)]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W2" u="1"/>
        <s v="Q5" u="1"/>
        <s v="P2" u="1"/>
        <s v="W4" u="1"/>
        <s v="V1" u="1"/>
        <s v="Q7" u="1"/>
        <s v="P4" u="1"/>
        <s v="W6" u="1"/>
        <s v="V3" u="1"/>
        <s v="Q9" u="1"/>
        <s v="$[= SUBSTITUTE('Last Sprint', &quot;uasar&quot;, &quot;&quot;)]" u="1"/>
        <s v="P6" u="1"/>
        <s v="W8" u="1"/>
        <s v="V5" u="1"/>
      </sharedItems>
    </cacheField>
    <cacheField name="Release" numFmtId="0">
      <sharedItems containsBlank="1" count="11">
        <s v="${issue.fixVersions.name}"/>
        <m/>
        <s v="Wavelength"/>
        <s v="X-Ray"/>
        <s v="Rocket" u="1"/>
        <s v="Venus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3">
        <item h="1" m="1" x="78"/>
        <item h="1" m="1" x="64"/>
        <item h="1" m="1" x="63"/>
        <item h="1" m="1" x="28"/>
        <item h="1" m="1" x="67"/>
        <item h="1" m="1" x="33"/>
        <item h="1" m="1" x="69"/>
        <item h="1" m="1" x="36"/>
        <item h="1" m="1" x="73"/>
        <item h="1" m="1" x="41"/>
        <item h="1" m="1" x="77"/>
        <item h="1" x="1"/>
        <item h="1" m="1" x="17"/>
        <item h="1" m="1" x="19"/>
        <item h="1" m="1" x="22"/>
        <item h="1" m="1" x="24"/>
        <item h="1" m="1" x="26"/>
        <item h="1" m="1" x="47"/>
        <item h="1" m="1" x="32"/>
        <item h="1" m="1" x="31"/>
        <item h="1" m="1" x="34"/>
        <item h="1" m="1" x="70"/>
        <item h="1" m="1" x="38"/>
        <item h="1" m="1" x="74"/>
        <item h="1" m="1" x="42"/>
        <item h="1" m="1" x="79"/>
        <item h="1" m="1" x="21"/>
        <item h="1" m="1" x="59"/>
        <item h="1" m="1" x="25"/>
        <item h="1" m="1" x="62"/>
        <item h="1" m="1" x="27"/>
        <item h="1" m="1" x="65"/>
        <item h="1" m="1" x="30"/>
        <item h="1" m="1" x="54"/>
        <item h="1" m="1" x="16"/>
        <item h="1" m="1" x="57"/>
        <item h="1" m="1" x="20"/>
        <item h="1" m="1" x="58"/>
        <item h="1" m="1" x="23"/>
        <item h="1" m="1" x="61"/>
        <item h="1" m="1" x="60"/>
        <item h="1" m="1" x="9"/>
        <item h="1" m="1" x="12"/>
        <item h="1" m="1" x="51"/>
        <item h="1" m="1" x="14"/>
        <item h="1" m="1" x="53"/>
        <item h="1" m="1" x="15"/>
        <item h="1" m="1" x="55"/>
        <item h="1" m="1" x="18"/>
        <item h="1" m="1" x="45"/>
        <item h="1" m="1" x="8"/>
        <item h="1" m="1" x="49"/>
        <item h="1" m="1" x="11"/>
        <item h="1" m="1" x="50"/>
        <item h="1" m="1" x="13"/>
        <item h="1" m="1" x="52"/>
        <item h="1" m="1" x="66"/>
        <item h="1" m="1" x="37"/>
        <item h="1" m="1" x="72"/>
        <item h="1" m="1" x="40"/>
        <item h="1" m="1" x="76"/>
        <item h="1" m="1" x="44"/>
        <item h="1" m="1" x="81"/>
        <item h="1" m="1" x="48"/>
        <item h="1" m="1" x="10"/>
        <item h="1" m="1" x="56"/>
        <item h="1" m="1" x="29"/>
        <item h="1" m="1" x="68"/>
        <item h="1" m="1" x="35"/>
        <item h="1" m="1" x="71"/>
        <item h="1" m="1" x="39"/>
        <item h="1" m="1" x="75"/>
        <item h="1" m="1" x="43"/>
        <item h="1" m="1" x="80"/>
        <item h="1" m="1" x="46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19"/>
        <item m="1" x="8"/>
        <item m="1" x="67"/>
        <item m="1" x="50"/>
        <item m="1" x="30"/>
        <item m="1" x="20"/>
        <item m="1" x="10"/>
        <item m="1" x="68"/>
        <item m="1" x="29"/>
        <item m="1" x="72"/>
        <item m="1" x="64"/>
        <item m="1" x="44"/>
        <item m="1" x="27"/>
        <item m="1" x="16"/>
        <item m="1" x="35"/>
        <item m="1" x="40"/>
        <item m="1" x="46"/>
        <item m="1" x="53"/>
        <item m="1" x="57"/>
        <item m="1" x="62"/>
        <item m="1" x="66"/>
        <item m="1" x="70"/>
        <item x="1"/>
        <item m="1" x="9"/>
        <item m="1" x="12"/>
        <item m="1" x="15"/>
        <item m="1" x="17"/>
        <item m="1" x="21"/>
        <item m="1" x="23"/>
        <item m="1" x="25"/>
        <item m="1" x="26"/>
        <item m="1" x="33"/>
        <item m="1" x="37"/>
        <item m="1" x="41"/>
        <item m="1" x="48"/>
        <item m="1" x="55"/>
        <item m="1" x="58"/>
        <item m="1" x="42"/>
        <item m="1" x="47"/>
        <item m="1" x="52"/>
        <item m="1" x="56"/>
        <item m="1" x="59"/>
        <item m="1" x="63"/>
        <item m="1" x="65"/>
        <item m="1" x="11"/>
        <item m="1" x="71"/>
        <item m="1" x="60"/>
        <item m="1" x="45"/>
        <item m="1" x="32"/>
        <item m="1" x="22"/>
        <item m="1" x="14"/>
        <item m="1" x="28"/>
        <item m="1" x="34"/>
        <item m="1" x="36"/>
        <item m="1" x="39"/>
        <item m="1" x="43"/>
        <item m="1" x="49"/>
        <item m="1" x="54"/>
        <item m="1" x="38"/>
        <item m="1" x="51"/>
        <item m="1" x="61"/>
        <item m="1" x="69"/>
        <item m="1" x="73"/>
        <item m="1" x="13"/>
        <item m="1" x="18"/>
        <item m="1" x="24"/>
        <item m="1" x="3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73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7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3">
        <item h="1" m="1" x="78"/>
        <item h="1" m="1" x="63"/>
        <item h="1" m="1" x="28"/>
        <item h="1" m="1" x="67"/>
        <item h="1" m="1" x="33"/>
        <item h="1" m="1" x="69"/>
        <item h="1" m="1" x="36"/>
        <item h="1" m="1" x="73"/>
        <item h="1" m="1" x="41"/>
        <item h="1" m="1" x="77"/>
        <item h="1" x="1"/>
        <item h="1" m="1" x="17"/>
        <item h="1" m="1" x="19"/>
        <item h="1" m="1" x="22"/>
        <item h="1" m="1" x="24"/>
        <item h="1" m="1" x="26"/>
        <item h="1" m="1" x="64"/>
        <item h="1" m="1" x="47"/>
        <item h="1" m="1" x="32"/>
        <item h="1" m="1" x="31"/>
        <item h="1" m="1" x="34"/>
        <item h="1" m="1" x="70"/>
        <item h="1" m="1" x="38"/>
        <item h="1" m="1" x="74"/>
        <item h="1" m="1" x="42"/>
        <item h="1" m="1" x="79"/>
        <item h="1" m="1" x="21"/>
        <item h="1" m="1" x="59"/>
        <item h="1" m="1" x="25"/>
        <item h="1" m="1" x="62"/>
        <item h="1" m="1" x="27"/>
        <item h="1" m="1" x="65"/>
        <item h="1" m="1" x="30"/>
        <item h="1" m="1" x="54"/>
        <item h="1" m="1" x="16"/>
        <item h="1" m="1" x="57"/>
        <item h="1" m="1" x="20"/>
        <item h="1" m="1" x="58"/>
        <item h="1" m="1" x="23"/>
        <item h="1" m="1" x="61"/>
        <item h="1" m="1" x="60"/>
        <item h="1" m="1" x="9"/>
        <item h="1" m="1" x="12"/>
        <item h="1" m="1" x="51"/>
        <item h="1" m="1" x="14"/>
        <item h="1" m="1" x="53"/>
        <item h="1" m="1" x="15"/>
        <item h="1" m="1" x="55"/>
        <item h="1" m="1" x="18"/>
        <item h="1" m="1" x="45"/>
        <item h="1" m="1" x="8"/>
        <item h="1" m="1" x="49"/>
        <item h="1" m="1" x="11"/>
        <item h="1" m="1" x="50"/>
        <item h="1" m="1" x="13"/>
        <item h="1" m="1" x="52"/>
        <item h="1" m="1" x="66"/>
        <item h="1" m="1" x="37"/>
        <item h="1" m="1" x="72"/>
        <item h="1" m="1" x="40"/>
        <item h="1" m="1" x="76"/>
        <item h="1" m="1" x="44"/>
        <item h="1" m="1" x="81"/>
        <item h="1" m="1" x="48"/>
        <item h="1" m="1" x="10"/>
        <item h="1" m="1" x="56"/>
        <item h="1" m="1" x="29"/>
        <item h="1" m="1" x="68"/>
        <item h="1" m="1" x="35"/>
        <item h="1" m="1" x="71"/>
        <item h="1" m="1" x="39"/>
        <item h="1" m="1" x="75"/>
        <item h="1" m="1" x="43"/>
        <item h="1" m="1" x="80"/>
        <item h="1" m="1" x="46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10"/>
        <item m="1" x="9"/>
        <item m="1" x="4"/>
        <item m="1" x="7"/>
        <item m="1" x="6"/>
        <item m="1" x="8"/>
        <item m="1" x="5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10"/>
        <item m="1" x="9"/>
        <item h="1" x="1"/>
        <item m="1" x="4"/>
        <item m="1" x="7"/>
        <item h="1" m="1" x="6"/>
        <item h="1" m="1" x="8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8" headerRowBorderDxfId="7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  <c r="L7">
        <v>118</v>
      </c>
    </row>
    <row r="8" spans="2:13" x14ac:dyDescent="0.3">
      <c r="B8" s="17" t="s">
        <v>260</v>
      </c>
      <c r="C8" s="20">
        <v>30</v>
      </c>
      <c r="K8" t="s">
        <v>259</v>
      </c>
      <c r="L8">
        <v>71.5</v>
      </c>
    </row>
    <row r="9" spans="2:13" x14ac:dyDescent="0.3">
      <c r="B9" s="17" t="s">
        <v>261</v>
      </c>
      <c r="C9" s="20">
        <v>60</v>
      </c>
      <c r="K9" t="s">
        <v>260</v>
      </c>
      <c r="L9">
        <v>85.5</v>
      </c>
    </row>
    <row r="10" spans="2:13" x14ac:dyDescent="0.3">
      <c r="B10" s="17" t="s">
        <v>262</v>
      </c>
      <c r="C10" s="20">
        <v>90</v>
      </c>
      <c r="K10" t="s">
        <v>261</v>
      </c>
      <c r="L10">
        <v>96.25</v>
      </c>
    </row>
    <row r="11" spans="2:13" x14ac:dyDescent="0.3">
      <c r="B11" s="17" t="s">
        <v>279</v>
      </c>
      <c r="C11" s="20"/>
      <c r="K11" t="s">
        <v>262</v>
      </c>
      <c r="L11">
        <v>57</v>
      </c>
    </row>
    <row r="12" spans="2:13" x14ac:dyDescent="0.3">
      <c r="B12" s="17" t="s">
        <v>50</v>
      </c>
      <c r="C12" s="20">
        <v>370</v>
      </c>
      <c r="K12" t="s">
        <v>279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X-Ray6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268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X-Ray6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279</v>
      </c>
      <c r="C36" s="20"/>
      <c r="D36" s="20"/>
      <c r="E36" s="20"/>
      <c r="F36" s="20"/>
      <c r="G36" s="20"/>
      <c r="H36" s="20"/>
    </row>
    <row r="37" spans="2:8" x14ac:dyDescent="0.3">
      <c r="B37" s="17" t="s">
        <v>50</v>
      </c>
      <c r="C37" s="20">
        <v>2</v>
      </c>
      <c r="D37" s="20">
        <v>1</v>
      </c>
      <c r="E37" s="20">
        <v>1</v>
      </c>
      <c r="F37" s="20">
        <v>2</v>
      </c>
      <c r="G37" s="20">
        <v>1</v>
      </c>
      <c r="H37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X6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/>
      <c r="C49" s="20">
        <f t="shared" si="2"/>
        <v>2</v>
      </c>
      <c r="D49" s="20">
        <f t="shared" si="2"/>
        <v>1</v>
      </c>
      <c r="E49" s="20">
        <f t="shared" si="2"/>
        <v>1</v>
      </c>
      <c r="F49" s="20">
        <f t="shared" si="2"/>
        <v>2</v>
      </c>
      <c r="G49" s="20">
        <f t="shared" si="2"/>
        <v>1</v>
      </c>
      <c r="H49" s="20">
        <f t="shared" si="2"/>
        <v>7</v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6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268</v>
      </c>
      <c r="AF17" s="5" t="s">
        <v>279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268</v>
      </c>
      <c r="AF23" s="5" t="s">
        <v>279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262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262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268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268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268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268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268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268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268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268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280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8.33203125" bestFit="1" customWidth="1"/>
    <col min="3" max="3" width="10.21875" bestFit="1" customWidth="1"/>
    <col min="4" max="4" width="16" bestFit="1" customWidth="1"/>
    <col min="5" max="5" width="9.21875" bestFit="1" customWidth="1"/>
    <col min="6" max="6" width="18.21875" bestFit="1" customWidth="1"/>
    <col min="7" max="7" width="24.44140625" bestFit="1" customWidth="1"/>
    <col min="8" max="8" width="22.44140625" bestFit="1" customWidth="1"/>
    <col min="9" max="9" width="12" customWidth="1"/>
    <col min="10" max="10" width="24.44140625" bestFit="1" customWidth="1"/>
    <col min="11" max="11" width="33.5546875" bestFit="1" customWidth="1"/>
    <col min="12" max="12" width="14.5546875" customWidth="1"/>
    <col min="13" max="13" width="16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5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1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258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44068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183</v>
      </c>
      <c r="AC6" s="20">
        <v>300</v>
      </c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B7" s="17" t="s">
        <v>254</v>
      </c>
      <c r="AC7" s="20">
        <v>100</v>
      </c>
      <c r="AD7" s="20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B8" s="17" t="s">
        <v>276</v>
      </c>
      <c r="AC8" s="20">
        <v>100</v>
      </c>
      <c r="AD8" s="20">
        <v>150</v>
      </c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254</v>
      </c>
      <c r="B9" s="21"/>
      <c r="C9" s="21"/>
      <c r="D9" s="21"/>
      <c r="G9" s="67" t="s">
        <v>279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>
        <f>100%-GETPIVOTDATA("Epic Remaining Estimate",$AB$4)/GETPIVOTDATA("Epic Total Estimate",$AB$4)</f>
        <v>0.25</v>
      </c>
      <c r="N9" s="76">
        <f>100%-GETPIVOTDATA("Epic Remaining Estimate",$AB$4,"ST:Components","Admin")/GETPIVOTDATA("Epic Total Estimate",$AB$4,"ST:Components","Admin")</f>
        <v>1</v>
      </c>
      <c r="O9" s="76">
        <f>100%-GETPIVOTDATA("Epic Remaining Estimate",$AB$4,"ST:Components","BluePrism Integration")/GETPIVOTDATA("Epic Total Estimate",$AB$4,"ST:Components","BluePrism Integration")</f>
        <v>-2</v>
      </c>
      <c r="P9" s="76">
        <f>100%-GETPIVOTDATA("Epic Remaining Estimate",$AB$4,"ST:Components","Automation Anywhere Integration")/GETPIVOTDATA("Epic Total Estimate",$AB$4,"ST:Components","Automation Anywhere Integration")</f>
        <v>-2</v>
      </c>
      <c r="Q9" s="40">
        <f t="shared" si="2"/>
        <v>0</v>
      </c>
      <c r="R9" s="42">
        <f>GETPIVOTDATA("Epic Remaining Estimate",$AB$4)</f>
        <v>450</v>
      </c>
      <c r="S9" s="42">
        <f t="shared" si="3"/>
        <v>0</v>
      </c>
      <c r="T9" s="42">
        <f>GETPIVOTDATA("Epic Remaining Estimate",$AB$4,"ST:Components","Admin")</f>
        <v>0</v>
      </c>
      <c r="U9" s="40">
        <f t="shared" si="4"/>
        <v>0</v>
      </c>
      <c r="V9" s="42">
        <f>GETPIVOTDATA("Epic Remaining Estimate",$AB$4,"ST:Components","BluePrism Integration")</f>
        <v>150</v>
      </c>
      <c r="W9" s="40">
        <f t="shared" si="5"/>
        <v>0</v>
      </c>
      <c r="X9" s="42">
        <f>GETPIVOTDATA("Epic Remaining Estimate",$AB$4,"ST:Components","Automation Anywhere Integration")</f>
        <v>150</v>
      </c>
      <c r="Z9" s="32"/>
      <c r="AB9" s="17" t="s">
        <v>275</v>
      </c>
      <c r="AC9" s="20">
        <v>50</v>
      </c>
      <c r="AD9" s="20">
        <v>150</v>
      </c>
      <c r="AF9" s="36">
        <f>SUM($J$4:J9)/SUM($J$4:$J$9)</f>
        <v>1</v>
      </c>
      <c r="AG9" s="76">
        <f>100%-GETPIVOTDATA("Epic Remaining Estimate",$AB$4,"ST:Components","Microsoft Power Automate Integration")/GETPIVOTDATA("Epic Total Estimate",$AB$4,"ST:Components","Microsoft Power Automate Integration")</f>
        <v>-0.5</v>
      </c>
      <c r="AH9" s="40">
        <f t="shared" si="12"/>
        <v>0</v>
      </c>
      <c r="AI9" s="42">
        <f>GETPIVOTDATA("Epic Remaining Estimate",$AB$4,"ST:Components","Microsoft Power Automate Integration")</f>
        <v>150</v>
      </c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1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1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50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3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259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260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261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257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262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246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279</v>
      </c>
      <c r="B9" s="60">
        <v>44055</v>
      </c>
      <c r="C9" s="60">
        <v>44068</v>
      </c>
      <c r="D9" s="57">
        <f>GETPIVOTDATA("Epic Total Estimate", $AL$8, "Type", "Epic")</f>
        <v>600</v>
      </c>
      <c r="E9" s="34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540</v>
      </c>
      <c r="H9" s="40">
        <f t="shared" ref="H9" si="64">D9-I9</f>
        <v>150</v>
      </c>
      <c r="I9" s="40">
        <f>GETPIVOTDATA("Epic Remaining Estimate", $AL$8, "Type", "Epic")</f>
        <v>450</v>
      </c>
      <c r="J9" s="33">
        <f t="shared" ref="J9" si="65" xml:space="preserve"> G9/D9</f>
        <v>0.9</v>
      </c>
      <c r="K9" s="33">
        <f t="shared" ref="K9" si="66" xml:space="preserve"> H9/D9</f>
        <v>0.25</v>
      </c>
      <c r="L9" s="59">
        <f>GETPIVOTDATA("Epic Total Estimate", $AL$8, "Type", "Epic", "ST:Components", "Admin")</f>
        <v>100</v>
      </c>
      <c r="M9" s="58">
        <f>_ReleaseData!$Q$26</f>
        <v>50</v>
      </c>
      <c r="N9" s="40">
        <f>GETPIVOTDATA("Stories Estimate", $AL$8, "Type", "Epic", "ST:Components", "Admin")</f>
        <v>0</v>
      </c>
      <c r="O9" s="40">
        <f>GETPIVOTDATA("Epic Decomposed", $AL$8, "Type", "Epic", "ST:Components", "Admin")</f>
        <v>0</v>
      </c>
      <c r="P9" s="40">
        <f t="shared" ref="P9" si="67">L9-Q9</f>
        <v>100</v>
      </c>
      <c r="Q9" s="40">
        <f>GETPIVOTDATA("Epic Remaining Estimate", $AL$8, "Type", "Epic", "ST:Components", "Admin")</f>
        <v>0</v>
      </c>
      <c r="R9" s="33">
        <f t="shared" ref="R9" si="68" xml:space="preserve"> O9/L9</f>
        <v>0</v>
      </c>
      <c r="S9" s="33">
        <f t="shared" ref="S9" si="69" xml:space="preserve"> P9/L9</f>
        <v>1</v>
      </c>
      <c r="T9" s="57">
        <f>GETPIVOTDATA("Epic Total Estimate", $AL$8, "Type", "Epic", "ST:Components", "BluePrism Integration")</f>
        <v>50</v>
      </c>
      <c r="U9" s="58">
        <f>_ReleaseData!$Q$27</f>
        <v>50</v>
      </c>
      <c r="V9" s="40">
        <f>GETPIVOTDATA("Stories Estimate", $AL$8, "Type", "Epic", "ST:Components", "BluePrism Integration")</f>
        <v>0</v>
      </c>
      <c r="W9" s="40">
        <f>GETPIVOTDATA("Epic Decomposed", $AL$8, "Type", "Epic", "ST:Components", "BluePrism Integration")</f>
        <v>180</v>
      </c>
      <c r="X9" s="40">
        <f t="shared" ref="X9" si="70">T9-Y9</f>
        <v>-100</v>
      </c>
      <c r="Y9" s="40">
        <f>GETPIVOTDATA("Epic Remaining Estimate", $AL$8, "Type", "Epic", "ST:Components", "BluePrism Integration")</f>
        <v>150</v>
      </c>
      <c r="Z9" s="33">
        <f t="shared" ref="Z9" si="71" xml:space="preserve"> W9/T9</f>
        <v>3.6</v>
      </c>
      <c r="AA9" s="33">
        <f t="shared" ref="AA9" si="72">X9/T9</f>
        <v>-2</v>
      </c>
      <c r="AB9" s="57">
        <f>GETPIVOTDATA("Epic Total Estimate", $AL$8, "Type", "Epic", "ST:Components", "Automation Anywhere Integration")</f>
        <v>50</v>
      </c>
      <c r="AC9" s="58">
        <f>_ReleaseData!$Q$28</f>
        <v>80</v>
      </c>
      <c r="AD9" s="40">
        <f>GETPIVOTDATA("Stories Estimate", $AL$8, "Type", "Epic", "ST:Components", "Automation Anywhere Integration")</f>
        <v>0</v>
      </c>
      <c r="AE9" s="40">
        <f>GETPIVOTDATA("Epic Decomposed", $AL$8, "Type", "Epic", "ST:Components", "Automation Anywhere Integration")</f>
        <v>180</v>
      </c>
      <c r="AF9" s="40">
        <f t="shared" ref="AF9" si="73">AB9-AG9</f>
        <v>-100</v>
      </c>
      <c r="AG9" s="40">
        <f>GETPIVOTDATA("Epic Remaining Estimate", $AL$8, "Type", "Epic", "ST:Components", "Automation Anywhere Integration")</f>
        <v>150</v>
      </c>
      <c r="AH9" s="33">
        <f t="shared" ref="AH9" si="74" xml:space="preserve"> AE9/AB9</f>
        <v>3.6</v>
      </c>
      <c r="AI9" s="33">
        <f t="shared" ref="AI9" si="75">AF9/AB9</f>
        <v>-2</v>
      </c>
      <c r="AR9" s="57">
        <f>GETPIVOTDATA("Epic Total Estimate", $AL$8, "Type", "Epic", "ST:Components", "Microsoft Power Automate Integration")</f>
        <v>100</v>
      </c>
      <c r="AS9" s="58">
        <f>_ReleaseData!$Q$29</f>
        <v>100</v>
      </c>
      <c r="AT9" s="40">
        <f>GETPIVOTDATA("Stories Estimate", $AL$8, "Type", "Epic", "ST:Components", "Microsoft Power Automate Integration")</f>
        <v>0</v>
      </c>
      <c r="AU9" s="40">
        <f>GETPIVOTDATA("Epic Decomposed", $AL$8, "Type", "Epic", "ST:Components", "Microsoft Power Automate Integration")</f>
        <v>180</v>
      </c>
      <c r="AV9" s="40">
        <f t="shared" ref="AV9" si="76">AR9-AW9</f>
        <v>-50</v>
      </c>
      <c r="AW9" s="40">
        <f>GETPIVOTDATA("Epic Remaining Estimate", $AL$8, "Type", "Epic", "ST:Components", "Microsoft Power Automate Integration")</f>
        <v>150</v>
      </c>
      <c r="AX9" s="33">
        <f t="shared" ref="AX9" si="77" xml:space="preserve"> AU9/AR9</f>
        <v>1.8</v>
      </c>
      <c r="AY9" s="33">
        <f t="shared" ref="AY9" si="78">AV9/AR9</f>
        <v>-0.5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v>114.5</v>
      </c>
      <c r="D16" s="20">
        <v>157.5</v>
      </c>
    </row>
    <row r="17" spans="2:4" x14ac:dyDescent="0.3">
      <c r="B17" t="s">
        <v>259</v>
      </c>
      <c r="C17" s="20">
        <v>31</v>
      </c>
      <c r="D17" s="20">
        <v>86</v>
      </c>
    </row>
    <row r="18" spans="2:4" x14ac:dyDescent="0.3">
      <c r="B18" t="s">
        <v>260</v>
      </c>
      <c r="C18" s="20">
        <v>89.5</v>
      </c>
      <c r="D18" s="20">
        <v>107</v>
      </c>
    </row>
    <row r="19" spans="2:4" x14ac:dyDescent="0.3">
      <c r="B19" t="s">
        <v>261</v>
      </c>
      <c r="C19" s="20">
        <v>128</v>
      </c>
      <c r="D19" s="20">
        <v>144</v>
      </c>
    </row>
    <row r="20" spans="2:4" x14ac:dyDescent="0.3">
      <c r="B20" t="s">
        <v>262</v>
      </c>
      <c r="C20" s="20">
        <v>122</v>
      </c>
      <c r="D20" s="20">
        <v>145.5</v>
      </c>
    </row>
    <row r="21" spans="2:4" x14ac:dyDescent="0.3">
      <c r="B21" t="s">
        <v>279</v>
      </c>
      <c r="C21" s="20">
        <f>GETPIVOTDATA("Epic Not Decomposed Estimate",$B$3)</f>
        <v>60</v>
      </c>
      <c r="D21" s="20">
        <f>GETPIVOTDATA("Story Points",$G$5)</f>
        <v>35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2020-08-25T23:00:07Z</dcterms:modified>
</cp:coreProperties>
</file>