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9CA49C78-AF29-4AE4-9ABB-1C2F9DCC4FF5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6" i="26" l="1"/>
  <c r="AC7" i="26"/>
  <c r="U7" i="26"/>
  <c r="M7" i="26"/>
  <c r="E7" i="26"/>
  <c r="W7" i="26"/>
  <c r="N7" i="26"/>
  <c r="L7" i="26"/>
  <c r="AB7" i="26"/>
  <c r="D7" i="26"/>
  <c r="F7" i="26"/>
  <c r="AG7" i="26"/>
  <c r="Y7" i="26"/>
  <c r="AE7" i="26"/>
  <c r="G7" i="26"/>
  <c r="T7" i="26"/>
  <c r="O7" i="26"/>
  <c r="AD7" i="26"/>
  <c r="Q7" i="26"/>
  <c r="C19" i="24"/>
  <c r="V7" i="26"/>
  <c r="D19" i="24"/>
  <c r="I7" i="26"/>
  <c r="P7" i="26" l="1"/>
  <c r="S7" i="26" s="1"/>
  <c r="X7" i="26"/>
  <c r="AA7" i="26" s="1"/>
  <c r="AF7" i="26"/>
  <c r="AI7" i="26" s="1"/>
  <c r="Z7" i="26"/>
  <c r="AH7" i="26"/>
  <c r="H7" i="26"/>
  <c r="K7" i="26" s="1"/>
  <c r="R7" i="26"/>
  <c r="J7" i="26"/>
  <c r="J6" i="9"/>
  <c r="J9" i="9"/>
  <c r="J8" i="9"/>
  <c r="J7" i="9"/>
  <c r="J5" i="9"/>
  <c r="J4" i="9"/>
  <c r="T7" i="9"/>
  <c r="M7" i="9"/>
  <c r="O7" i="9"/>
  <c r="R7" i="9"/>
  <c r="X7" i="9"/>
  <c r="N7" i="9"/>
  <c r="V7" i="9"/>
  <c r="P7" i="9"/>
  <c r="U6" i="26" l="1"/>
  <c r="M6" i="26"/>
  <c r="E6" i="26"/>
  <c r="AH6" i="26" l="1"/>
  <c r="J6" i="26"/>
  <c r="Z6" i="26"/>
  <c r="R6" i="26"/>
  <c r="H6" i="26"/>
  <c r="K6" i="26" s="1"/>
  <c r="P6" i="26"/>
  <c r="S6" i="26" s="1"/>
  <c r="X6" i="26"/>
  <c r="AA6" i="26" s="1"/>
  <c r="AF6" i="26"/>
  <c r="AI6" i="26" s="1"/>
  <c r="B1" i="12"/>
  <c r="AC5" i="26" l="1"/>
  <c r="U5" i="26"/>
  <c r="M5" i="26"/>
  <c r="E5" i="26"/>
  <c r="AF5" i="26" l="1"/>
  <c r="AI5" i="26" s="1"/>
  <c r="H5" i="26"/>
  <c r="K5" i="26" s="1"/>
  <c r="P5" i="26"/>
  <c r="S5" i="26" s="1"/>
  <c r="R5" i="26"/>
  <c r="AH5" i="26"/>
  <c r="X5" i="26"/>
  <c r="AA5" i="26" s="1"/>
  <c r="J5" i="26"/>
  <c r="Z5" i="26"/>
  <c r="AC4" i="26"/>
  <c r="U4" i="26"/>
  <c r="M9" i="26"/>
  <c r="M8" i="26"/>
  <c r="M4" i="26"/>
  <c r="M3" i="26"/>
  <c r="E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9" i="26"/>
  <c r="AC8" i="26"/>
  <c r="AC3" i="26"/>
  <c r="F66" i="9"/>
  <c r="B66" i="9"/>
  <c r="AF3" i="26" l="1"/>
  <c r="AI3" i="26" s="1"/>
  <c r="AH3" i="26"/>
  <c r="K42" i="9"/>
  <c r="W3" i="9"/>
  <c r="B18" i="9"/>
  <c r="B19" i="9" l="1"/>
  <c r="U9" i="26"/>
  <c r="U8" i="26"/>
  <c r="U3" i="26"/>
  <c r="B14" i="9"/>
  <c r="B10" i="9"/>
  <c r="E9" i="26" l="1"/>
  <c r="E8" i="26"/>
  <c r="E3" i="26"/>
  <c r="U3" i="9"/>
  <c r="S3" i="9"/>
  <c r="Q3" i="9"/>
  <c r="I4" i="9"/>
  <c r="Z3" i="26" l="1"/>
  <c r="X3" i="26"/>
  <c r="AA3" i="26" s="1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AE31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I6" i="9" l="1"/>
  <c r="I7" i="9" l="1"/>
  <c r="H7" i="9"/>
  <c r="I8" i="9" l="1"/>
  <c r="H8" i="9"/>
  <c r="H9" i="9" l="1"/>
  <c r="I9" i="9"/>
  <c r="L7" i="9" l="1"/>
  <c r="U7" i="9" s="1"/>
  <c r="K5" i="9"/>
  <c r="W5" i="9" s="1"/>
  <c r="K9" i="9"/>
  <c r="W9" i="9" s="1"/>
  <c r="L6" i="9"/>
  <c r="U6" i="9" s="1"/>
  <c r="K6" i="9"/>
  <c r="W6" i="9" s="1"/>
  <c r="K4" i="9"/>
  <c r="W4" i="9" s="1"/>
  <c r="L5" i="9"/>
  <c r="U5" i="9" s="1"/>
  <c r="K7" i="9"/>
  <c r="W7" i="9" s="1"/>
  <c r="L4" i="9"/>
  <c r="U4" i="9" s="1"/>
  <c r="L8" i="9"/>
  <c r="U8" i="9" s="1"/>
  <c r="K8" i="9"/>
  <c r="W8" i="9" s="1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<sst xmlns="http://schemas.openxmlformats.org/spreadsheetml/2006/main" count="1117" uniqueCount="292">
  <si>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</si>
  <si>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</si>
  <si>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</si>
  <si>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</si>
  <si>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</si>
  <si>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</si>
  <si>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</si>
  <si>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</si>
  <si>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</si>
  <si>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</si>
  <si>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</si>
  <si>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</si>
  <si>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</si>
  <si>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</si>
  <si>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</si>
  <si>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</si>
  <si>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</si>
  <si>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</si>
  <si>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</si>
  <si>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</si>
  <si>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</si>
  <si>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</si>
  <si>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</si>
  <si>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</si>
  <si>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</si>
  <si>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</si>
  <si>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</si>
  <si>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</si>
  <si>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</si>
  <si>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</si>
  <si>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</si>
  <si>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</si>
  <si>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</si>
  <si>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</si>
  <si>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</si>
  <si>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</si>
  <si>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</si>
  <si>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</si>
  <si>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</si>
  <si>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</si>
  <si>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</si>
  <si>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</si>
  <si>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</si>
  <si>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</si>
  <si>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</si>
  <si>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</si>
  <si>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</si>
  <si>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</si>
  <si>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</si>
  <si>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</si>
  <si>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</si>
  <si>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</si>
  <si>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</si>
  <si>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</si>
  <si>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</si>
  <si>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</si>
  <si>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</si>
  <si>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</si>
  <si>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</si>
  <si>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</si>
  <si>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</si>
  <si>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</si>
  <si>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</si>
  <si>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</si>
  <si>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</si>
  <si>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</si>
  <si>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</si>
  <si>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</si>
  <si>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</si>
  <si>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</si>
  <si>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</si>
  <si>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</si>
  <si>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</si>
  <si>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</si>
  <si>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</si>
  <si>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</si>
  <si>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</si>
  <si>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</si>
  <si>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</si>
  <si>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</si>
  <si>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</si>
  <si>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</si>
  <si>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</si>
  <si>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</si>
  <si>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</si>
  <si>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</si>
  <si>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</si>
  <si>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</si>
  <si>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</si>
  <si>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</si>
  <si>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</si>
  <si>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</si>
  <si>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</si>
  <si>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</si>
  <si>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</si>
  <si>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</si>
  <si>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</si>
  <si>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</si>
  <si>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</si>
  <si>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</si>
  <si>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</si>
  <si>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</si>
  <si>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</si>
  <si>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</si>
  <si>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</si>
  <si>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</si>
  <si>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</si>
  <si>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</si>
  <si>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</si>
  <si>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</si>
  <si>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</si>
  <si>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</si>
  <si>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</si>
  <si>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</si>
  <si>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</si>
  <si>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</si>
  <si>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</si>
  <si>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</si>
  <si>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</si>
  <si>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</si>
  <si>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</si>
  <si>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</si>
  <si>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</si>
  <si>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</si>
  <si>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</si>
  <si>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</si>
  <si>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</si>
  <si>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</si>
  <si>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</si>
  <si>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</si>
  <si>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</si>
  <si>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</si>
  <si>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</si>
  <si>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</si>
  <si>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</si>
  <si>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</si>
  <si>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</si>
  <si>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</si>
  <si>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</si>
  <si>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</si>
  <si>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</si>
  <si>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</si>
  <si>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</si>
  <si>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</si>
  <si>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</si>
  <si>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</si>
  <si>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</si>
  <si>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</si>
  <si>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</si>
  <si>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</si>
  <si>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</si>
  <si>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</si>
  <si>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</si>
  <si>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</si>
  <si>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</si>
  <si>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</si>
  <si>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</si>
  <si>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</si>
  <si>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</si>
  <si>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</si>
  <si>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</si>
  <si>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</si>
  <si>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</si>
  <si>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</si>
  <si>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</si>
  <si>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</si>
  <si>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</si>
  <si>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</si>
  <si>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</si>
  <si>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</si>
  <si>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</si>
  <si>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</si>
  <si>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</si>
  <si>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</si>
  <si>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</si>
  <si>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</si>
  <si>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</si>
  <si>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</si>
  <si>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</si>
  <si>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</si>
  <si>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</si>
  <si>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</si>
  <si>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</si>
  <si>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</si>
  <si>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</si>
  <si>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</si>
  <si>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</si>
  <si>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</si>
  <si>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</si>
  <si>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</si>
  <si>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</si>
  <si>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</si>
  <si>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</si>
  <si>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</si>
  <si>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</si>
  <si>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</si>
  <si>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</si>
  <si>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</si>
  <si>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</si>
  <si>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</si>
  <si>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</si>
  <si>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</si>
  <si>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</si>
  <si>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</si>
  <si>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</si>
  <si>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</si>
  <si>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</si>
  <si>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</si>
  <si>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</si>
  <si>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</si>
  <si>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</si>
  <si>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</si>
  <si>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</si>
  <si>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</si>
  <si>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</si>
  <si>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</si>
  <si>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</si>
  <si>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</si>
  <si>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</si>
  <si>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</si>
  <si>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</si>
  <si>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</si>
  <si>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</si>
  <si>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</si>
  <si>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</si>
  <si>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</si>
  <si>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</si>
  <si>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</si>
  <si>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</si>
  <si>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</si>
  <si>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</si>
  <si>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</si>
  <si>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</si>
  <si>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</si>
  <si>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</si>
  <si>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</si>
  <si>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</si>
  <si>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</si>
  <si>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</si>
  <si>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</si>
  <si>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</si>
  <si>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</si>
  <si>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</si>
  <si>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</si>
  <si>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</si>
  <si>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</si>
  <si>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</si>
  <si>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</si>
  <si>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</si>
  <si>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</si>
  <si>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</si>
  <si>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</si>
  <si>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</si>
  <si>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</si>
  <si>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</si>
  <si>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</si>
  <si>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</si>
  <si>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</si>
  <si>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</si>
  <si>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</si>
  <si>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</si>
  <si>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</si>
  <si>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</si>
  <si>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</si>
  <si>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</si>
  <si>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</si>
  <si>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</si>
  <si>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</si>
  <si>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</si>
  <si>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</si>
  <si>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</si>
  <si>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</si>
  <si>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</si>
  <si>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</si>
  <si>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</si>
  <si>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</si>
  <si>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</si>
  <si>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</si>
  <si>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</si>
  <si>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</si>
  <si>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</si>
  <si>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</si>
  <si>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</si>
  <si>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</si>
  <si>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</si>
  <si>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</si>
  <si>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</si>
  <si>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</si>
  <si>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</si>
  <si>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</si>
  <si>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</si>
  <si>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Bulk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</si>
</sst>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0.57407407407407407</c:v>
                </c:pt>
                <c:pt idx="1">
                  <c:v>0.42592592592592593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0.65</c:v>
                </c:pt>
                <c:pt idx="3">
                  <c:v>0.98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40.566037735849058</c:v>
                </c:pt>
                <c:pt idx="2">
                  <c:v>31.132075471698112</c:v>
                </c:pt>
                <c:pt idx="3">
                  <c:v>21.69811320754717</c:v>
                </c:pt>
                <c:pt idx="4">
                  <c:v>12.264150943396224</c:v>
                </c:pt>
                <c:pt idx="5">
                  <c:v>9.4339622641509422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44</c:v>
                </c:pt>
                <c:pt idx="1">
                  <c:v>37</c:v>
                </c:pt>
                <c:pt idx="2">
                  <c:v>17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48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0.57407407407407407</c:v>
                </c:pt>
                <c:pt idx="1">
                  <c:v>0.42592592592592593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</c:v>
                </c:pt>
                <c:pt idx="1">
                  <c:v>0.23</c:v>
                </c:pt>
                <c:pt idx="2">
                  <c:v>0.42</c:v>
                </c:pt>
                <c:pt idx="3">
                  <c:v>0.54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40.566037735849058</c:v>
                </c:pt>
                <c:pt idx="2">
                  <c:v>31.132075471698112</c:v>
                </c:pt>
                <c:pt idx="3">
                  <c:v>21.69811320754717</c:v>
                </c:pt>
                <c:pt idx="4">
                  <c:v>12.264150943396224</c:v>
                </c:pt>
                <c:pt idx="5">
                  <c:v>9.4339622641509422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48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0.83334490660370808</c:v>
                </c:pt>
                <c:pt idx="1">
                  <c:v>0.16665509339629192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52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44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0.57407407407407407</c:v>
                </c:pt>
                <c:pt idx="1">
                  <c:v>0.42592592592592593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</c:v>
                </c:pt>
                <c:pt idx="1">
                  <c:v>0.24</c:v>
                </c:pt>
                <c:pt idx="2">
                  <c:v>0.41</c:v>
                </c:pt>
                <c:pt idx="3">
                  <c:v>0.59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60.84905660377359</c:v>
                </c:pt>
                <c:pt idx="2">
                  <c:v>46.698113207547166</c:v>
                </c:pt>
                <c:pt idx="3">
                  <c:v>32.547169811320757</c:v>
                </c:pt>
                <c:pt idx="4">
                  <c:v>18.396226415094336</c:v>
                </c:pt>
                <c:pt idx="5">
                  <c:v>14.150943396226412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168</c:v>
                </c:pt>
                <c:pt idx="1">
                  <c:v>72.8</c:v>
                </c:pt>
                <c:pt idx="2">
                  <c:v>48.5</c:v>
                </c:pt>
                <c:pt idx="3">
                  <c:v>33.5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168</c:v>
                </c:pt>
                <c:pt idx="1">
                  <c:v>95.8</c:v>
                </c:pt>
                <c:pt idx="2">
                  <c:v>82.8</c:v>
                </c:pt>
                <c:pt idx="3">
                  <c:v>81.8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96</c:v>
                </c:pt>
                <c:pt idx="1">
                  <c:v>80.3</c:v>
                </c:pt>
                <c:pt idx="2">
                  <c:v>82.8</c:v>
                </c:pt>
                <c:pt idx="3">
                  <c:v>81.8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23</c:v>
                </c:pt>
                <c:pt idx="1">
                  <c:v>60.3</c:v>
                </c:pt>
                <c:pt idx="2">
                  <c:v>79.8</c:v>
                </c:pt>
                <c:pt idx="3">
                  <c:v>76.8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0</c:v>
                </c:pt>
                <c:pt idx="1">
                  <c:v>23</c:v>
                </c:pt>
                <c:pt idx="2">
                  <c:v>34.299999999999997</c:v>
                </c:pt>
                <c:pt idx="3">
                  <c:v>48.3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130.5</c:v>
                </c:pt>
                <c:pt idx="1">
                  <c:v>59</c:v>
                </c:pt>
                <c:pt idx="2">
                  <c:v>23</c:v>
                </c:pt>
                <c:pt idx="3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137.25</c:v>
                </c:pt>
                <c:pt idx="1">
                  <c:v>94.5</c:v>
                </c:pt>
                <c:pt idx="2">
                  <c:v>90.5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</c:v>
                </c:pt>
                <c:pt idx="1">
                  <c:v>0.151</c:v>
                </c:pt>
                <c:pt idx="2">
                  <c:v>0.35510000000000003</c:v>
                </c:pt>
                <c:pt idx="3">
                  <c:v>0.49530000000000002</c:v>
                </c:pt>
                <c:pt idx="4">
                  <c:v>0.83334490660370808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Rocket4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1500.125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Bulk Edit</c:v>
                </c:pt>
                <c:pt idx="4">
                  <c:v>CI/CD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231.22641509433964</c:v>
                </c:pt>
                <c:pt idx="2">
                  <c:v>177.45283018867923</c:v>
                </c:pt>
                <c:pt idx="3">
                  <c:v>123.67924528301887</c:v>
                </c:pt>
                <c:pt idx="4">
                  <c:v>69.905660377358473</c:v>
                </c:pt>
                <c:pt idx="5">
                  <c:v>53.773584905660364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469</c:v>
                </c:pt>
                <c:pt idx="1">
                  <c:v>306.8</c:v>
                </c:pt>
                <c:pt idx="2">
                  <c:v>207.5</c:v>
                </c:pt>
                <c:pt idx="3">
                  <c:v>173.5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469</c:v>
                </c:pt>
                <c:pt idx="1">
                  <c:v>360.8</c:v>
                </c:pt>
                <c:pt idx="2">
                  <c:v>321.8</c:v>
                </c:pt>
                <c:pt idx="3">
                  <c:v>343.8</c:v>
                </c:pt>
                <c:pt idx="4">
                  <c:v>1800.125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307</c:v>
                </c:pt>
                <c:pt idx="1">
                  <c:v>290.3</c:v>
                </c:pt>
                <c:pt idx="2">
                  <c:v>276.8</c:v>
                </c:pt>
                <c:pt idx="3">
                  <c:v>343.8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165</c:v>
                </c:pt>
                <c:pt idx="1">
                  <c:v>230.3</c:v>
                </c:pt>
                <c:pt idx="2">
                  <c:v>262.8</c:v>
                </c:pt>
                <c:pt idx="3">
                  <c:v>320.8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0</c:v>
                </c:pt>
                <c:pt idx="1">
                  <c:v>54</c:v>
                </c:pt>
                <c:pt idx="2">
                  <c:v>114.30000000000001</c:v>
                </c:pt>
                <c:pt idx="3">
                  <c:v>170.3</c:v>
                </c:pt>
                <c:pt idx="4">
                  <c:v>1500.125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0.57407407407407407</c:v>
                </c:pt>
                <c:pt idx="1">
                  <c:v>0.42592592592592593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39.354840624997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2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5">
        <s v="${issue.fixVersions.name}"/>
        <m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3">
        <s v="${bpHelper.getRocketComponent(issue)}"/>
        <m/>
        <s v="UME v2"/>
        <s v="CPM"/>
        <s v="Excel Import"/>
        <s v="DevOps"/>
        <s v="R&amp;D Bucket"/>
        <s v="Other"/>
        <s v="CI/CD"/>
        <s v="Bulk Edit"/>
        <s v="UME" u="1"/>
        <s v="Artifact List v2" u="1"/>
        <s v="Cross Project Move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2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2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2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2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2"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2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2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9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axis="axisRow" showAll="0">
      <items count="14">
        <item x="0"/>
        <item m="1" x="11"/>
        <item m="1" x="12"/>
        <item x="3"/>
        <item x="4"/>
        <item m="1" x="10"/>
        <item x="2"/>
        <item x="9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pageFields count="3">
    <pageField fld="1" item="2" hier="-1"/>
    <pageField fld="32" item="4" hier="-1"/>
    <pageField fld="45" item="2" hier="-1"/>
  </pageFields>
  <dataFields count="1">
    <dataField name="Sum of Epic Total Estimate" fld="15" baseField="35" baseItem="0"/>
  </dataFields>
  <chartFormats count="1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6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2"/>
    </i>
    <i>
      <x v="3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6" firstHeaderRow="1" firstDataRow="1" firstDataCol="1" rowPageCount="3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3"/>
        <item m="1" x="4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3">
    <pageField fld="32" hier="-1"/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3">
        <item h="1" m="1" x="30"/>
        <item h="1" m="1" x="23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27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3">
        <item h="1" m="1" x="30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3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9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4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4" spans="1:2" x14ac:dyDescent="0.45">
      <c r="A4" s="16" t="s">
        <v>289</v>
      </c>
      <c r="B4" t="s">
        <v>228</v>
      </c>
    </row>
    <row r="6" spans="1:2" x14ac:dyDescent="0.45">
      <c r="A6" s="16" t="s">
        <v>146</v>
      </c>
      <c r="B6" t="s">
        <v>150</v>
      </c>
    </row>
    <row r="7" spans="1:2" x14ac:dyDescent="0.45">
      <c r="A7" s="17" t="s">
        <v>157</v>
      </c>
      <c r="B7" s="20">
        <v>100</v>
      </c>
    </row>
    <row r="8" spans="1:2" x14ac:dyDescent="0.45">
      <c r="A8" s="17" t="s">
        <v>155</v>
      </c>
      <c r="B8" s="20">
        <v>100</v>
      </c>
    </row>
    <row r="9" spans="1:2" x14ac:dyDescent="0.45">
      <c r="A9" s="17" t="s">
        <v>154</v>
      </c>
      <c r="B9" s="20">
        <v>100</v>
      </c>
    </row>
    <row r="10" spans="1:2" x14ac:dyDescent="0.45">
      <c r="A10" s="17" t="s">
        <v>182</v>
      </c>
      <c r="B10" s="20">
        <v>100</v>
      </c>
    </row>
    <row r="11" spans="1:2" x14ac:dyDescent="0.45">
      <c r="A11" s="17" t="s">
        <v>153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3" spans="2:13" x14ac:dyDescent="0.45">
      <c r="B3" s="16" t="s">
        <v>289</v>
      </c>
      <c r="C3" t="s">
        <v>228</v>
      </c>
    </row>
    <row r="5" spans="2:13" x14ac:dyDescent="0.45">
      <c r="B5" s="16" t="s">
        <v>146</v>
      </c>
      <c r="C5" t="s">
        <v>150</v>
      </c>
      <c r="K5" s="39" t="s">
        <v>198</v>
      </c>
    </row>
    <row r="6" spans="2:13" x14ac:dyDescent="0.45">
      <c r="B6" s="17" t="s">
        <v>241</v>
      </c>
      <c r="C6" s="20">
        <v>70</v>
      </c>
      <c r="K6" t="s">
        <v>197</v>
      </c>
      <c r="L6" t="s">
        <v>275</v>
      </c>
      <c r="M6" t="s">
        <v>196</v>
      </c>
    </row>
    <row r="7" spans="2:13" x14ac:dyDescent="0.45">
      <c r="B7" s="17" t="s">
        <v>242</v>
      </c>
      <c r="C7" s="20">
        <v>60</v>
      </c>
      <c r="K7" t="s">
        <v>241</v>
      </c>
      <c r="L7">
        <v>61</v>
      </c>
      <c r="M7">
        <f t="shared" ref="M7:M12" si="0">SUM(L7:L7)</f>
        <v>61</v>
      </c>
    </row>
    <row r="8" spans="2:13" x14ac:dyDescent="0.45">
      <c r="B8" s="17" t="s">
        <v>243</v>
      </c>
      <c r="C8" s="20">
        <v>30</v>
      </c>
      <c r="K8" t="s">
        <v>242</v>
      </c>
      <c r="L8">
        <v>60.25</v>
      </c>
      <c r="M8">
        <f t="shared" si="0"/>
        <v>60.25</v>
      </c>
    </row>
    <row r="9" spans="2:13" x14ac:dyDescent="0.45">
      <c r="B9" s="17" t="s">
        <v>244</v>
      </c>
      <c r="C9" s="20">
        <v>60</v>
      </c>
      <c r="K9" t="s">
        <v>243</v>
      </c>
      <c r="L9">
        <v>59.5</v>
      </c>
      <c r="M9">
        <f t="shared" si="0"/>
        <v>59.5</v>
      </c>
    </row>
    <row r="10" spans="2:13" x14ac:dyDescent="0.45">
      <c r="B10" s="17" t="s">
        <v>245</v>
      </c>
      <c r="C10" s="20">
        <v>60</v>
      </c>
      <c r="K10" t="s">
        <v>244</v>
      </c>
      <c r="M10">
        <f t="shared" si="0"/>
        <v>0</v>
      </c>
    </row>
    <row r="11" spans="2:13" x14ac:dyDescent="0.45">
      <c r="B11" s="17" t="s">
        <v>246</v>
      </c>
      <c r="C11" s="20">
        <v>60</v>
      </c>
      <c r="K11" t="s">
        <v>245</v>
      </c>
      <c r="M11">
        <f t="shared" si="0"/>
        <v>0</v>
      </c>
    </row>
    <row r="12" spans="2:13" x14ac:dyDescent="0.45">
      <c r="B12" s="17" t="s">
        <v>50</v>
      </c>
      <c r="C12" s="20">
        <v>340</v>
      </c>
      <c r="K12" t="s">
        <v>246</v>
      </c>
      <c r="M12">
        <f t="shared" si="0"/>
        <v>0</v>
      </c>
    </row>
    <row r="13" spans="2:13" x14ac:dyDescent="0.45">
      <c r="K13" t="s">
        <v>196</v>
      </c>
      <c r="L13">
        <f>SUBTOTAL(109,Table1[R&amp;D])</f>
        <v>180.75</v>
      </c>
      <c r="M13">
        <f>SUBTOTAL(109,Table1[Total])</f>
        <v>180.75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Rocket4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259</v>
      </c>
    </row>
    <row r="3" spans="1:5" x14ac:dyDescent="0.45">
      <c r="D3" s="16" t="s">
        <v>289</v>
      </c>
      <c r="E3" t="s">
        <v>228</v>
      </c>
    </row>
    <row r="5" spans="1:5" x14ac:dyDescent="0.45">
      <c r="D5" s="16" t="s">
        <v>146</v>
      </c>
      <c r="E5" t="s">
        <v>150</v>
      </c>
    </row>
    <row r="6" spans="1:5" x14ac:dyDescent="0.45">
      <c r="D6" s="17" t="s">
        <v>157</v>
      </c>
      <c r="E6" s="20">
        <v>1</v>
      </c>
    </row>
    <row r="7" spans="1:5" x14ac:dyDescent="0.45">
      <c r="D7" s="17" t="s">
        <v>155</v>
      </c>
      <c r="E7" s="20">
        <v>1</v>
      </c>
    </row>
    <row r="8" spans="1:5" x14ac:dyDescent="0.45">
      <c r="D8" s="17" t="s">
        <v>154</v>
      </c>
      <c r="E8" s="20">
        <v>1</v>
      </c>
    </row>
    <row r="9" spans="1:5" x14ac:dyDescent="0.45">
      <c r="D9" s="17" t="s">
        <v>182</v>
      </c>
      <c r="E9" s="20">
        <v>1</v>
      </c>
    </row>
    <row r="10" spans="1:5" x14ac:dyDescent="0.45">
      <c r="D10" s="17" t="s">
        <v>153</v>
      </c>
      <c r="E10" s="20">
        <v>1</v>
      </c>
    </row>
    <row r="11" spans="1:5" x14ac:dyDescent="0.45">
      <c r="D11" s="17" t="s">
        <v>156</v>
      </c>
      <c r="E11" s="20">
        <v>1</v>
      </c>
    </row>
    <row r="12" spans="1:5" x14ac:dyDescent="0.45">
      <c r="D12" s="17" t="s">
        <v>193</v>
      </c>
      <c r="E12" s="20">
        <v>10</v>
      </c>
    </row>
    <row r="13" spans="1:5" x14ac:dyDescent="0.45">
      <c r="D13" s="17" t="s">
        <v>50</v>
      </c>
      <c r="E13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160</v>
      </c>
      <c r="E16" t="str">
        <f>"Sprint " &amp; SUBSTITUTE($B$1,"Quasar", "") &amp; " Progress"</f>
        <v>Sprint Rocket4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A4" sqref="A4"/>
    </sheetView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227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280</v>
      </c>
      <c r="AT1" s="1" t="s">
        <v>289</v>
      </c>
      <c r="AU1" s="1" t="s">
        <v>226</v>
      </c>
      <c r="AV1" s="3" t="s">
        <v>232</v>
      </c>
    </row>
    <row r="2" spans="1:48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281</v>
      </c>
      <c r="AT2" s="15" t="s">
        <v>290</v>
      </c>
      <c r="AU2" s="15" t="s">
        <v>230</v>
      </c>
      <c r="AV2" s="5" t="s">
        <v>11</v>
      </c>
    </row>
    <row r="3" spans="1:48" x14ac:dyDescent="0.45">
      <c r="A3" s="3" t="s">
        <v>55</v>
      </c>
    </row>
    <row r="4" spans="1:48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256</v>
      </c>
      <c r="AG4" s="5" t="s">
        <v>227</v>
      </c>
      <c r="AI4" s="5" t="s">
        <v>153</v>
      </c>
      <c r="AJ4" s="10" t="s">
        <v>276</v>
      </c>
      <c r="AL4" s="4" t="s">
        <v>56</v>
      </c>
      <c r="AM4" s="4" t="s">
        <v>56</v>
      </c>
      <c r="AN4" s="4"/>
      <c r="AO4" s="4"/>
      <c r="AP4" s="4"/>
      <c r="AQ4" s="4"/>
      <c r="AT4" s="5" t="s">
        <v>228</v>
      </c>
    </row>
    <row r="5" spans="1:48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257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  <c r="AU5" s="5" t="s">
        <v>228</v>
      </c>
    </row>
    <row r="6" spans="1:48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258</v>
      </c>
      <c r="AI6" s="5" t="s">
        <v>154</v>
      </c>
      <c r="AJ6" s="5" t="s">
        <v>234</v>
      </c>
      <c r="AL6" s="4" t="s">
        <v>255</v>
      </c>
      <c r="AM6" s="4" t="s">
        <v>57</v>
      </c>
      <c r="AN6" s="4"/>
      <c r="AO6" s="4"/>
      <c r="AP6" s="4"/>
      <c r="AQ6" s="4"/>
      <c r="AT6" s="5" t="s">
        <v>228</v>
      </c>
      <c r="AU6" s="5" t="s">
        <v>228</v>
      </c>
    </row>
    <row r="7" spans="1:48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259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U7" s="5" t="s">
        <v>228</v>
      </c>
    </row>
    <row r="8" spans="1:48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260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228</v>
      </c>
      <c r="AU8" s="5" t="s">
        <v>229</v>
      </c>
    </row>
    <row r="9" spans="1:48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261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228</v>
      </c>
      <c r="AU9" s="5" t="s">
        <v>229</v>
      </c>
    </row>
    <row r="10" spans="1:48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256</v>
      </c>
      <c r="AI10" s="5" t="s">
        <v>158</v>
      </c>
      <c r="AL10" s="4" t="s">
        <v>255</v>
      </c>
      <c r="AM10" s="4" t="s">
        <v>60</v>
      </c>
      <c r="AN10" s="4"/>
      <c r="AO10" s="4"/>
      <c r="AP10" s="4"/>
      <c r="AQ10" s="4"/>
      <c r="AT10" s="5" t="s">
        <v>228</v>
      </c>
      <c r="AU10" s="5" t="s">
        <v>229</v>
      </c>
    </row>
    <row r="11" spans="1:48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257</v>
      </c>
      <c r="AL11" s="4" t="s">
        <v>53</v>
      </c>
      <c r="AM11" s="4" t="s">
        <v>53</v>
      </c>
      <c r="AN11" s="4"/>
      <c r="AO11" s="4"/>
      <c r="AP11" s="4"/>
      <c r="AQ11" s="4"/>
      <c r="AT11" s="5" t="s">
        <v>228</v>
      </c>
    </row>
    <row r="12" spans="1:48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258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  <c r="AT12" s="5" t="s">
        <v>228</v>
      </c>
    </row>
    <row r="13" spans="1:48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259</v>
      </c>
      <c r="AF13" s="5" t="s">
        <v>242</v>
      </c>
      <c r="AL13" s="4"/>
      <c r="AM13" s="4"/>
      <c r="AN13" s="4"/>
      <c r="AO13" s="4"/>
      <c r="AP13" s="4"/>
      <c r="AQ13" s="4"/>
      <c r="AT13" s="5" t="s">
        <v>228</v>
      </c>
    </row>
    <row r="14" spans="1:48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260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  <c r="AU14" s="5" t="s">
        <v>228</v>
      </c>
    </row>
    <row r="15" spans="1:48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261</v>
      </c>
      <c r="AF15" s="5" t="s">
        <v>244</v>
      </c>
      <c r="AL15" s="4"/>
      <c r="AM15" s="4"/>
      <c r="AN15" s="4"/>
      <c r="AO15" s="4"/>
      <c r="AP15" s="4"/>
      <c r="AQ15" s="4"/>
      <c r="AT15" s="5" t="s">
        <v>228</v>
      </c>
    </row>
    <row r="16" spans="1:48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256</v>
      </c>
      <c r="AF16" s="5" t="s">
        <v>245</v>
      </c>
      <c r="AS16" s="5" t="s">
        <v>282</v>
      </c>
      <c r="AT16" s="5" t="s">
        <v>228</v>
      </c>
    </row>
    <row r="17" spans="1:46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257</v>
      </c>
      <c r="AF17" s="5" t="s">
        <v>246</v>
      </c>
      <c r="AS17" s="5" t="s">
        <v>283</v>
      </c>
      <c r="AT17" s="5" t="s">
        <v>228</v>
      </c>
    </row>
    <row r="18" spans="1:46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258</v>
      </c>
      <c r="AF18" s="5" t="s">
        <v>241</v>
      </c>
      <c r="AS18" s="5" t="s">
        <v>284</v>
      </c>
      <c r="AT18" s="5" t="s">
        <v>228</v>
      </c>
    </row>
    <row r="19" spans="1:46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259</v>
      </c>
      <c r="AF19" s="5" t="s">
        <v>242</v>
      </c>
      <c r="AS19" s="5" t="s">
        <v>285</v>
      </c>
      <c r="AT19" s="5" t="s">
        <v>228</v>
      </c>
    </row>
    <row r="20" spans="1:46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260</v>
      </c>
      <c r="AF20" s="5" t="s">
        <v>243</v>
      </c>
      <c r="AS20" s="5" t="s">
        <v>286</v>
      </c>
      <c r="AT20" s="5" t="s">
        <v>228</v>
      </c>
    </row>
    <row r="21" spans="1:46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261</v>
      </c>
      <c r="AF21" s="5" t="s">
        <v>244</v>
      </c>
      <c r="AS21" s="5" t="s">
        <v>287</v>
      </c>
      <c r="AT21" s="5" t="s">
        <v>228</v>
      </c>
    </row>
    <row r="22" spans="1:46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256</v>
      </c>
      <c r="AF22" s="5" t="s">
        <v>245</v>
      </c>
      <c r="AS22" s="5" t="s">
        <v>288</v>
      </c>
      <c r="AT22" s="5" t="s">
        <v>228</v>
      </c>
    </row>
    <row r="23" spans="1:46" ht="26.25" x14ac:dyDescent="0.45">
      <c r="A23" s="5" t="s">
        <v>51</v>
      </c>
      <c r="E23" s="19" t="s">
        <v>111</v>
      </c>
      <c r="AE23" s="5" t="s">
        <v>257</v>
      </c>
      <c r="AF23" s="5" t="s">
        <v>246</v>
      </c>
      <c r="AT23" s="5" t="s">
        <v>228</v>
      </c>
    </row>
    <row r="24" spans="1:46" x14ac:dyDescent="0.45">
      <c r="A24" s="5" t="s">
        <v>51</v>
      </c>
      <c r="E24" s="19" t="s">
        <v>112</v>
      </c>
      <c r="AE24" s="5" t="s">
        <v>258</v>
      </c>
      <c r="AF24" s="5" t="s">
        <v>241</v>
      </c>
      <c r="AT24" s="5" t="s">
        <v>228</v>
      </c>
    </row>
    <row r="25" spans="1:46" x14ac:dyDescent="0.45">
      <c r="A25" s="5" t="s">
        <v>51</v>
      </c>
      <c r="E25" s="19" t="s">
        <v>113</v>
      </c>
      <c r="AE25" s="5" t="s">
        <v>259</v>
      </c>
      <c r="AF25" s="5" t="s">
        <v>241</v>
      </c>
      <c r="AT25" s="5" t="s">
        <v>228</v>
      </c>
    </row>
    <row r="26" spans="1:46" x14ac:dyDescent="0.45">
      <c r="A26" s="5" t="s">
        <v>51</v>
      </c>
      <c r="E26" s="19" t="s">
        <v>114</v>
      </c>
      <c r="AT26" s="5" t="s">
        <v>228</v>
      </c>
    </row>
    <row r="27" spans="1:46" x14ac:dyDescent="0.45">
      <c r="A27" s="5" t="s">
        <v>51</v>
      </c>
      <c r="B27" s="5" t="s">
        <v>70</v>
      </c>
      <c r="E27" s="19" t="s">
        <v>115</v>
      </c>
      <c r="N27" s="5">
        <v>30</v>
      </c>
      <c r="AT27" s="5" t="s">
        <v>228</v>
      </c>
    </row>
    <row r="28" spans="1:46" ht="26.25" x14ac:dyDescent="0.45">
      <c r="A28" s="5" t="s">
        <v>51</v>
      </c>
      <c r="E28" s="19" t="s">
        <v>116</v>
      </c>
      <c r="AT28" s="5" t="s">
        <v>228</v>
      </c>
    </row>
    <row r="29" spans="1:46" x14ac:dyDescent="0.45">
      <c r="A29" s="5" t="s">
        <v>51</v>
      </c>
      <c r="E29" s="19" t="s">
        <v>73</v>
      </c>
      <c r="AT29" s="5" t="s">
        <v>228</v>
      </c>
    </row>
    <row r="30" spans="1:46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Rocket4</v>
      </c>
      <c r="AI30" s="5" t="s">
        <v>153</v>
      </c>
      <c r="AT30" s="5" t="s">
        <v>228</v>
      </c>
    </row>
    <row r="31" spans="1:46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Rocket4</v>
      </c>
      <c r="AI31" s="5" t="s">
        <v>182</v>
      </c>
      <c r="AT31" s="5" t="s">
        <v>228</v>
      </c>
    </row>
    <row r="32" spans="1:46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Rocket4</v>
      </c>
      <c r="AI32" s="5" t="s">
        <v>154</v>
      </c>
      <c r="AT32" s="5" t="s">
        <v>228</v>
      </c>
    </row>
    <row r="33" spans="1:46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Rocket4</v>
      </c>
      <c r="AI33" s="5" t="s">
        <v>155</v>
      </c>
      <c r="AT33" s="5" t="s">
        <v>228</v>
      </c>
    </row>
    <row r="34" spans="1:46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Rocket4</v>
      </c>
      <c r="AI34" s="5" t="s">
        <v>157</v>
      </c>
      <c r="AT34" s="5" t="s">
        <v>228</v>
      </c>
    </row>
    <row r="35" spans="1:46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Rocket4</v>
      </c>
      <c r="AI35" s="5" t="s">
        <v>156</v>
      </c>
      <c r="AT35" s="5" t="s">
        <v>228</v>
      </c>
    </row>
    <row r="36" spans="1:46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Rocket4</v>
      </c>
      <c r="AI36" s="5" t="s">
        <v>158</v>
      </c>
      <c r="AT36" s="5" t="s">
        <v>228</v>
      </c>
    </row>
    <row r="37" spans="1:46" x14ac:dyDescent="0.45">
      <c r="A37" s="5" t="s">
        <v>51</v>
      </c>
      <c r="E37" s="19" t="s">
        <v>81</v>
      </c>
      <c r="AT37" s="5" t="s">
        <v>228</v>
      </c>
    </row>
    <row r="38" spans="1:46" x14ac:dyDescent="0.45">
      <c r="A38" s="5" t="s">
        <v>51</v>
      </c>
      <c r="E38" s="19" t="s">
        <v>82</v>
      </c>
      <c r="AT38" s="5" t="s">
        <v>228</v>
      </c>
    </row>
    <row r="39" spans="1:46" x14ac:dyDescent="0.45">
      <c r="A39" s="5" t="s">
        <v>51</v>
      </c>
      <c r="E39" s="19" t="s">
        <v>83</v>
      </c>
      <c r="AT39" s="5" t="s">
        <v>228</v>
      </c>
    </row>
    <row r="40" spans="1:46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  <c r="AT40" s="5" t="s">
        <v>228</v>
      </c>
    </row>
    <row r="41" spans="1:46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  <c r="AT41" s="5" t="s">
        <v>228</v>
      </c>
    </row>
    <row r="42" spans="1:46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  <c r="AT42" s="5" t="s">
        <v>228</v>
      </c>
    </row>
    <row r="43" spans="1:46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  <c r="AT43" s="5" t="s">
        <v>228</v>
      </c>
    </row>
    <row r="44" spans="1:46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  <c r="AT44" s="5" t="s">
        <v>228</v>
      </c>
    </row>
    <row r="45" spans="1:46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  <c r="AT45" s="5" t="s">
        <v>228</v>
      </c>
    </row>
    <row r="46" spans="1:46" ht="26.25" x14ac:dyDescent="0.45">
      <c r="A46" s="5" t="s">
        <v>51</v>
      </c>
      <c r="E46" s="19" t="s">
        <v>90</v>
      </c>
      <c r="AT46" s="5" t="s">
        <v>228</v>
      </c>
    </row>
    <row r="47" spans="1:46" x14ac:dyDescent="0.45">
      <c r="A47" s="5" t="s">
        <v>51</v>
      </c>
      <c r="E47" s="19" t="s">
        <v>91</v>
      </c>
      <c r="AT47" s="5" t="s">
        <v>228</v>
      </c>
    </row>
    <row r="48" spans="1:46" x14ac:dyDescent="0.45">
      <c r="A48" s="3" t="s">
        <v>51</v>
      </c>
      <c r="AT48" s="5" t="s">
        <v>228</v>
      </c>
    </row>
    <row r="49" spans="1:46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  <c r="AT49" s="5" t="s">
        <v>228</v>
      </c>
    </row>
    <row r="50" spans="1:46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6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  <c r="AT51" s="5" t="s">
        <v>228</v>
      </c>
    </row>
    <row r="52" spans="1:46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276</v>
      </c>
      <c r="AL52" s="4" t="s">
        <v>58</v>
      </c>
      <c r="AN52" s="5">
        <v>30</v>
      </c>
      <c r="AO52" s="5">
        <v>60</v>
      </c>
      <c r="AP52" s="5">
        <v>40</v>
      </c>
      <c r="AT52" s="5" t="s">
        <v>228</v>
      </c>
    </row>
    <row r="53" spans="1:46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  <c r="AT53" s="5" t="s">
        <v>228</v>
      </c>
    </row>
    <row r="54" spans="1:46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  <c r="AT54" s="5" t="s">
        <v>228</v>
      </c>
    </row>
    <row r="55" spans="1:46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  <c r="AT55" s="5" t="s">
        <v>228</v>
      </c>
    </row>
    <row r="56" spans="1:46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  <c r="AT56" s="5" t="s">
        <v>228</v>
      </c>
    </row>
    <row r="57" spans="1:46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  <c r="AT57" s="5" t="s">
        <v>228</v>
      </c>
    </row>
    <row r="58" spans="1:46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  <c r="AT58" s="5" t="s">
        <v>228</v>
      </c>
    </row>
    <row r="59" spans="1:46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  <c r="AT59" s="5" t="s">
        <v>228</v>
      </c>
    </row>
    <row r="60" spans="1:46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  <c r="AT60" s="5" t="s">
        <v>228</v>
      </c>
    </row>
    <row r="61" spans="1:46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  <c r="AT61" s="5" t="s">
        <v>228</v>
      </c>
    </row>
    <row r="62" spans="1:46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  <c r="AT62" s="5" t="s">
        <v>228</v>
      </c>
    </row>
    <row r="63" spans="1:46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  <c r="AT63" s="5" t="s">
        <v>228</v>
      </c>
    </row>
    <row r="64" spans="1:46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  <c r="AT64" s="5" t="s">
        <v>228</v>
      </c>
    </row>
    <row r="65" spans="1:46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  <c r="AT65" s="5" t="s">
        <v>228</v>
      </c>
    </row>
    <row r="66" spans="1:46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  <c r="AT66" s="5" t="s">
        <v>228</v>
      </c>
    </row>
    <row r="67" spans="1:46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255</v>
      </c>
      <c r="AT67" s="5" t="s">
        <v>228</v>
      </c>
    </row>
    <row r="68" spans="1:46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255</v>
      </c>
      <c r="AT68" s="5" t="s">
        <v>228</v>
      </c>
    </row>
    <row r="69" spans="1:46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255</v>
      </c>
      <c r="AT69" s="5" t="s">
        <v>228</v>
      </c>
    </row>
    <row r="70" spans="1:46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255</v>
      </c>
      <c r="AT70" s="5" t="s">
        <v>228</v>
      </c>
    </row>
    <row r="71" spans="1:46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255</v>
      </c>
      <c r="AT71" s="5" t="s">
        <v>228</v>
      </c>
    </row>
    <row r="72" spans="1:46" x14ac:dyDescent="0.45">
      <c r="A72" s="5" t="s">
        <v>51</v>
      </c>
      <c r="AT72" s="5" t="s">
        <v>228</v>
      </c>
    </row>
    <row r="73" spans="1:46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276</v>
      </c>
      <c r="AT73" s="5" t="s">
        <v>228</v>
      </c>
    </row>
    <row r="74" spans="1:46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  <c r="AT74" s="5" t="s">
        <v>228</v>
      </c>
    </row>
    <row r="75" spans="1:46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  <c r="AT75" s="5" t="s">
        <v>228</v>
      </c>
    </row>
    <row r="76" spans="1:46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  <c r="AT76" s="5" t="s">
        <v>228</v>
      </c>
    </row>
    <row r="77" spans="1:46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  <c r="AT77" s="5" t="s">
        <v>228</v>
      </c>
    </row>
    <row r="78" spans="1:46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</row>
    <row r="79" spans="1:46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279</v>
      </c>
      <c r="AL79" s="4" t="s">
        <v>56</v>
      </c>
      <c r="AT79" s="5" t="s">
        <v>228</v>
      </c>
    </row>
    <row r="80" spans="1:46" x14ac:dyDescent="0.45">
      <c r="A80" s="5" t="s">
        <v>51</v>
      </c>
      <c r="B80" s="5" t="s">
        <v>68</v>
      </c>
      <c r="E80" s="19" t="s">
        <v>106</v>
      </c>
      <c r="N80" s="5">
        <v>30</v>
      </c>
      <c r="P80" s="5">
        <v>200</v>
      </c>
      <c r="AF80" s="5" t="s">
        <v>243</v>
      </c>
      <c r="AG80" s="5" t="s">
        <v>227</v>
      </c>
      <c r="AJ80" s="5" t="s">
        <v>291</v>
      </c>
      <c r="AL80" s="4" t="s">
        <v>58</v>
      </c>
      <c r="AT80" s="5" t="s">
        <v>228</v>
      </c>
    </row>
    <row r="81" spans="1:46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  <c r="AT81" s="5" t="s">
        <v>228</v>
      </c>
    </row>
    <row r="82" spans="1:46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255</v>
      </c>
      <c r="AT82" s="5" t="s">
        <v>228</v>
      </c>
    </row>
    <row r="83" spans="1:46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  <c r="AT83" s="5" t="s">
        <v>228</v>
      </c>
    </row>
    <row r="84" spans="1:46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  <c r="AT84" s="5" t="s">
        <v>228</v>
      </c>
    </row>
    <row r="85" spans="1:46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  <c r="AT85" s="5" t="s">
        <v>228</v>
      </c>
    </row>
    <row r="86" spans="1:46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  <c r="AT86" s="5" t="s">
        <v>228</v>
      </c>
    </row>
    <row r="87" spans="1:46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255</v>
      </c>
      <c r="AT87" s="5" t="s">
        <v>228</v>
      </c>
    </row>
    <row r="88" spans="1:46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  <c r="AT88" s="5" t="s">
        <v>228</v>
      </c>
    </row>
    <row r="89" spans="1:46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  <c r="AT89" s="5" t="s">
        <v>228</v>
      </c>
    </row>
    <row r="90" spans="1:46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  <c r="AT90" s="5" t="s">
        <v>228</v>
      </c>
    </row>
    <row r="91" spans="1:46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  <c r="AT91" s="5" t="s">
        <v>228</v>
      </c>
    </row>
    <row r="92" spans="1:46" x14ac:dyDescent="0.45">
      <c r="A92" s="5" t="s">
        <v>51</v>
      </c>
      <c r="AT92" s="5" t="s">
        <v>228</v>
      </c>
    </row>
    <row r="93" spans="1:46" x14ac:dyDescent="0.45">
      <c r="A93" s="5" t="s">
        <v>51</v>
      </c>
      <c r="B93" s="5" t="s">
        <v>61</v>
      </c>
      <c r="E93" s="19" t="s">
        <v>262</v>
      </c>
      <c r="AT93" s="5" t="s">
        <v>228</v>
      </c>
    </row>
    <row r="94" spans="1:46" x14ac:dyDescent="0.45">
      <c r="A94" s="5" t="s">
        <v>51</v>
      </c>
      <c r="B94" s="5" t="s">
        <v>61</v>
      </c>
      <c r="E94" s="19" t="s">
        <v>263</v>
      </c>
      <c r="AT94" s="5" t="s">
        <v>228</v>
      </c>
    </row>
    <row r="95" spans="1:46" x14ac:dyDescent="0.45">
      <c r="A95" s="5" t="s">
        <v>51</v>
      </c>
      <c r="B95" s="5" t="s">
        <v>61</v>
      </c>
      <c r="E95" s="19" t="s">
        <v>264</v>
      </c>
      <c r="AT95" s="5" t="s">
        <v>228</v>
      </c>
    </row>
    <row r="96" spans="1:46" ht="26.25" x14ac:dyDescent="0.45">
      <c r="A96" s="5" t="s">
        <v>51</v>
      </c>
      <c r="B96" s="5" t="s">
        <v>61</v>
      </c>
      <c r="E96" s="19" t="s">
        <v>265</v>
      </c>
      <c r="AT96" s="5" t="s">
        <v>228</v>
      </c>
    </row>
    <row r="97" spans="1:47" x14ac:dyDescent="0.45">
      <c r="A97" s="5" t="s">
        <v>51</v>
      </c>
      <c r="B97" s="5" t="s">
        <v>61</v>
      </c>
      <c r="E97" s="19" t="s">
        <v>266</v>
      </c>
      <c r="AT97" s="5" t="s">
        <v>228</v>
      </c>
    </row>
    <row r="98" spans="1:47" ht="26.25" x14ac:dyDescent="0.45">
      <c r="A98" s="5" t="s">
        <v>51</v>
      </c>
      <c r="B98" s="5" t="s">
        <v>61</v>
      </c>
      <c r="E98" s="19" t="s">
        <v>267</v>
      </c>
      <c r="AT98" s="5" t="s">
        <v>228</v>
      </c>
    </row>
    <row r="99" spans="1:47" x14ac:dyDescent="0.45">
      <c r="A99" s="5" t="s">
        <v>51</v>
      </c>
      <c r="B99" s="5" t="s">
        <v>61</v>
      </c>
      <c r="E99" s="19" t="s">
        <v>268</v>
      </c>
      <c r="AT99" s="5" t="s">
        <v>228</v>
      </c>
    </row>
    <row r="100" spans="1:47" ht="39.4" x14ac:dyDescent="0.45">
      <c r="A100" s="5" t="s">
        <v>51</v>
      </c>
      <c r="B100" s="5" t="s">
        <v>61</v>
      </c>
      <c r="E100" s="19" t="s">
        <v>269</v>
      </c>
      <c r="AT100" s="5" t="s">
        <v>228</v>
      </c>
    </row>
    <row r="101" spans="1:47" ht="26.25" x14ac:dyDescent="0.45">
      <c r="A101" s="5" t="s">
        <v>51</v>
      </c>
      <c r="B101" s="5" t="s">
        <v>61</v>
      </c>
      <c r="E101" s="19" t="s">
        <v>270</v>
      </c>
      <c r="AT101" s="5" t="s">
        <v>228</v>
      </c>
    </row>
    <row r="102" spans="1:47" ht="26.25" x14ac:dyDescent="0.45">
      <c r="A102" s="5" t="s">
        <v>51</v>
      </c>
      <c r="B102" s="5" t="s">
        <v>61</v>
      </c>
      <c r="E102" s="19" t="s">
        <v>271</v>
      </c>
      <c r="AT102" s="5" t="s">
        <v>228</v>
      </c>
    </row>
    <row r="103" spans="1:47" ht="26.25" x14ac:dyDescent="0.45">
      <c r="A103" s="5" t="s">
        <v>51</v>
      </c>
      <c r="B103" s="5" t="s">
        <v>61</v>
      </c>
      <c r="E103" s="19" t="s">
        <v>272</v>
      </c>
      <c r="AT103" s="5" t="s">
        <v>228</v>
      </c>
    </row>
    <row r="104" spans="1:47" ht="26.25" x14ac:dyDescent="0.45">
      <c r="A104" s="5" t="s">
        <v>51</v>
      </c>
      <c r="B104" s="5" t="s">
        <v>61</v>
      </c>
      <c r="E104" s="19" t="s">
        <v>273</v>
      </c>
      <c r="AT104" s="5" t="s">
        <v>228</v>
      </c>
    </row>
    <row r="105" spans="1:47" x14ac:dyDescent="0.45">
      <c r="A105" s="5" t="s">
        <v>51</v>
      </c>
      <c r="B105" s="5" t="s">
        <v>61</v>
      </c>
      <c r="E105" s="19" t="s">
        <v>274</v>
      </c>
      <c r="AT105" s="5" t="s">
        <v>228</v>
      </c>
      <c r="AU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Normal="100" workbookViewId="0"/>
  </sheetViews>
  <sheetFormatPr defaultRowHeight="14.25" x14ac:dyDescent="0.45"/>
  <cols>
    <col min="1" max="1" width="14.33203125" bestFit="1" customWidth="1"/>
    <col min="2" max="2" width="8.73046875" bestFit="1" customWidth="1"/>
    <col min="3" max="3" width="10.19921875" bestFit="1" customWidth="1"/>
    <col min="4" max="4" width="14.33203125" bestFit="1" customWidth="1"/>
    <col min="5" max="5" width="18.06640625" bestFit="1" customWidth="1"/>
    <col min="6" max="6" width="16.86328125" bestFit="1" customWidth="1"/>
    <col min="7" max="7" width="22.46484375" bestFit="1" customWidth="1"/>
    <col min="8" max="8" width="12.73046875" bestFit="1" customWidth="1"/>
    <col min="9" max="9" width="12" customWidth="1"/>
    <col min="10" max="10" width="22.4648437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59765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278</v>
      </c>
      <c r="L1" t="s">
        <v>234</v>
      </c>
      <c r="M1" t="s">
        <v>141</v>
      </c>
      <c r="N1" t="s">
        <v>237</v>
      </c>
      <c r="O1" t="s">
        <v>234</v>
      </c>
      <c r="P1" t="s">
        <v>276</v>
      </c>
      <c r="Q1" s="80" t="s">
        <v>141</v>
      </c>
      <c r="R1" s="80"/>
      <c r="S1" s="80" t="s">
        <v>237</v>
      </c>
      <c r="T1" s="80"/>
      <c r="U1" s="80" t="s">
        <v>234</v>
      </c>
      <c r="V1" s="80"/>
      <c r="W1" s="80" t="s">
        <v>277</v>
      </c>
      <c r="X1" s="80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MAX(NETWORKDAYS($D$3,$E$6,$Z$4:$Z$9)/NETWORKDAYS($D$3,$E$3,$Z$4:$Z$9),0%)</f>
        <v>0.57407407407407407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0.42592592592592593</v>
      </c>
      <c r="D3" s="26">
        <v>43397</v>
      </c>
      <c r="E3" s="27">
        <v>43480</v>
      </c>
      <c r="J3" s="34"/>
      <c r="K3" s="33">
        <v>0</v>
      </c>
      <c r="L3" s="33">
        <v>0</v>
      </c>
      <c r="M3" s="66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469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43458</v>
      </c>
      <c r="AB3" s="16" t="s">
        <v>289</v>
      </c>
      <c r="AC3" t="s">
        <v>228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9" si="0">NETWORKDAYS(H4,I4,$Z$3:$Z$9)</f>
        <v>10</v>
      </c>
      <c r="K4" s="36">
        <f>SUM($J$4:J4)/SUM($J$4:$J$9)</f>
        <v>0.18867924528301888</v>
      </c>
      <c r="L4" s="36">
        <f>SUM($J$4:J4)/SUM($J$4:$J$9)</f>
        <v>0.18867924528301888</v>
      </c>
      <c r="M4" s="65">
        <v>0.151</v>
      </c>
      <c r="N4" s="33">
        <v>0.16</v>
      </c>
      <c r="O4" s="33">
        <v>0.23</v>
      </c>
      <c r="P4" s="33">
        <v>0.24</v>
      </c>
      <c r="Q4" s="40">
        <f>Q25*(100%-K4)</f>
        <v>231.22641509433964</v>
      </c>
      <c r="R4" s="40">
        <v>306.8</v>
      </c>
      <c r="S4" s="42">
        <f>Q26*(100%-K4)</f>
        <v>40.566037735849058</v>
      </c>
      <c r="T4" s="40">
        <v>37</v>
      </c>
      <c r="U4" s="40">
        <f>Q27*(100%-L4)</f>
        <v>40.566037735849058</v>
      </c>
      <c r="V4" s="40">
        <v>37</v>
      </c>
      <c r="W4" s="40">
        <f>Q28*(100%-K4)</f>
        <v>60.84905660377359</v>
      </c>
      <c r="X4" s="40">
        <v>72.8</v>
      </c>
      <c r="Z4" s="32">
        <v>43459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0.37735849056603776</v>
      </c>
      <c r="L5" s="36">
        <f>SUM($J$4:J5)/SUM($J$4:$J$9)</f>
        <v>0.37735849056603776</v>
      </c>
      <c r="M5" s="65">
        <v>0.35510000000000003</v>
      </c>
      <c r="N5" s="33">
        <v>0.65</v>
      </c>
      <c r="O5" s="33">
        <v>0.42</v>
      </c>
      <c r="P5" s="33">
        <v>0.41</v>
      </c>
      <c r="Q5" s="40">
        <f>Q25*(100%-K5)</f>
        <v>177.45283018867923</v>
      </c>
      <c r="R5" s="40">
        <v>207.5</v>
      </c>
      <c r="S5" s="42">
        <f>Q26*(100%-K5)</f>
        <v>31.132075471698112</v>
      </c>
      <c r="T5" s="40">
        <v>17</v>
      </c>
      <c r="U5" s="40">
        <f>Q27*(100%-L5)</f>
        <v>31.132075471698112</v>
      </c>
      <c r="V5" s="40">
        <v>28</v>
      </c>
      <c r="W5" s="40">
        <f>Q28*(100%-K5)</f>
        <v>46.698113207547166</v>
      </c>
      <c r="X5" s="40">
        <v>48.5</v>
      </c>
      <c r="Z5" s="32">
        <v>43460</v>
      </c>
      <c r="AB5" s="16" t="s">
        <v>146</v>
      </c>
      <c r="AC5" t="s">
        <v>118</v>
      </c>
      <c r="AD5" t="s">
        <v>117</v>
      </c>
    </row>
    <row r="6" spans="1:30" x14ac:dyDescent="0.45">
      <c r="A6" t="s">
        <v>143</v>
      </c>
      <c r="B6" s="44">
        <f>100%-GETPIVOTDATA("Epic Remaining Estimate",$AB$4)/GETPIVOTDATA("Epic Total Estimate",$AB$4)</f>
        <v>0.83334490660370808</v>
      </c>
      <c r="C6" s="21"/>
      <c r="D6" s="21" t="s">
        <v>191</v>
      </c>
      <c r="E6" s="25">
        <f ca="1">TODAY()</f>
        <v>43439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0.56603773584905659</v>
      </c>
      <c r="L6" s="36">
        <f>SUM($J$4:J6)/SUM($J$4:$J$9)</f>
        <v>0.56603773584905659</v>
      </c>
      <c r="M6" s="65">
        <v>0.49530000000000002</v>
      </c>
      <c r="N6" s="33">
        <v>0.98</v>
      </c>
      <c r="O6" s="33">
        <v>0.54</v>
      </c>
      <c r="P6" s="33">
        <v>0.59</v>
      </c>
      <c r="Q6" s="40">
        <f>Q25*(100%-K6)</f>
        <v>123.67924528301887</v>
      </c>
      <c r="R6" s="40">
        <v>173.5</v>
      </c>
      <c r="S6" s="42">
        <f>Q26*(100%-K6)</f>
        <v>21.69811320754717</v>
      </c>
      <c r="T6" s="40">
        <v>1</v>
      </c>
      <c r="U6" s="40">
        <f>Q27*(100%-L6)</f>
        <v>21.69811320754717</v>
      </c>
      <c r="V6" s="40">
        <v>24</v>
      </c>
      <c r="W6" s="40">
        <f>Q28*(100%-K6)</f>
        <v>32.547169811320757</v>
      </c>
      <c r="X6" s="40">
        <v>33.5</v>
      </c>
      <c r="Z6" s="32">
        <v>43461</v>
      </c>
      <c r="AB6" s="17" t="s">
        <v>193</v>
      </c>
      <c r="AC6" s="20">
        <v>1400.125</v>
      </c>
      <c r="AD6" s="20"/>
    </row>
    <row r="7" spans="1:30" x14ac:dyDescent="0.45">
      <c r="A7" t="s">
        <v>144</v>
      </c>
      <c r="B7" s="30">
        <f>MAX(100%,B6)-B6</f>
        <v>0.16665509339629192</v>
      </c>
      <c r="D7" s="21"/>
      <c r="E7" s="20"/>
      <c r="G7" s="23" t="s">
        <v>244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0.75471698113207553</v>
      </c>
      <c r="L7" s="36">
        <f>SUM($J$4:J7)/SUM($J$4:$J$9)</f>
        <v>0.75471698113207553</v>
      </c>
      <c r="M7" s="65">
        <f>100%-GETPIVOTDATA("Epic Remaining Estimate",$AB$4)/GETPIVOTDATA("Epic Total Estimate",$AB$4)</f>
        <v>0.83334490660370808</v>
      </c>
      <c r="N7" s="33" t="e">
        <f>100%-GETPIVOTDATA("Epic Remaining Estimate",$AB$4,"ST:Components","Cross Project Move")/GETPIVOTDATA("Epic Total Estimate",$AB$4,"ST:Components","Cross Project Move")</f>
        <v>#REF!</v>
      </c>
      <c r="O7" s="33">
        <f>100%-GETPIVOTDATA("Epic Remaining Estimate",$AB$4,"ST:Components","Excel Import")/GETPIVOTDATA("Epic Total Estimate",$AB$4,"ST:Components","Excel Import")</f>
        <v>0.25</v>
      </c>
      <c r="P7" s="33">
        <f>100%-GETPIVOTDATA("Epic Remaining Estimate",$AB$4,"ST:Components","Diagram Editor")/GETPIVOTDATA("Epic Total Estimate",$AB$4,"ST:Components","Diagram Editor")</f>
        <v>0.25</v>
      </c>
      <c r="Q7" s="40">
        <f>Q25*(100%-K7)</f>
        <v>69.905660377358473</v>
      </c>
      <c r="R7" s="40">
        <f>GETPIVOTDATA("Epic Remaining Estimate",$AB$4)</f>
        <v>300</v>
      </c>
      <c r="S7" s="42">
        <f>Q26*(100%-K7)</f>
        <v>12.264150943396224</v>
      </c>
      <c r="T7" s="40" t="e">
        <f>GETPIVOTDATA("Epic Remaining Estimate",$AB$4,"ST:Components","Cross Project Move")</f>
        <v>#REF!</v>
      </c>
      <c r="U7" s="40">
        <f>Q27*(100%-L7)</f>
        <v>12.264150943396224</v>
      </c>
      <c r="V7" s="40">
        <f>GETPIVOTDATA("Epic Remaining Estimate",$AB$4,"ST:Components","Excel Import")</f>
        <v>150</v>
      </c>
      <c r="W7" s="40">
        <f>Q28*(100%-K7)</f>
        <v>18.396226415094336</v>
      </c>
      <c r="X7" s="40">
        <f>GETPIVOTDATA("Epic Remaining Estimate",$AB$4,"ST:Components","Diagram Editor")</f>
        <v>150</v>
      </c>
      <c r="Z7" s="32">
        <v>43462</v>
      </c>
      <c r="AB7" s="17" t="s">
        <v>185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3</v>
      </c>
      <c r="K8" s="36">
        <f>SUM($J$4:J8)/SUM($J$4:$J$9)</f>
        <v>0.81132075471698117</v>
      </c>
      <c r="L8" s="36">
        <f>SUM($J$4:J8)/SUM($J$4:$J$9)</f>
        <v>0.81132075471698117</v>
      </c>
      <c r="M8" s="38"/>
      <c r="N8" s="38"/>
      <c r="O8" s="38"/>
      <c r="P8" s="38"/>
      <c r="Q8" s="40">
        <f>Q25*(100%-K8)</f>
        <v>53.773584905660364</v>
      </c>
      <c r="R8" s="41"/>
      <c r="S8" s="42">
        <f>Q26*(100%-K8)</f>
        <v>9.4339622641509422</v>
      </c>
      <c r="T8" s="41"/>
      <c r="U8" s="40">
        <f>Q27*(100%-L8)</f>
        <v>9.4339622641509422</v>
      </c>
      <c r="V8" s="41"/>
      <c r="W8" s="40">
        <f>Q28*(100%-K8)</f>
        <v>14.150943396226412</v>
      </c>
      <c r="X8" s="41"/>
      <c r="Z8" s="32">
        <v>43465</v>
      </c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0">
        <f>285*(100%-K9)</f>
        <v>0</v>
      </c>
      <c r="R9" s="41"/>
      <c r="S9" s="42">
        <f>Q26*(100%-K9)</f>
        <v>0</v>
      </c>
      <c r="T9" s="41"/>
      <c r="U9" s="40">
        <f>Q27*(100%-L9)</f>
        <v>0</v>
      </c>
      <c r="V9" s="41"/>
      <c r="W9" s="78">
        <f>Q28*(100%-K9)</f>
        <v>0</v>
      </c>
      <c r="X9" s="79"/>
      <c r="Z9" s="32">
        <v>43466</v>
      </c>
      <c r="AB9" s="17" t="s">
        <v>50</v>
      </c>
      <c r="AC9" s="20">
        <v>1800.125</v>
      </c>
      <c r="AD9" s="20">
        <v>300</v>
      </c>
    </row>
    <row r="10" spans="1:30" x14ac:dyDescent="0.45">
      <c r="A10" t="s">
        <v>143</v>
      </c>
      <c r="B10" s="44" t="e">
        <f>100%-GETPIVOTDATA("Epic Remaining Estimate",$AB$4,"ST:Components","Cross Project Move")/GETPIVOTDATA("Epic Total Estimate",$AB$4,"ST:Components","Cross Project Move")</f>
        <v>#REF!</v>
      </c>
      <c r="G10" s="68"/>
      <c r="H10" s="69"/>
      <c r="I10" s="69"/>
      <c r="J10" s="70"/>
      <c r="K10" s="71"/>
      <c r="L10" s="71"/>
      <c r="M10" s="66"/>
      <c r="N10" s="66"/>
      <c r="O10" s="66"/>
      <c r="P10" s="66"/>
      <c r="Q10" s="72"/>
      <c r="R10" s="73"/>
      <c r="S10" s="72"/>
      <c r="T10" s="73"/>
      <c r="U10" s="72"/>
      <c r="V10" s="73"/>
      <c r="W10" s="67"/>
      <c r="X10" s="67"/>
      <c r="Z10" s="32"/>
    </row>
    <row r="11" spans="1:30" x14ac:dyDescent="0.45">
      <c r="A11" t="s">
        <v>144</v>
      </c>
      <c r="B11" s="30" t="e">
        <f>MAX(100%,B10)-B10</f>
        <v>#REF!</v>
      </c>
      <c r="G11" s="74"/>
      <c r="H11" s="75"/>
      <c r="I11" s="75"/>
      <c r="J11" s="76"/>
      <c r="K11" s="77"/>
      <c r="L11" s="77"/>
      <c r="M11" s="65"/>
      <c r="N11" s="65"/>
      <c r="O11" s="65"/>
      <c r="P11" s="65"/>
      <c r="Q11" s="42"/>
      <c r="R11" s="67"/>
      <c r="S11" s="42"/>
      <c r="T11" s="67"/>
      <c r="U11" s="42"/>
      <c r="V11" s="67"/>
      <c r="W11" s="67"/>
      <c r="X11" s="67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276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MAX(NETWORKDAYS($D$3,$E$6,$Z$4:$Z$9)/NETWORKDAYS($D$3,$E$3,$Z$4:$Z$9),0%)</f>
        <v>0.57407407407407407</v>
      </c>
    </row>
    <row r="23" spans="1:24" x14ac:dyDescent="0.45">
      <c r="A23" t="s">
        <v>144</v>
      </c>
      <c r="B23" s="30">
        <f ca="1">MAX(100%,B22)-B22</f>
        <v>0.42592592592592593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C26" s="37"/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A27" s="16" t="s">
        <v>289</v>
      </c>
      <c r="B27" t="s">
        <v>228</v>
      </c>
      <c r="D27" s="16" t="s">
        <v>289</v>
      </c>
      <c r="E27" t="s">
        <v>228</v>
      </c>
      <c r="G27" s="16" t="s">
        <v>289</v>
      </c>
      <c r="H27" t="s">
        <v>228</v>
      </c>
      <c r="J27" s="16" t="s">
        <v>289</v>
      </c>
      <c r="K27" t="s">
        <v>228</v>
      </c>
      <c r="P27" t="s">
        <v>234</v>
      </c>
      <c r="Q27">
        <v>50</v>
      </c>
    </row>
    <row r="28" spans="1:24" x14ac:dyDescent="0.45">
      <c r="L28" s="16"/>
      <c r="M28" s="16"/>
      <c r="N28" s="16"/>
      <c r="O28" s="16"/>
      <c r="P28" s="16" t="s">
        <v>276</v>
      </c>
      <c r="Q28" s="16">
        <v>75</v>
      </c>
    </row>
    <row r="29" spans="1:24" x14ac:dyDescent="0.45">
      <c r="A29" s="16" t="s">
        <v>179</v>
      </c>
      <c r="D29" s="16" t="s">
        <v>179</v>
      </c>
      <c r="G29" s="16" t="s">
        <v>179</v>
      </c>
      <c r="J29" s="16" t="s">
        <v>179</v>
      </c>
    </row>
    <row r="30" spans="1:24" x14ac:dyDescent="0.45">
      <c r="A30" s="17" t="s">
        <v>180</v>
      </c>
      <c r="B30" s="20">
        <v>1500.125</v>
      </c>
      <c r="D30" s="17" t="s">
        <v>180</v>
      </c>
      <c r="E30" s="20">
        <v>0</v>
      </c>
      <c r="G30" s="17" t="s">
        <v>180</v>
      </c>
      <c r="H30" s="20">
        <v>50</v>
      </c>
      <c r="J30" s="17" t="s">
        <v>180</v>
      </c>
      <c r="K30" s="20">
        <v>50</v>
      </c>
    </row>
    <row r="31" spans="1:24" x14ac:dyDescent="0.45">
      <c r="A31" s="17" t="s">
        <v>181</v>
      </c>
      <c r="B31" s="20">
        <v>80</v>
      </c>
      <c r="D31" s="17" t="s">
        <v>181</v>
      </c>
      <c r="E31" s="20"/>
      <c r="G31" s="17" t="s">
        <v>181</v>
      </c>
      <c r="H31" s="20">
        <v>40</v>
      </c>
      <c r="J31" s="17" t="s">
        <v>181</v>
      </c>
      <c r="K31" s="20">
        <v>40</v>
      </c>
    </row>
    <row r="32" spans="1:24" x14ac:dyDescent="0.45">
      <c r="A32" s="17" t="s">
        <v>154</v>
      </c>
      <c r="B32" s="20">
        <v>120</v>
      </c>
      <c r="D32" s="17" t="s">
        <v>154</v>
      </c>
      <c r="E32" s="20"/>
      <c r="G32" s="17" t="s">
        <v>154</v>
      </c>
      <c r="H32" s="20">
        <v>60</v>
      </c>
      <c r="J32" s="17" t="s">
        <v>154</v>
      </c>
      <c r="K32" s="20">
        <v>60</v>
      </c>
    </row>
    <row r="33" spans="1:11" x14ac:dyDescent="0.45">
      <c r="A33" s="17" t="s">
        <v>182</v>
      </c>
      <c r="B33" s="20">
        <v>60</v>
      </c>
      <c r="D33" s="17" t="s">
        <v>182</v>
      </c>
      <c r="E33" s="20"/>
      <c r="G33" s="17" t="s">
        <v>182</v>
      </c>
      <c r="H33" s="20">
        <v>30</v>
      </c>
      <c r="J33" s="17" t="s">
        <v>182</v>
      </c>
      <c r="K33" s="20">
        <v>30</v>
      </c>
    </row>
    <row r="34" spans="1:11" x14ac:dyDescent="0.45">
      <c r="A34" s="17" t="s">
        <v>183</v>
      </c>
      <c r="B34" s="20">
        <v>1620.125</v>
      </c>
      <c r="D34" s="17" t="s">
        <v>183</v>
      </c>
      <c r="E34" s="20">
        <v>0</v>
      </c>
      <c r="G34" s="17" t="s">
        <v>183</v>
      </c>
      <c r="H34" s="20">
        <v>20</v>
      </c>
      <c r="J34" s="17" t="s">
        <v>183</v>
      </c>
      <c r="K34" s="20">
        <v>200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141</v>
      </c>
      <c r="B36" t="s">
        <v>193</v>
      </c>
    </row>
    <row r="37" spans="1:11" x14ac:dyDescent="0.45">
      <c r="A37" s="16" t="s">
        <v>9</v>
      </c>
      <c r="B37" t="s">
        <v>68</v>
      </c>
      <c r="D37" s="16" t="s">
        <v>141</v>
      </c>
      <c r="E37" t="s">
        <v>227</v>
      </c>
      <c r="G37" s="16" t="s">
        <v>141</v>
      </c>
      <c r="H37" t="s">
        <v>227</v>
      </c>
      <c r="J37" s="16" t="s">
        <v>141</v>
      </c>
      <c r="K37" t="s">
        <v>227</v>
      </c>
    </row>
    <row r="38" spans="1:11" x14ac:dyDescent="0.45">
      <c r="A38" s="16" t="s">
        <v>289</v>
      </c>
      <c r="B38" t="s">
        <v>228</v>
      </c>
      <c r="D38" s="16" t="s">
        <v>9</v>
      </c>
      <c r="E38" t="s">
        <v>68</v>
      </c>
      <c r="G38" s="16" t="s">
        <v>9</v>
      </c>
      <c r="H38" t="s">
        <v>68</v>
      </c>
      <c r="J38" s="16" t="s">
        <v>9</v>
      </c>
      <c r="K38" t="s">
        <v>68</v>
      </c>
    </row>
    <row r="39" spans="1:11" x14ac:dyDescent="0.45">
      <c r="D39" s="16" t="s">
        <v>20</v>
      </c>
      <c r="E39" t="s">
        <v>233</v>
      </c>
      <c r="G39" s="16" t="s">
        <v>20</v>
      </c>
      <c r="H39" t="s">
        <v>234</v>
      </c>
      <c r="J39" s="16" t="s">
        <v>20</v>
      </c>
      <c r="K39" t="s">
        <v>185</v>
      </c>
    </row>
    <row r="40" spans="1:11" x14ac:dyDescent="0.45">
      <c r="A40" t="s">
        <v>118</v>
      </c>
    </row>
    <row r="41" spans="1:11" x14ac:dyDescent="0.45">
      <c r="A41" s="20"/>
      <c r="B41">
        <f>SUM(B30:B34)</f>
        <v>3380.25</v>
      </c>
      <c r="D41" t="s">
        <v>118</v>
      </c>
      <c r="G41" t="s">
        <v>118</v>
      </c>
      <c r="J41" t="s">
        <v>118</v>
      </c>
    </row>
    <row r="42" spans="1:11" x14ac:dyDescent="0.45">
      <c r="D42" s="20">
        <v>200</v>
      </c>
      <c r="E42">
        <f>SUM(E30:E34)</f>
        <v>0</v>
      </c>
      <c r="G42" s="20">
        <v>200</v>
      </c>
      <c r="H42">
        <f>SUM(H30:H34)</f>
        <v>200</v>
      </c>
      <c r="J42" s="20">
        <v>200</v>
      </c>
      <c r="K42">
        <f>SUM(K30:K34)</f>
        <v>380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61</v>
      </c>
      <c r="G49" s="20"/>
    </row>
    <row r="50" spans="1:7" x14ac:dyDescent="0.45">
      <c r="A50" s="16" t="s">
        <v>9</v>
      </c>
      <c r="B50" t="s">
        <v>68</v>
      </c>
    </row>
    <row r="51" spans="1:7" x14ac:dyDescent="0.45">
      <c r="A51" s="16" t="s">
        <v>141</v>
      </c>
      <c r="B51" t="s">
        <v>227</v>
      </c>
      <c r="E51" s="16" t="s">
        <v>146</v>
      </c>
      <c r="F51" t="s">
        <v>150</v>
      </c>
    </row>
    <row r="52" spans="1:7" x14ac:dyDescent="0.45">
      <c r="A52" s="16" t="s">
        <v>289</v>
      </c>
      <c r="B52" t="s">
        <v>228</v>
      </c>
      <c r="E52" s="17" t="s">
        <v>282</v>
      </c>
      <c r="F52" s="20">
        <v>10</v>
      </c>
    </row>
    <row r="53" spans="1:7" x14ac:dyDescent="0.45">
      <c r="E53" s="17" t="s">
        <v>284</v>
      </c>
      <c r="F53" s="20">
        <v>10</v>
      </c>
    </row>
    <row r="54" spans="1:7" x14ac:dyDescent="0.45">
      <c r="A54" s="16" t="s">
        <v>146</v>
      </c>
      <c r="B54" t="s">
        <v>118</v>
      </c>
      <c r="E54" s="17" t="s">
        <v>285</v>
      </c>
      <c r="F54" s="20">
        <v>10</v>
      </c>
    </row>
    <row r="55" spans="1:7" x14ac:dyDescent="0.45">
      <c r="A55" s="17" t="s">
        <v>237</v>
      </c>
      <c r="B55" s="20">
        <v>200</v>
      </c>
      <c r="E55" s="17" t="s">
        <v>286</v>
      </c>
      <c r="F55" s="20">
        <v>10</v>
      </c>
    </row>
    <row r="56" spans="1:7" x14ac:dyDescent="0.45">
      <c r="A56" s="17" t="s">
        <v>234</v>
      </c>
      <c r="B56" s="20">
        <v>400</v>
      </c>
      <c r="E56" s="17" t="s">
        <v>287</v>
      </c>
      <c r="F56" s="20">
        <v>10</v>
      </c>
    </row>
    <row r="57" spans="1:7" x14ac:dyDescent="0.45">
      <c r="A57" s="17" t="s">
        <v>276</v>
      </c>
      <c r="B57" s="20">
        <v>400</v>
      </c>
      <c r="E57" s="17" t="s">
        <v>283</v>
      </c>
      <c r="F57" s="20">
        <v>10</v>
      </c>
    </row>
    <row r="58" spans="1:7" x14ac:dyDescent="0.45">
      <c r="A58" s="17" t="s">
        <v>291</v>
      </c>
      <c r="B58" s="20">
        <v>200</v>
      </c>
      <c r="E58" s="17" t="s">
        <v>288</v>
      </c>
      <c r="F58" s="20">
        <v>10</v>
      </c>
    </row>
    <row r="59" spans="1:7" x14ac:dyDescent="0.45">
      <c r="A59" s="17" t="s">
        <v>279</v>
      </c>
      <c r="B59" s="20">
        <v>200.125</v>
      </c>
      <c r="E59" s="17" t="s">
        <v>193</v>
      </c>
      <c r="F59" s="20"/>
    </row>
    <row r="60" spans="1:7" x14ac:dyDescent="0.45">
      <c r="A60" s="17" t="s">
        <v>194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195</v>
      </c>
      <c r="B61" s="20">
        <v>200</v>
      </c>
    </row>
    <row r="62" spans="1:7" x14ac:dyDescent="0.45">
      <c r="A62" s="17" t="s">
        <v>50</v>
      </c>
      <c r="B62" s="20">
        <v>1800.125</v>
      </c>
    </row>
    <row r="66" spans="2:6" x14ac:dyDescent="0.45">
      <c r="B66">
        <f>GETPIVOTDATA("Epic Total Estimate",$A$54)</f>
        <v>1800.125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1"/>
      <c r="B1" s="81"/>
      <c r="C1" s="81"/>
      <c r="D1" s="82" t="s">
        <v>141</v>
      </c>
      <c r="E1" s="82"/>
      <c r="F1" s="82"/>
      <c r="G1" s="82"/>
      <c r="H1" s="82"/>
      <c r="I1" s="82"/>
      <c r="J1" s="82"/>
      <c r="K1" s="82"/>
      <c r="L1" s="82" t="s">
        <v>237</v>
      </c>
      <c r="M1" s="82"/>
      <c r="N1" s="82"/>
      <c r="O1" s="82"/>
      <c r="P1" s="82"/>
      <c r="Q1" s="82"/>
      <c r="R1" s="82"/>
      <c r="S1" s="82"/>
      <c r="T1" s="82" t="s">
        <v>234</v>
      </c>
      <c r="U1" s="82"/>
      <c r="V1" s="82"/>
      <c r="W1" s="82"/>
      <c r="X1" s="82"/>
      <c r="Y1" s="82"/>
      <c r="Z1" s="82"/>
      <c r="AA1" s="82"/>
      <c r="AB1" s="82" t="s">
        <v>276</v>
      </c>
      <c r="AC1" s="82"/>
      <c r="AD1" s="82"/>
      <c r="AE1" s="82"/>
      <c r="AF1" s="82"/>
      <c r="AG1" s="82"/>
      <c r="AH1" s="82"/>
      <c r="AI1" s="82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B3" s="56"/>
      <c r="C3" s="56"/>
      <c r="D3" s="57">
        <v>469</v>
      </c>
      <c r="E3" s="58">
        <f>_ReleaseData!Q25</f>
        <v>285</v>
      </c>
      <c r="F3" s="40">
        <v>307</v>
      </c>
      <c r="G3" s="40">
        <v>165</v>
      </c>
      <c r="H3" s="40">
        <f>D3-I3</f>
        <v>0</v>
      </c>
      <c r="I3" s="40">
        <v>469</v>
      </c>
      <c r="J3" s="33">
        <f t="shared" ref="J3" si="0" xml:space="preserve"> G3/D3</f>
        <v>0.35181236673773986</v>
      </c>
      <c r="K3" s="33">
        <f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>L3-Q3</f>
        <v>0</v>
      </c>
      <c r="Q3" s="40">
        <v>44</v>
      </c>
      <c r="R3" s="33">
        <f t="shared" ref="R3" si="1" xml:space="preserve"> O3/L3</f>
        <v>1</v>
      </c>
      <c r="S3" s="33">
        <f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>T3-Y3</f>
        <v>0</v>
      </c>
      <c r="Y3" s="40">
        <v>48</v>
      </c>
      <c r="Z3" s="33">
        <f t="shared" ref="Z3" si="2" xml:space="preserve"> W3/T3</f>
        <v>0.85416666666666663</v>
      </c>
      <c r="AA3" s="33">
        <f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>AB3-AG3</f>
        <v>0</v>
      </c>
      <c r="AG3" s="40">
        <v>168</v>
      </c>
      <c r="AH3" s="33">
        <f t="shared" ref="AH3" si="3" xml:space="preserve"> AE3/AB3</f>
        <v>0.13690476190476192</v>
      </c>
      <c r="AI3" s="33">
        <f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v>360.8</v>
      </c>
      <c r="E4" s="58">
        <f>_ReleaseData!Q25</f>
        <v>285</v>
      </c>
      <c r="F4" s="40">
        <v>290.3</v>
      </c>
      <c r="G4" s="40">
        <v>230.3</v>
      </c>
      <c r="H4" s="40">
        <f>D4-I4</f>
        <v>54</v>
      </c>
      <c r="I4" s="40">
        <v>306.8</v>
      </c>
      <c r="J4" s="33">
        <f t="shared" ref="J4" si="4" xml:space="preserve"> G4/D4</f>
        <v>0.63830376940133038</v>
      </c>
      <c r="K4" s="33">
        <f xml:space="preserve"> H4/D4</f>
        <v>0.14966740576496673</v>
      </c>
      <c r="L4" s="59">
        <v>44</v>
      </c>
      <c r="M4" s="58">
        <f>_ReleaseData!Q26</f>
        <v>50</v>
      </c>
      <c r="N4" s="40">
        <v>44</v>
      </c>
      <c r="O4" s="40">
        <v>44</v>
      </c>
      <c r="P4" s="40">
        <f>L4-Q4</f>
        <v>7</v>
      </c>
      <c r="Q4" s="40">
        <v>37</v>
      </c>
      <c r="R4" s="33">
        <f t="shared" ref="R4" si="5" xml:space="preserve"> O4/L4</f>
        <v>1</v>
      </c>
      <c r="S4" s="33">
        <f xml:space="preserve"> P4/L4</f>
        <v>0.15909090909090909</v>
      </c>
      <c r="T4" s="57">
        <v>48</v>
      </c>
      <c r="U4" s="58">
        <f>_ReleaseData!Q27</f>
        <v>50</v>
      </c>
      <c r="V4" s="40">
        <v>48</v>
      </c>
      <c r="W4" s="40">
        <v>41</v>
      </c>
      <c r="X4" s="40">
        <f>T4-Y4</f>
        <v>11</v>
      </c>
      <c r="Y4" s="40">
        <v>37</v>
      </c>
      <c r="Z4" s="33">
        <f t="shared" ref="Z4" si="6" xml:space="preserve"> W4/T4</f>
        <v>0.85416666666666663</v>
      </c>
      <c r="AA4" s="33">
        <f>X4/T4</f>
        <v>0.22916666666666666</v>
      </c>
      <c r="AB4" s="57">
        <v>95.8</v>
      </c>
      <c r="AC4" s="58">
        <f>_ReleaseData!Q28</f>
        <v>75</v>
      </c>
      <c r="AD4" s="40">
        <v>80.3</v>
      </c>
      <c r="AE4" s="40">
        <v>60.3</v>
      </c>
      <c r="AF4" s="40">
        <f>AB4-AG4</f>
        <v>23</v>
      </c>
      <c r="AG4" s="40">
        <v>72.8</v>
      </c>
      <c r="AH4" s="33">
        <f t="shared" ref="AH4" si="7" xml:space="preserve"> AE4/AB4</f>
        <v>0.62943632567849683</v>
      </c>
      <c r="AI4" s="33">
        <f>AF4/AB4</f>
        <v>0.24008350730688935</v>
      </c>
    </row>
    <row r="5" spans="1:42" x14ac:dyDescent="0.45">
      <c r="A5" t="s">
        <v>242</v>
      </c>
      <c r="B5" s="60">
        <v>43411</v>
      </c>
      <c r="C5" s="60">
        <v>43424</v>
      </c>
      <c r="D5" s="57">
        <v>321.8</v>
      </c>
      <c r="E5" s="58">
        <f>_ReleaseData!Q25</f>
        <v>285</v>
      </c>
      <c r="F5" s="40">
        <v>276.8</v>
      </c>
      <c r="G5" s="40">
        <v>262.8</v>
      </c>
      <c r="H5" s="40">
        <f>D5-I5</f>
        <v>114.30000000000001</v>
      </c>
      <c r="I5" s="40">
        <v>207.5</v>
      </c>
      <c r="J5" s="33">
        <f t="shared" ref="J5" si="8" xml:space="preserve"> G5/D5</f>
        <v>0.81665630826600377</v>
      </c>
      <c r="K5" s="33">
        <f xml:space="preserve"> H5/D5</f>
        <v>0.35518955873213176</v>
      </c>
      <c r="L5" s="59">
        <v>49</v>
      </c>
      <c r="M5" s="58">
        <f>_ReleaseData!Q26</f>
        <v>50</v>
      </c>
      <c r="N5" s="40">
        <v>49</v>
      </c>
      <c r="O5" s="40">
        <v>49</v>
      </c>
      <c r="P5" s="40">
        <f>L5-Q5</f>
        <v>32</v>
      </c>
      <c r="Q5" s="40">
        <v>17</v>
      </c>
      <c r="R5" s="33">
        <f t="shared" ref="R5" si="9" xml:space="preserve"> O5/L5</f>
        <v>1</v>
      </c>
      <c r="S5" s="33">
        <f xml:space="preserve"> P5/L5</f>
        <v>0.65306122448979587</v>
      </c>
      <c r="T5" s="57">
        <v>48</v>
      </c>
      <c r="U5" s="58">
        <f>_ReleaseData!Q27</f>
        <v>50</v>
      </c>
      <c r="V5" s="40">
        <v>48</v>
      </c>
      <c r="W5" s="40">
        <v>41</v>
      </c>
      <c r="X5" s="40">
        <f>T5-Y5</f>
        <v>20</v>
      </c>
      <c r="Y5" s="40">
        <v>28</v>
      </c>
      <c r="Z5" s="33">
        <f t="shared" ref="Z5" si="10" xml:space="preserve"> W5/T5</f>
        <v>0.85416666666666663</v>
      </c>
      <c r="AA5" s="33">
        <f>X5/T5</f>
        <v>0.41666666666666669</v>
      </c>
      <c r="AB5" s="57">
        <v>82.8</v>
      </c>
      <c r="AC5" s="58">
        <f>_ReleaseData!Q28</f>
        <v>75</v>
      </c>
      <c r="AD5" s="40">
        <v>82.8</v>
      </c>
      <c r="AE5" s="40">
        <v>79.8</v>
      </c>
      <c r="AF5" s="40">
        <f>AB5-AG5</f>
        <v>34.299999999999997</v>
      </c>
      <c r="AG5" s="40">
        <v>48.5</v>
      </c>
      <c r="AH5" s="33">
        <f t="shared" ref="AH5" si="11" xml:space="preserve"> AE5/AB5</f>
        <v>0.96376811594202894</v>
      </c>
      <c r="AI5" s="33">
        <f>AF5/AB5</f>
        <v>0.41425120772946855</v>
      </c>
    </row>
    <row r="6" spans="1:42" x14ac:dyDescent="0.45">
      <c r="A6" t="s">
        <v>243</v>
      </c>
      <c r="B6" s="60">
        <v>43425</v>
      </c>
      <c r="C6" s="60">
        <v>43438</v>
      </c>
      <c r="D6" s="57">
        <v>343.8</v>
      </c>
      <c r="E6" s="58">
        <f>_ReleaseData!Q25</f>
        <v>285</v>
      </c>
      <c r="F6" s="40">
        <v>343.8</v>
      </c>
      <c r="G6" s="40">
        <v>320.8</v>
      </c>
      <c r="H6" s="40">
        <f>D6-I6</f>
        <v>170.3</v>
      </c>
      <c r="I6" s="40">
        <v>173.5</v>
      </c>
      <c r="J6" s="33">
        <f t="shared" ref="J6" si="12" xml:space="preserve"> G6/D6</f>
        <v>0.9331006399069226</v>
      </c>
      <c r="K6" s="33">
        <f xml:space="preserve"> H6/D6</f>
        <v>0.49534613147178597</v>
      </c>
      <c r="L6" s="59">
        <v>49</v>
      </c>
      <c r="M6" s="58">
        <f>_ReleaseData!Q26</f>
        <v>50</v>
      </c>
      <c r="N6" s="40">
        <v>49</v>
      </c>
      <c r="O6" s="40">
        <v>49</v>
      </c>
      <c r="P6" s="40">
        <f>L6-Q6</f>
        <v>48</v>
      </c>
      <c r="Q6" s="40">
        <v>1</v>
      </c>
      <c r="R6" s="33">
        <f t="shared" ref="R6" si="13" xml:space="preserve"> O6/L6</f>
        <v>1</v>
      </c>
      <c r="S6" s="33">
        <f xml:space="preserve"> P6/L6</f>
        <v>0.97959183673469385</v>
      </c>
      <c r="T6" s="57">
        <v>52</v>
      </c>
      <c r="U6" s="58">
        <f>_ReleaseData!Q27</f>
        <v>50</v>
      </c>
      <c r="V6" s="40">
        <v>52</v>
      </c>
      <c r="W6" s="40">
        <v>44</v>
      </c>
      <c r="X6" s="40">
        <f>T6-Y6</f>
        <v>28</v>
      </c>
      <c r="Y6" s="40">
        <v>24</v>
      </c>
      <c r="Z6" s="33">
        <f t="shared" ref="Z6" si="14" xml:space="preserve"> W6/T6</f>
        <v>0.84615384615384615</v>
      </c>
      <c r="AA6" s="33">
        <f>X6/T6</f>
        <v>0.53846153846153844</v>
      </c>
      <c r="AB6" s="57">
        <v>81.8</v>
      </c>
      <c r="AC6" s="58">
        <f>_ReleaseData!Q28</f>
        <v>75</v>
      </c>
      <c r="AD6" s="40">
        <v>81.8</v>
      </c>
      <c r="AE6" s="40">
        <v>76.8</v>
      </c>
      <c r="AF6" s="40">
        <f>AB6-AG6</f>
        <v>48.3</v>
      </c>
      <c r="AG6" s="40">
        <v>33.5</v>
      </c>
      <c r="AH6" s="33">
        <f t="shared" ref="AH6" si="15" xml:space="preserve"> AE6/AB6</f>
        <v>0.93887530562347188</v>
      </c>
      <c r="AI6" s="33">
        <f>AF6/AB6</f>
        <v>0.59046454767726164</v>
      </c>
    </row>
    <row r="7" spans="1:42" x14ac:dyDescent="0.45">
      <c r="A7" t="s">
        <v>244</v>
      </c>
      <c r="B7" s="60">
        <v>43439</v>
      </c>
      <c r="C7" s="60">
        <v>43452</v>
      </c>
      <c r="D7" s="57">
        <f>GETPIVOTDATA("Epic Total Estimate", $AL$8, "Type", "Epic")</f>
        <v>1800.125</v>
      </c>
      <c r="E7" s="58">
        <f>_ReleaseData!Q25</f>
        <v>285</v>
      </c>
      <c r="F7" s="40">
        <f>GETPIVOTDATA("Stories Estimate", $AL$8, "Type", "Epic")</f>
        <v>0</v>
      </c>
      <c r="G7" s="40">
        <f>GETPIVOTDATA("Epic Decomposed", $AL$8, "Type", "Epic")</f>
        <v>180</v>
      </c>
      <c r="H7" s="40">
        <f>D7-I7</f>
        <v>1500.125</v>
      </c>
      <c r="I7" s="40">
        <f>GETPIVOTDATA("Epic Remaining Estimate", $AL$8, "Type", "Epic")</f>
        <v>300</v>
      </c>
      <c r="J7" s="33">
        <f t="shared" ref="J7" si="16" xml:space="preserve"> G7/D7</f>
        <v>9.9993056037775155E-2</v>
      </c>
      <c r="K7" s="33">
        <f xml:space="preserve"> H7/D7</f>
        <v>0.83334490660370808</v>
      </c>
      <c r="L7" s="59" t="e">
        <f>GETPIVOTDATA("Epic Total Estimate", $AL$8, "Type", "Epic", "ST:Components", "Cross Project Move")</f>
        <v>#REF!</v>
      </c>
      <c r="M7" s="58">
        <f>_ReleaseData!Q26</f>
        <v>50</v>
      </c>
      <c r="N7" s="40" t="e">
        <f>GETPIVOTDATA("Stories Estimate", $AL$8, "Type", "Epic", "ST:Components", "Cross Project Move")</f>
        <v>#REF!</v>
      </c>
      <c r="O7" s="40" t="e">
        <f>GETPIVOTDATA("Epic Decomposed", $AL$8, "Type", "Epic", "ST:Components", "Cross Project Move")</f>
        <v>#REF!</v>
      </c>
      <c r="P7" s="40" t="e">
        <f>L7-Q7</f>
        <v>#REF!</v>
      </c>
      <c r="Q7" s="40" t="e">
        <f>GETPIVOTDATA("Epic Remaining Estimate", $AL$8, "Type", "Epic", "ST:Components", "Cross Project Move")</f>
        <v>#REF!</v>
      </c>
      <c r="R7" s="33" t="e">
        <f t="shared" ref="R7" si="17" xml:space="preserve"> O7/L7</f>
        <v>#REF!</v>
      </c>
      <c r="S7" s="33" t="e">
        <f xml:space="preserve"> P7/L7</f>
        <v>#REF!</v>
      </c>
      <c r="T7" s="57">
        <f>GETPIVOTDATA("Epic Total Estimate", $AL$8, "Type", "Epic", "ST:Components", "Excel Import")</f>
        <v>200</v>
      </c>
      <c r="U7" s="58">
        <f>_ReleaseData!Q27</f>
        <v>50</v>
      </c>
      <c r="V7" s="40">
        <f>GETPIVOTDATA("Stories Estimate", $AL$8, "Type", "Epic", "ST:Components", "Excel Import")</f>
        <v>0</v>
      </c>
      <c r="W7" s="40">
        <f>GETPIVOTDATA("Epic Decomposed", $AL$8, "Type", "Epic", "ST:Components", "Excel Import")</f>
        <v>180</v>
      </c>
      <c r="X7" s="40">
        <f>T7-Y7</f>
        <v>50</v>
      </c>
      <c r="Y7" s="40">
        <f>GETPIVOTDATA("Epic Remaining Estimate", $AL$8, "Type", "Epic", "ST:Components", "Excel Import")</f>
        <v>150</v>
      </c>
      <c r="Z7" s="33">
        <f t="shared" ref="Z7" si="18" xml:space="preserve"> W7/T7</f>
        <v>0.9</v>
      </c>
      <c r="AA7" s="33">
        <f>X7/T7</f>
        <v>0.25</v>
      </c>
      <c r="AB7" s="57">
        <f>GETPIVOTDATA("Epic Total Estimate", $AL$8, "Type", "Epic", "ST:Components", "Diagram Editor")</f>
        <v>200</v>
      </c>
      <c r="AC7" s="58">
        <f>_ReleaseData!Q28</f>
        <v>75</v>
      </c>
      <c r="AD7" s="40">
        <f>GETPIVOTDATA("Stories Estimate", $AL$8, "Type", "Epic", "ST:Components", "Diagram Editor")</f>
        <v>0</v>
      </c>
      <c r="AE7" s="40">
        <f>GETPIVOTDATA("Epic Decomposed", $AL$8, "Type", "Epic", "ST:Components", "Diagram Editor")</f>
        <v>0</v>
      </c>
      <c r="AF7" s="40">
        <f>AB7-AG7</f>
        <v>50</v>
      </c>
      <c r="AG7" s="40">
        <f>GETPIVOTDATA("Epic Remaining Estimate", $AL$8, "Type", "Epic", "ST:Components", "Diagram Editor")</f>
        <v>150</v>
      </c>
      <c r="AH7" s="33">
        <f t="shared" ref="AH7" si="19" xml:space="preserve"> AE7/AB7</f>
        <v>0</v>
      </c>
      <c r="AI7" s="33">
        <f>AF7/AB7</f>
        <v>0.25</v>
      </c>
      <c r="AL7" s="16" t="s">
        <v>141</v>
      </c>
      <c r="AM7" t="s">
        <v>227</v>
      </c>
    </row>
    <row r="8" spans="1:42" x14ac:dyDescent="0.45">
      <c r="A8" t="s">
        <v>245</v>
      </c>
      <c r="B8" s="60">
        <v>43453</v>
      </c>
      <c r="C8" s="60">
        <v>43466</v>
      </c>
      <c r="D8" s="57"/>
      <c r="E8" s="58">
        <f>_ReleaseData!Q25</f>
        <v>285</v>
      </c>
      <c r="F8" s="40"/>
      <c r="G8" s="40"/>
      <c r="H8" s="40"/>
      <c r="I8" s="40"/>
      <c r="J8" s="33"/>
      <c r="K8" s="33"/>
      <c r="L8" s="59"/>
      <c r="M8" s="58">
        <f>_ReleaseData!Q26</f>
        <v>50</v>
      </c>
      <c r="N8" s="40"/>
      <c r="O8" s="40"/>
      <c r="P8" s="40"/>
      <c r="Q8" s="40"/>
      <c r="R8" s="33"/>
      <c r="S8" s="33"/>
      <c r="T8" s="57"/>
      <c r="U8" s="58">
        <f>_ReleaseData!Q27</f>
        <v>50</v>
      </c>
      <c r="V8" s="40"/>
      <c r="W8" s="40"/>
      <c r="X8" s="40"/>
      <c r="Y8" s="40"/>
      <c r="Z8" s="33"/>
      <c r="AA8" s="33"/>
      <c r="AB8" s="57"/>
      <c r="AC8" s="58">
        <f>_ReleaseData!Q28</f>
        <v>75</v>
      </c>
      <c r="AD8" s="40"/>
      <c r="AE8" s="40"/>
      <c r="AF8" s="40"/>
      <c r="AG8" s="40"/>
      <c r="AH8" s="33"/>
      <c r="AI8" s="33"/>
      <c r="AL8" s="16" t="s">
        <v>289</v>
      </c>
      <c r="AM8" t="s">
        <v>228</v>
      </c>
    </row>
    <row r="9" spans="1:42" x14ac:dyDescent="0.45">
      <c r="A9" t="s">
        <v>246</v>
      </c>
      <c r="B9" s="60">
        <v>43467</v>
      </c>
      <c r="C9" s="60">
        <v>43480</v>
      </c>
      <c r="D9" s="57"/>
      <c r="E9" s="58">
        <f>_ReleaseData!Q25</f>
        <v>285</v>
      </c>
      <c r="F9" s="40"/>
      <c r="G9" s="40"/>
      <c r="H9" s="40"/>
      <c r="I9" s="40"/>
      <c r="J9" s="33"/>
      <c r="K9" s="33"/>
      <c r="L9" s="59"/>
      <c r="M9" s="58">
        <f>_ReleaseData!Q26</f>
        <v>50</v>
      </c>
      <c r="N9" s="40"/>
      <c r="O9" s="40"/>
      <c r="P9" s="40"/>
      <c r="Q9" s="40"/>
      <c r="R9" s="33"/>
      <c r="S9" s="33"/>
      <c r="T9" s="57"/>
      <c r="U9" s="58">
        <f>_ReleaseData!Q27</f>
        <v>50</v>
      </c>
      <c r="V9" s="40"/>
      <c r="W9" s="40"/>
      <c r="X9" s="40"/>
      <c r="Y9" s="40"/>
      <c r="Z9" s="33"/>
      <c r="AA9" s="33"/>
      <c r="AB9" s="57"/>
      <c r="AC9" s="58">
        <f>_ReleaseData!Q28</f>
        <v>75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234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50</v>
      </c>
      <c r="AM16" s="20">
        <v>1800.125</v>
      </c>
      <c r="AN16" s="20"/>
      <c r="AO16" s="20">
        <v>180</v>
      </c>
      <c r="AP16" s="20">
        <v>300</v>
      </c>
    </row>
    <row r="17" spans="2:35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</row>
    <row r="18" spans="2:35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289</v>
      </c>
      <c r="C1" t="s">
        <v>228</v>
      </c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  <c r="G3" s="16" t="s">
        <v>289</v>
      </c>
      <c r="H3" t="s">
        <v>228</v>
      </c>
    </row>
    <row r="4" spans="2:8" x14ac:dyDescent="0.45">
      <c r="B4" s="17" t="s">
        <v>68</v>
      </c>
      <c r="C4" s="20">
        <v>1620.125</v>
      </c>
    </row>
    <row r="5" spans="2:8" x14ac:dyDescent="0.45">
      <c r="B5" s="17" t="s">
        <v>50</v>
      </c>
      <c r="C5" s="20">
        <v>1620.125</v>
      </c>
      <c r="G5" s="16" t="s">
        <v>146</v>
      </c>
      <c r="H5" t="s">
        <v>150</v>
      </c>
    </row>
    <row r="6" spans="2:8" x14ac:dyDescent="0.45">
      <c r="G6" s="17" t="s">
        <v>50</v>
      </c>
      <c r="H6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249</v>
      </c>
      <c r="C16">
        <v>130.5</v>
      </c>
      <c r="D16">
        <v>137.25</v>
      </c>
    </row>
    <row r="17" spans="2:4" x14ac:dyDescent="0.45">
      <c r="B17" t="s">
        <v>250</v>
      </c>
      <c r="C17">
        <v>59</v>
      </c>
      <c r="D17">
        <v>94.5</v>
      </c>
    </row>
    <row r="18" spans="2:4" x14ac:dyDescent="0.45">
      <c r="B18" t="s">
        <v>251</v>
      </c>
      <c r="C18">
        <v>23</v>
      </c>
      <c r="D18">
        <v>90.5</v>
      </c>
    </row>
    <row r="19" spans="2:4" x14ac:dyDescent="0.45">
      <c r="B19" t="s">
        <v>252</v>
      </c>
      <c r="C19">
        <f>GETPIVOTDATA("Epic Not Decomposed Estimate",$B$3)</f>
        <v>1620.125</v>
      </c>
      <c r="D19">
        <f>GETPIVOTDATA("Story Points",$G$1)</f>
        <v>0</v>
      </c>
    </row>
    <row r="20" spans="2:4" x14ac:dyDescent="0.45">
      <c r="B20" t="s">
        <v>253</v>
      </c>
    </row>
    <row r="21" spans="2:4" x14ac:dyDescent="0.45">
      <c r="B21" t="s">
        <v>254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2018-12-05T13:32:02Z</dcterms:modified>
</cp:coreProperties>
</file>