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1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ml.chartshape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7.xml" ContentType="application/vnd.openxmlformats-officedocument.drawingml.chartshapes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heme/themeOverride2.xml" ContentType="application/vnd.openxmlformats-officedocument.themeOverrid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9.xml" ContentType="application/vnd.openxmlformats-officedocument.drawingml.chartshapes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0.xml" ContentType="application/vnd.openxmlformats-officedocument.drawingml.chartshapes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theme/themeOverride3.xml" ContentType="application/vnd.openxmlformats-officedocument.themeOverride+xml"/>
  <Override PartName="/xl/drawings/drawing1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12.xml" ContentType="application/vnd.openxmlformats-officedocument.drawingml.chartshapes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13.xml" ContentType="application/vnd.openxmlformats-officedocument.drawingml.chartshapes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theme/themeOverride4.xml" ContentType="application/vnd.openxmlformats-officedocument.themeOverrid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theme/themeOverride5.xml" ContentType="application/vnd.openxmlformats-officedocument.themeOverrid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2.xml" ContentType="application/vnd.openxmlformats-officedocument.spreadsheetml.pivotTable+xml"/>
  <Override PartName="/xl/drawings/drawing14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tables/table4.xml" ContentType="application/vnd.openxmlformats-officedocument.spreadsheetml.table+xml"/>
  <Override PartName="/xl/drawings/drawing15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pivotTables/pivotTable15.xml" ContentType="application/vnd.openxmlformats-officedocument.spreadsheetml.pivotTable+xml"/>
  <Override PartName="/xl/drawings/drawing16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pivotTables/pivotTable16.xml" ContentType="application/vnd.openxmlformats-officedocument.spreadsheetml.pivotTable+xml"/>
  <Override PartName="/xl/tables/table5.xml" ContentType="application/vnd.openxmlformats-officedocument.spreadsheetml.table+xml"/>
  <Override PartName="/xl/drawings/drawing17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pivotTables/pivotTable17.xml" ContentType="application/vnd.openxmlformats-officedocument.spreadsheetml.pivotTable+xml"/>
  <Override PartName="/xl/tables/table6.xml" ContentType="application/vnd.openxmlformats-officedocument.spreadsheetml.table+xml"/>
  <Override PartName="/xl/drawings/drawing18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19.xml" ContentType="application/vnd.openxmlformats-officedocument.drawingml.chartshapes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Git\etc\blueprint-jira-better-excel\"/>
    </mc:Choice>
  </mc:AlternateContent>
  <xr:revisionPtr revIDLastSave="0" documentId="13_ncr:1_{79BD0C1F-4F88-46A3-BF0D-B464D065C588}" xr6:coauthVersionLast="45" xr6:coauthVersionMax="45" xr10:uidLastSave="{00000000-0000-0000-0000-000000000000}"/>
  <bookViews>
    <workbookView xWindow="-108" yWindow="-108" windowWidth="23256" windowHeight="12576" tabRatio="650" xr2:uid="{00000000-000D-0000-FFFF-FFFF00000000}"/>
  </bookViews>
  <sheets>
    <sheet name="Release" sheetId="10" r:id="rId1"/>
    <sheet name="Admin" sheetId="19" r:id="rId2"/>
    <sheet name="Visio Import" sheetId="20" r:id="rId3"/>
    <sheet name="BoA Audit" sheetId="27" r:id="rId4"/>
    <sheet name="_ReleaseData" sheetId="9" state="hidden" r:id="rId5"/>
    <sheet name="_CumulativeFlowData " sheetId="26" state="hidden" r:id="rId6"/>
    <sheet name="Readiness" sheetId="23" r:id="rId7"/>
    <sheet name="_ReadinessData" sheetId="24" state="hidden" r:id="rId8"/>
    <sheet name="Team Backlog" sheetId="16" r:id="rId9"/>
    <sheet name="_TeamBacklogData" sheetId="15" state="hidden" r:id="rId10"/>
    <sheet name="Team Velocity" sheetId="21" r:id="rId11"/>
    <sheet name="_TeamVelocityData" sheetId="22" state="hidden" r:id="rId12"/>
    <sheet name="Active Sprint" sheetId="11" r:id="rId13"/>
    <sheet name="_ActiveSprintData" sheetId="12" state="hidden" r:id="rId14"/>
    <sheet name="Bugs" sheetId="13" r:id="rId15"/>
    <sheet name="_BugsData" sheetId="14" state="hidden" r:id="rId16"/>
    <sheet name="Issues" sheetId="2" state="hidden" r:id="rId17"/>
    <sheet name="Notes" sheetId="25" state="hidden" r:id="rId18"/>
  </sheets>
  <definedNames>
    <definedName name="_xlnm._FilterDatabase" localSheetId="16" hidden="1">Issues!$AF$40:$AH$46</definedName>
    <definedName name="issues">OFFSET(Issues!$A$1,0,0,COUNTA(Issues!$A$1:$A$10003),COUNTA(Issues!$A$1:$AAR$1) - 1)</definedName>
    <definedName name="Table10" localSheetId="3">Table15[Stabilization and Holidays]</definedName>
    <definedName name="Table10">Table15[Stabilization and Holidays]</definedName>
  </definedNames>
  <calcPr calcId="191029"/>
  <pivotCaches>
    <pivotCache cacheId="617" r:id="rId19"/>
  </pivotCaches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Z10" i="26" l="1"/>
  <c r="K10" i="26"/>
  <c r="AA10" i="26"/>
  <c r="S10" i="26"/>
  <c r="R10" i="26"/>
  <c r="AI10" i="26"/>
  <c r="AH10" i="26"/>
  <c r="J10" i="26"/>
  <c r="D4" i="26"/>
  <c r="N4" i="26"/>
  <c r="AD3" i="26"/>
  <c r="X3" i="9"/>
  <c r="D16" i="24"/>
  <c r="G4" i="26"/>
  <c r="R4" i="9"/>
  <c r="O3" i="26"/>
  <c r="T4" i="26"/>
  <c r="L4" i="26"/>
  <c r="V4" i="26"/>
  <c r="AG4" i="26"/>
  <c r="X4" i="9"/>
  <c r="AB4" i="26"/>
  <c r="G3" i="26"/>
  <c r="AD4" i="26"/>
  <c r="I3" i="26"/>
  <c r="V4" i="9"/>
  <c r="C16" i="24"/>
  <c r="N3" i="26"/>
  <c r="O3" i="9"/>
  <c r="I4" i="26"/>
  <c r="Q3" i="26"/>
  <c r="V3" i="26"/>
  <c r="Q4" i="26"/>
  <c r="N4" i="9"/>
  <c r="R3" i="9"/>
  <c r="O4" i="26"/>
  <c r="N3" i="9"/>
  <c r="M3" i="9"/>
  <c r="AB3" i="26"/>
  <c r="P4" i="9"/>
  <c r="W3" i="26"/>
  <c r="F3" i="26"/>
  <c r="Y3" i="26"/>
  <c r="T3" i="26"/>
  <c r="V3" i="9"/>
  <c r="AE4" i="26"/>
  <c r="O4" i="9"/>
  <c r="F4" i="26"/>
  <c r="T3" i="9"/>
  <c r="B18" i="9"/>
  <c r="D3" i="26"/>
  <c r="T4" i="9"/>
  <c r="M4" i="9"/>
  <c r="W4" i="26"/>
  <c r="L3" i="26"/>
  <c r="AG3" i="26"/>
  <c r="Y4" i="26"/>
  <c r="B14" i="9"/>
  <c r="AE3" i="26"/>
  <c r="P3" i="9"/>
  <c r="AI9" i="26" l="1"/>
  <c r="R9" i="26"/>
  <c r="S9" i="26"/>
  <c r="AH9" i="26"/>
  <c r="K9" i="26"/>
  <c r="Z9" i="26"/>
  <c r="J9" i="26"/>
  <c r="AA9" i="26"/>
  <c r="AA8" i="26"/>
  <c r="R8" i="26"/>
  <c r="AH8" i="26"/>
  <c r="S8" i="26"/>
  <c r="K8" i="26"/>
  <c r="Z8" i="26"/>
  <c r="AI8" i="26"/>
  <c r="J8" i="26"/>
  <c r="J7" i="26"/>
  <c r="AH7" i="26"/>
  <c r="S7" i="26"/>
  <c r="R7" i="26"/>
  <c r="AA7" i="26"/>
  <c r="K7" i="26"/>
  <c r="AI7" i="26"/>
  <c r="Z7" i="26"/>
  <c r="K6" i="26" l="1"/>
  <c r="AH6" i="26"/>
  <c r="S6" i="26"/>
  <c r="J6" i="26"/>
  <c r="R6" i="26"/>
  <c r="AA6" i="26"/>
  <c r="AI6" i="26"/>
  <c r="Z6" i="26"/>
  <c r="AI5" i="26" l="1"/>
  <c r="AA5" i="26"/>
  <c r="R5" i="26"/>
  <c r="AH5" i="26"/>
  <c r="S5" i="26"/>
  <c r="K5" i="26"/>
  <c r="Z5" i="26"/>
  <c r="J5" i="26"/>
  <c r="B10" i="9"/>
  <c r="AC4" i="26" l="1"/>
  <c r="AC3" i="26"/>
  <c r="U4" i="26"/>
  <c r="U3" i="26"/>
  <c r="M4" i="26"/>
  <c r="M3" i="26"/>
  <c r="E4" i="26"/>
  <c r="E3" i="26"/>
  <c r="AF4" i="26" l="1"/>
  <c r="AI4" i="26" s="1"/>
  <c r="AH4" i="26"/>
  <c r="AF3" i="26"/>
  <c r="AI3" i="26" s="1"/>
  <c r="AH3" i="26"/>
  <c r="Z4" i="26"/>
  <c r="X4" i="26"/>
  <c r="AA4" i="26" s="1"/>
  <c r="Z3" i="26"/>
  <c r="X3" i="26"/>
  <c r="AA3" i="26" s="1"/>
  <c r="R4" i="26"/>
  <c r="P4" i="26"/>
  <c r="S4" i="26" s="1"/>
  <c r="P3" i="26"/>
  <c r="S3" i="26" s="1"/>
  <c r="R3" i="26"/>
  <c r="H4" i="26"/>
  <c r="K4" i="26" s="1"/>
  <c r="J4" i="26"/>
  <c r="H3" i="26"/>
  <c r="K3" i="26" s="1"/>
  <c r="J3" i="26"/>
  <c r="W3" i="9" l="1"/>
  <c r="U3" i="9"/>
  <c r="Q3" i="9"/>
  <c r="S3" i="9"/>
  <c r="B1" i="12" l="1"/>
  <c r="E16" i="12" s="1"/>
  <c r="B66" i="9"/>
  <c r="F66" i="9"/>
  <c r="AE31" i="2" l="1"/>
  <c r="AE30" i="2"/>
  <c r="K42" i="9"/>
  <c r="B19" i="9" l="1"/>
  <c r="I4" i="9" l="1"/>
  <c r="J4" i="9" s="1"/>
  <c r="M14" i="22" l="1"/>
  <c r="L14" i="22"/>
  <c r="E6" i="9" l="1"/>
  <c r="B22" i="9" s="1"/>
  <c r="B23" i="9" l="1"/>
  <c r="B2" i="9"/>
  <c r="AE35" i="2" l="1"/>
  <c r="AE34" i="2"/>
  <c r="AE36" i="2"/>
  <c r="AE33" i="2"/>
  <c r="AE32" i="2"/>
  <c r="H42" i="9"/>
  <c r="B13" i="15"/>
  <c r="B15" i="9" l="1"/>
  <c r="B11" i="9"/>
  <c r="E42" i="9"/>
  <c r="B41" i="9" l="1"/>
  <c r="B6" i="9"/>
  <c r="E15" i="12"/>
  <c r="C18" i="14"/>
  <c r="B3" i="9" l="1"/>
  <c r="I5" i="9"/>
  <c r="H6" i="9" s="1"/>
  <c r="H5" i="9"/>
  <c r="J5" i="9" l="1"/>
  <c r="I6" i="9"/>
  <c r="J6" i="9" s="1"/>
  <c r="I7" i="9" l="1"/>
  <c r="H7" i="9"/>
  <c r="J7" i="9" l="1"/>
  <c r="I8" i="9"/>
  <c r="H8" i="9"/>
  <c r="J8" i="9" l="1"/>
  <c r="H9" i="9"/>
  <c r="I9" i="9"/>
  <c r="I10" i="9" l="1"/>
  <c r="H10" i="9"/>
  <c r="J9" i="9"/>
  <c r="B7" i="9"/>
  <c r="J10" i="9" l="1"/>
  <c r="K6" i="9" s="1"/>
  <c r="L10" i="9" l="1"/>
  <c r="U10" i="9" s="1"/>
  <c r="K10" i="9"/>
  <c r="W10" i="9" s="1"/>
  <c r="L4" i="9"/>
  <c r="U4" i="9" s="1"/>
  <c r="L8" i="9"/>
  <c r="U8" i="9" s="1"/>
  <c r="K7" i="9"/>
  <c r="S7" i="9" s="1"/>
  <c r="L6" i="9"/>
  <c r="U6" i="9" s="1"/>
  <c r="K9" i="9"/>
  <c r="W9" i="9" s="1"/>
  <c r="L7" i="9"/>
  <c r="U7" i="9" s="1"/>
  <c r="L9" i="9"/>
  <c r="U9" i="9" s="1"/>
  <c r="K8" i="9"/>
  <c r="W8" i="9" s="1"/>
  <c r="K4" i="9"/>
  <c r="Q4" i="9" s="1"/>
  <c r="K5" i="9"/>
  <c r="W5" i="9" s="1"/>
  <c r="L5" i="9"/>
  <c r="U5" i="9" s="1"/>
  <c r="W6" i="9"/>
  <c r="S6" i="9"/>
  <c r="Q6" i="9"/>
  <c r="W7" i="9" l="1"/>
  <c r="Q7" i="9"/>
  <c r="Q10" i="9"/>
  <c r="S10" i="9"/>
  <c r="S8" i="9"/>
  <c r="S5" i="9"/>
  <c r="Q5" i="9"/>
  <c r="S4" i="9"/>
  <c r="Q9" i="9"/>
  <c r="Q8" i="9"/>
  <c r="S9" i="9"/>
  <c r="W4" i="9"/>
</calcChain>
</file>

<file path=xl/sharedStrings.xml><?xml version="1.0" encoding="utf-8"?>
<sst xmlns="http://schemas.openxmlformats.org/spreadsheetml/2006/main" count="1136" uniqueCount="283">
  <si>
    <t>Status</t>
  </si>
  <si>
    <t>Assignee</t>
  </si>
  <si>
    <t>Summary</t>
  </si>
  <si>
    <t>${issue.assigneeUser.displayName}</t>
  </si>
  <si>
    <t>${issue.statusObject.name}</t>
  </si>
  <si>
    <t>Updated</t>
  </si>
  <si>
    <t>${fieldHelper.getFieldValue(issue, "updated")}</t>
  </si>
  <si>
    <t>Key</t>
  </si>
  <si>
    <t>Estimate in Days</t>
  </si>
  <si>
    <t>Type</t>
  </si>
  <si>
    <t>&lt;jt:hyperlink address="${requestContext.canonicalBaseUrl}/browse/${issue.key}" value="${issue.summary}"/&gt;</t>
  </si>
  <si>
    <t>&lt;mt:autosize columns="false"/&gt;</t>
  </si>
  <si>
    <t>Reporter</t>
  </si>
  <si>
    <t>${issue.reporterUser.displayName}</t>
  </si>
  <si>
    <t>Sprints</t>
  </si>
  <si>
    <t>${bpHelper.getCollectionField(issue, "Sprint")}</t>
  </si>
  <si>
    <t>Labels</t>
  </si>
  <si>
    <t>${bpHelper.getLabels(issue)}</t>
  </si>
  <si>
    <t>${fieldHelper.getFieldValueByName(issue, "Estimate in Days")}</t>
  </si>
  <si>
    <t>${fieldHelper.getFieldValueByName(issue, "ST:Components")}</t>
  </si>
  <si>
    <t>ST:Components</t>
  </si>
  <si>
    <t>Epic Progress</t>
  </si>
  <si>
    <t>Story Points</t>
  </si>
  <si>
    <t>${fieldHelper.getFieldValueByName(issue, "Story Points")}</t>
  </si>
  <si>
    <t>${fieldHelper.getFieldValueByName(issue, "Team")}</t>
  </si>
  <si>
    <t>Role: PM</t>
  </si>
  <si>
    <t>${fieldHelper.getFieldValueByName(issue, "Role: PM")}</t>
  </si>
  <si>
    <t>Stories Estimate</t>
  </si>
  <si>
    <t>Epic Total Estimate</t>
  </si>
  <si>
    <t>Epic Remaining Estimate</t>
  </si>
  <si>
    <t>${fieldHelper.getFieldValueByName(issue, "Epic Remaining Estimate")}</t>
  </si>
  <si>
    <t>${fieldHelper.getFieldValueByName(issue, "Epic Total Estimate")}</t>
  </si>
  <si>
    <t>${fieldHelper.getFieldValueByName(issue, "Stories Estimate")}</t>
  </si>
  <si>
    <t>Epic Team</t>
  </si>
  <si>
    <t>Epic Link</t>
  </si>
  <si>
    <t>${fieldHelper.getFieldValueByName(issue, "Epic Team")}</t>
  </si>
  <si>
    <t>${bpHelper.getAggregateTimeSpentInHours(issue)}</t>
  </si>
  <si>
    <t>Σ Time Spent</t>
  </si>
  <si>
    <t>Σ Remaining Estimate</t>
  </si>
  <si>
    <t>Σ Original Estimate</t>
  </si>
  <si>
    <t>${bpHelper.getAggregateOriginalEstimateInHours(issue)}</t>
  </si>
  <si>
    <t>${bpHelper.getAggregateRemainingEstimateInHours(issue)}</t>
  </si>
  <si>
    <t>${bpHelper.getEpicProgress(issue)}</t>
  </si>
  <si>
    <t>Priority</t>
  </si>
  <si>
    <t>Customer</t>
  </si>
  <si>
    <t>Team</t>
  </si>
  <si>
    <t>${issue.priority.name}</t>
  </si>
  <si>
    <t>&lt;jt:hyperlink address="${requestContext.canonicalBaseUrl}/browse/${bpHelper.getEpicLinkKey(issue)}" value="${fieldHelper.getFieldValueByName(issue, 'Epic Link')}"/&gt;</t>
  </si>
  <si>
    <t>Different Story Points</t>
  </si>
  <si>
    <t>${fieldHelper.getFieldValueByName(issue, "Customer")}</t>
  </si>
  <si>
    <t>Grand Total</t>
  </si>
  <si>
    <t>key</t>
  </si>
  <si>
    <t>Titan</t>
  </si>
  <si>
    <t>NW</t>
  </si>
  <si>
    <t>&lt;jt:forEach items="${issues.subList(0, 0)}" var="issue" where="${issue.key = ''}"&gt;</t>
  </si>
  <si>
    <t>ngStars</t>
  </si>
  <si>
    <t>Alpha</t>
  </si>
  <si>
    <t>Unassigned</t>
  </si>
  <si>
    <t>DevOps</t>
  </si>
  <si>
    <t>NEEDS FOR FILTERING IN PIVOT TABLES</t>
  </si>
  <si>
    <t>${issue.issueType.name}</t>
  </si>
  <si>
    <t>&lt;jt:forEach items="${issues}" var="issue"&gt;&lt;jt:hyperlink address="${requestContext.canonicalBaseUrl}/browse/${issue.key}" value="${issue.key}"/&gt;</t>
  </si>
  <si>
    <t>Epic</t>
  </si>
  <si>
    <t>Spike</t>
  </si>
  <si>
    <t>Tech Debt</t>
  </si>
  <si>
    <t>Story</t>
  </si>
  <si>
    <t>Bug</t>
  </si>
  <si>
    <t>Tech Debt: Validation</t>
  </si>
  <si>
    <t>Tech Debt: Demo Checkpoint</t>
  </si>
  <si>
    <t>Tech Debt: Done</t>
  </si>
  <si>
    <t>Tech Debt: In Development - On Hold</t>
  </si>
  <si>
    <t>Tech Debt: Demo Checkpoint - On Hold</t>
  </si>
  <si>
    <t>Tech Debt: Prototype Done</t>
  </si>
  <si>
    <t>Tech Debt: Ready for Validation</t>
  </si>
  <si>
    <t>Tech Debt: Validation - On Hold</t>
  </si>
  <si>
    <t>Tech Debt: Cancelled</t>
  </si>
  <si>
    <t>Bug: New</t>
  </si>
  <si>
    <t>Bug: Triage</t>
  </si>
  <si>
    <t>Bug: Ready</t>
  </si>
  <si>
    <t>Bug: In Development</t>
  </si>
  <si>
    <t>Bug: Validation</t>
  </si>
  <si>
    <t>Bug: Closed</t>
  </si>
  <si>
    <t>Bug: New - On Hold</t>
  </si>
  <si>
    <t>Bug: In Development - On Hold</t>
  </si>
  <si>
    <t>Bug: Validation - On Hold</t>
  </si>
  <si>
    <t>Bug: Investigate</t>
  </si>
  <si>
    <t>Epic: New</t>
  </si>
  <si>
    <t>Epic: Decomposition</t>
  </si>
  <si>
    <t>Epic: Review</t>
  </si>
  <si>
    <t>Epic: Ready</t>
  </si>
  <si>
    <t>Epic: In Development</t>
  </si>
  <si>
    <t>Epic: Done</t>
  </si>
  <si>
    <t>Epic: Cancelled</t>
  </si>
  <si>
    <t>Epic: Demo</t>
  </si>
  <si>
    <t>Story: New</t>
  </si>
  <si>
    <t>Story: Review</t>
  </si>
  <si>
    <t>Story: Ready</t>
  </si>
  <si>
    <t>Story: In Development</t>
  </si>
  <si>
    <t>Story: Validation</t>
  </si>
  <si>
    <t>Story: Demo Checkpoint</t>
  </si>
  <si>
    <t>Story: Done</t>
  </si>
  <si>
    <t>Story: In Development - On Hold</t>
  </si>
  <si>
    <t>Story: Demo Checkpoint - On Hold</t>
  </si>
  <si>
    <t>Story: Prototype Done</t>
  </si>
  <si>
    <t>Story: Ready for Validation</t>
  </si>
  <si>
    <t>Story: Validation - On Hold</t>
  </si>
  <si>
    <t>Story: Cancelled</t>
  </si>
  <si>
    <t>Tech Debt: New</t>
  </si>
  <si>
    <t>Tech Debt: Review</t>
  </si>
  <si>
    <t>Tech Debt: Ready</t>
  </si>
  <si>
    <t>Tech Debt: In Development</t>
  </si>
  <si>
    <t>Sum of Epic Remaining Estimate</t>
  </si>
  <si>
    <t>Sum of Epic Total Estimate</t>
  </si>
  <si>
    <t>Team Grouped</t>
  </si>
  <si>
    <t>Epic Team Grouped</t>
  </si>
  <si>
    <t>${bpHelper.getGroupedTeam(fieldHelper.getFieldValueByName(issue, "Epic Team"))}</t>
  </si>
  <si>
    <t>${bpHelper.getGroupedTeam(fieldHelper.getFieldValueByName(issue, "Team"))}</t>
  </si>
  <si>
    <t>Epic Decomposed</t>
  </si>
  <si>
    <t>${bpHelper.getDecomposedEstimate(issue)}</t>
  </si>
  <si>
    <t>&lt;/jt:forEach&gt;</t>
  </si>
  <si>
    <t>Commitment Sprint</t>
  </si>
  <si>
    <t>${bpHelper.getLastCommitmentSprint(issue)}</t>
  </si>
  <si>
    <t>Epic Fully Decomposed</t>
  </si>
  <si>
    <t>$[IF(B2="Epic", IF(AND(IFERROR(VALUE(P2), 0)&gt;0, P2=W2), "Yes", "No"), "")]</t>
  </si>
  <si>
    <t>Start Date</t>
  </si>
  <si>
    <t>End Date</t>
  </si>
  <si>
    <t>Cycle Time in Days</t>
  </si>
  <si>
    <t>${bpHelper.getCycleTime(issue)}</t>
  </si>
  <si>
    <t>Development Time in Days</t>
  </si>
  <si>
    <t>${bpHelper.getDevelopmentTime(issue)}</t>
  </si>
  <si>
    <t>Ready For Validation Time in Days</t>
  </si>
  <si>
    <t>${bpHelper.getReadyForValidationTime(issue)}</t>
  </si>
  <si>
    <t>Validation Time in Days</t>
  </si>
  <si>
    <t>${bpHelper.getValidationTime(issue)}</t>
  </si>
  <si>
    <t>Last Commitment Sprint</t>
  </si>
  <si>
    <t>Release</t>
  </si>
  <si>
    <t>${issue.fixVersions.name}</t>
  </si>
  <si>
    <t>Actual</t>
  </si>
  <si>
    <t>Remainder</t>
  </si>
  <si>
    <t>Dev Sprint</t>
  </si>
  <si>
    <t>Row Labels</t>
  </si>
  <si>
    <t>Last Sprint</t>
  </si>
  <si>
    <t>${bpHelper.getLastSprint(issue)}</t>
  </si>
  <si>
    <t>Active Sprint</t>
  </si>
  <si>
    <t>Sum of Story Points</t>
  </si>
  <si>
    <t>State</t>
  </si>
  <si>
    <t>${bpHelper.getState(issue)}</t>
  </si>
  <si>
    <t>New</t>
  </si>
  <si>
    <t>In Dev</t>
  </si>
  <si>
    <t>Validation</t>
  </si>
  <si>
    <t>Cancelled</t>
  </si>
  <si>
    <t>Closed</t>
  </si>
  <si>
    <t>Unkown</t>
  </si>
  <si>
    <t>(Multiple Items)</t>
  </si>
  <si>
    <t>&lt;mt:execute script="blueprint-helper.groovy"/&gt;</t>
  </si>
  <si>
    <t>Highest</t>
  </si>
  <si>
    <t>High</t>
  </si>
  <si>
    <t>Medium</t>
  </si>
  <si>
    <t>Low</t>
  </si>
  <si>
    <t>Lowest</t>
  </si>
  <si>
    <t>Count of Key</t>
  </si>
  <si>
    <t>Bugs to Triage: ${bpHelper.getBugToTriageCount()}</t>
  </si>
  <si>
    <t>Column Labels</t>
  </si>
  <si>
    <t>Sprint Label</t>
  </si>
  <si>
    <t>${bpHelper.getReadyEstimate(issue)}</t>
  </si>
  <si>
    <t>${bpHelper.getInDevEstimate(issue)}</t>
  </si>
  <si>
    <t>${bpHelper.getValidationEstimate(issue)}</t>
  </si>
  <si>
    <t>Stabilization and Holidays</t>
  </si>
  <si>
    <t>Work Days</t>
  </si>
  <si>
    <t>Epic In Dev Estimate</t>
  </si>
  <si>
    <t>Epic Ready Estimate</t>
  </si>
  <si>
    <t>Epic Validation Estimate</t>
  </si>
  <si>
    <t>Values</t>
  </si>
  <si>
    <t>Done</t>
  </si>
  <si>
    <t>In Validation</t>
  </si>
  <si>
    <t>Ready</t>
  </si>
  <si>
    <t>Not Decomposed</t>
  </si>
  <si>
    <t>(All)</t>
  </si>
  <si>
    <t>Ideal Progress</t>
  </si>
  <si>
    <t>Actual Progress</t>
  </si>
  <si>
    <t>Time Elapsed</t>
  </si>
  <si>
    <t>${bpHelper.getToday()}</t>
  </si>
  <si>
    <t>Report Date</t>
  </si>
  <si>
    <t>Report Date ???</t>
  </si>
  <si>
    <t>(blank)</t>
  </si>
  <si>
    <t>R&amp;D Bucket</t>
  </si>
  <si>
    <t>Other</t>
  </si>
  <si>
    <t>Total</t>
  </si>
  <si>
    <t>Sprint</t>
  </si>
  <si>
    <t>Historical</t>
  </si>
  <si>
    <t>Sum of Epic Not Decomposed Estimate</t>
  </si>
  <si>
    <t>Epics New</t>
  </si>
  <si>
    <t>Stories Ready</t>
  </si>
  <si>
    <t>Ideal Burndown</t>
  </si>
  <si>
    <t>Actual Burndown</t>
  </si>
  <si>
    <t>* Update table G2 - copy the previous sprint data to the current sprint and replace the previous sprint data with historical data.</t>
  </si>
  <si>
    <t>1. _ReleaseData sheet:</t>
  </si>
  <si>
    <t>* Update table B20 as above.</t>
  </si>
  <si>
    <t>* Update table K5 - fill in the previous sprint data with historical data.</t>
  </si>
  <si>
    <t>Changes required for a new Sprint:</t>
  </si>
  <si>
    <t>* In pivot table D1 - change Last Sprint filter for the current sprint.</t>
  </si>
  <si>
    <t>* Data &gt; Refresh All.</t>
  </si>
  <si>
    <t>* Update donut slice colors if needed (Refresh All should help to not update colors).</t>
  </si>
  <si>
    <t>Total Estimate</t>
  </si>
  <si>
    <t>Planned</t>
  </si>
  <si>
    <t>Story Decomposed</t>
  </si>
  <si>
    <t>Completed</t>
  </si>
  <si>
    <t>Remaining Estimate</t>
  </si>
  <si>
    <t>Story Decomposition Progress</t>
  </si>
  <si>
    <t>Development Progress</t>
  </si>
  <si>
    <t>2. _CumulativeFlowData:</t>
  </si>
  <si>
    <t>* Update table A1 as above.</t>
  </si>
  <si>
    <t>3. _ReadinessData sheet:</t>
  </si>
  <si>
    <t>4. _TeamVelocityData sheet:</t>
  </si>
  <si>
    <t>5. _ActiveSprintData sheet:</t>
  </si>
  <si>
    <t>6. ActiveSprint sheet:</t>
  </si>
  <si>
    <t>$[IF(OR(B2="Bug", B2="Epic"),"",IF(D2=V2, 0, N2))]</t>
  </si>
  <si>
    <t>Backlog Health</t>
  </si>
  <si>
    <t>Yes</t>
  </si>
  <si>
    <t>No</t>
  </si>
  <si>
    <t>${bpHelper.isInBacklogHealth(issue)}&lt;/jt:forEach&gt;</t>
  </si>
  <si>
    <t>Feature</t>
  </si>
  <si>
    <t>Cost</t>
  </si>
  <si>
    <t>RD</t>
  </si>
  <si>
    <t>DevOps: New</t>
  </si>
  <si>
    <t>DevOps: Review</t>
  </si>
  <si>
    <t>DevOps: Ready</t>
  </si>
  <si>
    <t>DevOps: In Development</t>
  </si>
  <si>
    <t>DevOps: Validation</t>
  </si>
  <si>
    <t>DevOps: Demo Checkpoint</t>
  </si>
  <si>
    <t>DevOps: Done</t>
  </si>
  <si>
    <t>DevOps: In Development - On Hold</t>
  </si>
  <si>
    <t>DevOps: Demo Checkpoint - On Hold</t>
  </si>
  <si>
    <t>DevOps: Prototype Done</t>
  </si>
  <si>
    <t>DevOps: Ready for Validation</t>
  </si>
  <si>
    <t>DevOps: Validation - On Hold</t>
  </si>
  <si>
    <t>DevOps: Cancelled</t>
  </si>
  <si>
    <t>R&amp;D</t>
  </si>
  <si>
    <t>DevOps Type</t>
  </si>
  <si>
    <t>${bpHelper.getDevOpsType(issue)}</t>
  </si>
  <si>
    <t>Development/Internal Support</t>
  </si>
  <si>
    <t>Production Support</t>
  </si>
  <si>
    <t>Planned - Deployment and Release</t>
  </si>
  <si>
    <t>Planned - Operational Efficiency</t>
  </si>
  <si>
    <t>Planned - Platform Health</t>
  </si>
  <si>
    <t>Planned - Security</t>
  </si>
  <si>
    <t>Time Off / Conferences</t>
  </si>
  <si>
    <t>Not DevOps</t>
  </si>
  <si>
    <t>$[IF(K2="DevOps","","Yes")]</t>
  </si>
  <si>
    <t>Custom P0/P1 Bugs: ${bpHelper.getCustomP0P1BugCount()}</t>
  </si>
  <si>
    <t>bug</t>
  </si>
  <si>
    <t>Total P0/P1 Bugs: ${bpHelper.getTotalP0P1BugCount()}</t>
  </si>
  <si>
    <t>Chart Total</t>
  </si>
  <si>
    <t>Sum of Stories Estimate</t>
  </si>
  <si>
    <t>Sum of Epic Decomposed</t>
  </si>
  <si>
    <t>Admin</t>
  </si>
  <si>
    <t>Excel Export</t>
  </si>
  <si>
    <t>Venus</t>
  </si>
  <si>
    <t>&lt;mt:execute script="field-helper-tool.groovy"/&gt;&lt;mt:execute script="blueprint-helper.groovy"/&gt;&lt;mt:execute script="blueprint-wavelength-dashboard-helper.groovy"/&gt;</t>
  </si>
  <si>
    <t>${bpHelper.getWavelengthComponent(issue)}</t>
  </si>
  <si>
    <t>Visio Import</t>
  </si>
  <si>
    <t>BoA Audit</t>
  </si>
  <si>
    <t>Wavelength</t>
  </si>
  <si>
    <t>W1</t>
  </si>
  <si>
    <t>W2</t>
  </si>
  <si>
    <t>W3</t>
  </si>
  <si>
    <t>W4</t>
  </si>
  <si>
    <t>W5</t>
  </si>
  <si>
    <t>W6</t>
  </si>
  <si>
    <t>W7</t>
  </si>
  <si>
    <t>$[SUBSTITUTE(SUBSTITUTE(AE2, "avelength", ""), "enus", "")]</t>
  </si>
  <si>
    <t>Wavelength1</t>
  </si>
  <si>
    <t>Wavelength2</t>
  </si>
  <si>
    <t>Wavelength3</t>
  </si>
  <si>
    <t>Wavelength4</t>
  </si>
  <si>
    <t>Wavelength5</t>
  </si>
  <si>
    <t>Wavelength6</t>
  </si>
  <si>
    <t>Wavelength7</t>
  </si>
  <si>
    <t>Time Elapsed BoA Audit</t>
  </si>
  <si>
    <t>Visio Import/Export</t>
  </si>
  <si>
    <t>Logging and Audit</t>
  </si>
  <si>
    <t>Release, Admin, Visio Import</t>
  </si>
  <si>
    <t>Release Component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</si>
</sst>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* #,##0.00_);_(* \(#,##0.00\);_(* &quot;-&quot;??_);_(@_)"/>
    <numFmt numFmtId="165" formatCode="[$-409]d\-mmm\-yyyy;@"/>
    <numFmt numFmtId="166" formatCode="0.0%"/>
    <numFmt numFmtId="167" formatCode="0.0"/>
    <numFmt numFmtId="168" formatCode="[$-409]d\-mmm\-yy;@"/>
    <numFmt numFmtId="169" formatCode="[$-409]dd\-mmm\-yy;@"/>
  </numFmts>
  <fonts count="1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0.5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theme="0" tint="-0.14999847407452621"/>
      </patternFill>
    </fill>
    <fill>
      <patternFill patternType="solid">
        <fgColor theme="0"/>
        <bgColor indexed="64"/>
      </patternFill>
    </fill>
    <fill>
      <patternFill patternType="solid">
        <fgColor rgb="FFF2F2F2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2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double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7F7F7F"/>
      </left>
      <right/>
      <top/>
      <bottom/>
      <diagonal/>
    </border>
    <border>
      <left/>
      <right/>
      <top style="thin">
        <color theme="1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theme="1"/>
      </top>
      <bottom style="thin">
        <color indexed="64"/>
      </bottom>
      <diagonal/>
    </border>
  </borders>
  <cellStyleXfs count="6">
    <xf numFmtId="0" fontId="0" fillId="0" borderId="0"/>
    <xf numFmtId="9" fontId="7" fillId="0" borderId="0" applyFont="0" applyFill="0" applyBorder="0" applyAlignment="0" applyProtection="0"/>
    <xf numFmtId="0" fontId="9" fillId="6" borderId="8" applyNumberFormat="0" applyAlignment="0" applyProtection="0"/>
    <xf numFmtId="164" fontId="7" fillId="0" borderId="0" applyFont="0" applyFill="0" applyBorder="0" applyAlignment="0" applyProtection="0"/>
    <xf numFmtId="0" fontId="11" fillId="7" borderId="0" applyNumberFormat="0" applyBorder="0" applyAlignment="0" applyProtection="0"/>
    <xf numFmtId="0" fontId="12" fillId="8" borderId="11" applyNumberFormat="0" applyAlignment="0" applyProtection="0"/>
  </cellStyleXfs>
  <cellXfs count="83">
    <xf numFmtId="0" fontId="0" fillId="0" borderId="0" xfId="0"/>
    <xf numFmtId="0" fontId="1" fillId="2" borderId="0" xfId="0" applyFont="1" applyFill="1" applyBorder="1" applyAlignment="1">
      <alignment vertical="top"/>
    </xf>
    <xf numFmtId="0" fontId="1" fillId="2" borderId="1" xfId="0" applyFont="1" applyFill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vertical="top"/>
    </xf>
    <xf numFmtId="0" fontId="3" fillId="0" borderId="0" xfId="0" applyFont="1" applyFill="1" applyBorder="1" applyAlignment="1">
      <alignment vertical="top"/>
    </xf>
    <xf numFmtId="0" fontId="1" fillId="2" borderId="0" xfId="0" applyFont="1" applyFill="1" applyBorder="1" applyAlignment="1">
      <alignment vertical="top" wrapText="1"/>
    </xf>
    <xf numFmtId="0" fontId="3" fillId="0" borderId="0" xfId="0" applyFont="1" applyBorder="1" applyAlignment="1">
      <alignment vertical="top" wrapText="1"/>
    </xf>
    <xf numFmtId="165" fontId="2" fillId="0" borderId="0" xfId="0" applyNumberFormat="1" applyFont="1" applyAlignment="1">
      <alignment vertical="top"/>
    </xf>
    <xf numFmtId="9" fontId="2" fillId="0" borderId="0" xfId="0" applyNumberFormat="1" applyFont="1" applyAlignment="1">
      <alignment vertical="top"/>
    </xf>
    <xf numFmtId="0" fontId="2" fillId="0" borderId="0" xfId="0" applyNumberFormat="1" applyFont="1" applyAlignment="1">
      <alignment vertical="top"/>
    </xf>
    <xf numFmtId="0" fontId="3" fillId="0" borderId="0" xfId="0" applyFont="1" applyAlignment="1">
      <alignment vertical="top" wrapText="1"/>
    </xf>
    <xf numFmtId="2" fontId="2" fillId="0" borderId="0" xfId="0" applyNumberFormat="1" applyFont="1" applyAlignment="1">
      <alignment vertical="top"/>
    </xf>
    <xf numFmtId="9" fontId="2" fillId="0" borderId="0" xfId="0" applyNumberFormat="1" applyFont="1" applyAlignment="1">
      <alignment vertical="top" wrapText="1"/>
    </xf>
    <xf numFmtId="0" fontId="2" fillId="0" borderId="0" xfId="0" applyNumberFormat="1" applyFont="1" applyAlignment="1">
      <alignment vertical="top" wrapText="1"/>
    </xf>
    <xf numFmtId="0" fontId="0" fillId="0" borderId="0" xfId="0" pivotButton="1"/>
    <xf numFmtId="0" fontId="0" fillId="0" borderId="0" xfId="0" applyAlignment="1">
      <alignment horizontal="left"/>
    </xf>
    <xf numFmtId="0" fontId="4" fillId="0" borderId="0" xfId="0" applyFont="1" applyAlignment="1">
      <alignment vertical="top"/>
    </xf>
    <xf numFmtId="0" fontId="5" fillId="0" borderId="0" xfId="0" applyFont="1" applyAlignment="1">
      <alignment vertical="center" wrapText="1"/>
    </xf>
    <xf numFmtId="0" fontId="0" fillId="0" borderId="0" xfId="0" applyNumberFormat="1"/>
    <xf numFmtId="9" fontId="0" fillId="0" borderId="0" xfId="1" applyFont="1"/>
    <xf numFmtId="0" fontId="6" fillId="0" borderId="3" xfId="0" applyFont="1" applyBorder="1"/>
    <xf numFmtId="0" fontId="0" fillId="0" borderId="0" xfId="0" applyFont="1"/>
    <xf numFmtId="14" fontId="0" fillId="0" borderId="0" xfId="0" applyNumberFormat="1" applyFont="1"/>
    <xf numFmtId="14" fontId="0" fillId="0" borderId="0" xfId="0" applyNumberFormat="1"/>
    <xf numFmtId="14" fontId="0" fillId="5" borderId="5" xfId="0" applyNumberFormat="1" applyFont="1" applyFill="1" applyBorder="1"/>
    <xf numFmtId="14" fontId="0" fillId="5" borderId="6" xfId="0" applyNumberFormat="1" applyFont="1" applyFill="1" applyBorder="1"/>
    <xf numFmtId="0" fontId="8" fillId="4" borderId="2" xfId="0" applyFont="1" applyFill="1" applyBorder="1"/>
    <xf numFmtId="0" fontId="8" fillId="4" borderId="7" xfId="0" applyFont="1" applyFill="1" applyBorder="1"/>
    <xf numFmtId="166" fontId="0" fillId="0" borderId="0" xfId="0" applyNumberFormat="1"/>
    <xf numFmtId="0" fontId="9" fillId="6" borderId="8" xfId="2"/>
    <xf numFmtId="14" fontId="10" fillId="0" borderId="0" xfId="0" applyNumberFormat="1" applyFont="1" applyBorder="1"/>
    <xf numFmtId="9" fontId="0" fillId="0" borderId="0" xfId="0" applyNumberFormat="1"/>
    <xf numFmtId="1" fontId="0" fillId="0" borderId="0" xfId="0" applyNumberFormat="1"/>
    <xf numFmtId="1" fontId="0" fillId="0" borderId="0" xfId="0" applyNumberFormat="1" applyFont="1"/>
    <xf numFmtId="9" fontId="0" fillId="0" borderId="0" xfId="0" applyNumberFormat="1" applyFont="1"/>
    <xf numFmtId="164" fontId="0" fillId="0" borderId="0" xfId="3" applyFont="1"/>
    <xf numFmtId="10" fontId="0" fillId="0" borderId="0" xfId="0" applyNumberFormat="1" applyFont="1"/>
    <xf numFmtId="0" fontId="11" fillId="7" borderId="0" xfId="4"/>
    <xf numFmtId="167" fontId="0" fillId="0" borderId="0" xfId="0" applyNumberFormat="1"/>
    <xf numFmtId="167" fontId="0" fillId="0" borderId="0" xfId="0" applyNumberFormat="1" applyFont="1"/>
    <xf numFmtId="167" fontId="0" fillId="0" borderId="0" xfId="0" applyNumberFormat="1" applyBorder="1"/>
    <xf numFmtId="0" fontId="6" fillId="0" borderId="0" xfId="0" applyFont="1"/>
    <xf numFmtId="9" fontId="0" fillId="3" borderId="0" xfId="0" applyNumberFormat="1" applyFill="1"/>
    <xf numFmtId="14" fontId="0" fillId="5" borderId="9" xfId="0" applyNumberFormat="1" applyFont="1" applyFill="1" applyBorder="1"/>
    <xf numFmtId="14" fontId="0" fillId="5" borderId="10" xfId="0" applyNumberFormat="1" applyFont="1" applyFill="1" applyBorder="1"/>
    <xf numFmtId="0" fontId="0" fillId="0" borderId="12" xfId="0" applyBorder="1"/>
    <xf numFmtId="0" fontId="9" fillId="6" borderId="13" xfId="2" applyBorder="1" applyAlignment="1">
      <alignment wrapText="1"/>
    </xf>
    <xf numFmtId="0" fontId="12" fillId="8" borderId="14" xfId="5" applyBorder="1" applyAlignment="1">
      <alignment wrapText="1"/>
    </xf>
    <xf numFmtId="0" fontId="12" fillId="8" borderId="15" xfId="5" applyBorder="1" applyAlignment="1">
      <alignment wrapText="1"/>
    </xf>
    <xf numFmtId="0" fontId="12" fillId="8" borderId="11" xfId="5" applyAlignment="1">
      <alignment wrapText="1"/>
    </xf>
    <xf numFmtId="0" fontId="12" fillId="8" borderId="16" xfId="5" applyBorder="1" applyAlignment="1">
      <alignment wrapText="1"/>
    </xf>
    <xf numFmtId="0" fontId="12" fillId="8" borderId="17" xfId="5" applyBorder="1" applyAlignment="1">
      <alignment wrapText="1"/>
    </xf>
    <xf numFmtId="0" fontId="0" fillId="0" borderId="12" xfId="0" applyBorder="1" applyAlignment="1">
      <alignment wrapText="1"/>
    </xf>
    <xf numFmtId="0" fontId="0" fillId="0" borderId="0" xfId="0" applyAlignment="1">
      <alignment wrapText="1"/>
    </xf>
    <xf numFmtId="168" fontId="0" fillId="0" borderId="0" xfId="0" applyNumberFormat="1"/>
    <xf numFmtId="167" fontId="0" fillId="0" borderId="18" xfId="0" applyNumberFormat="1" applyBorder="1"/>
    <xf numFmtId="1" fontId="0" fillId="0" borderId="0" xfId="0" applyNumberFormat="1" applyBorder="1"/>
    <xf numFmtId="167" fontId="0" fillId="0" borderId="12" xfId="0" applyNumberFormat="1" applyBorder="1"/>
    <xf numFmtId="169" fontId="2" fillId="0" borderId="0" xfId="0" applyNumberFormat="1" applyFont="1" applyAlignment="1">
      <alignment horizontal="right" vertical="center"/>
    </xf>
    <xf numFmtId="0" fontId="0" fillId="0" borderId="18" xfId="0" applyBorder="1"/>
    <xf numFmtId="169" fontId="2" fillId="0" borderId="0" xfId="0" applyNumberFormat="1" applyFont="1" applyBorder="1" applyAlignment="1">
      <alignment horizontal="right" vertical="center"/>
    </xf>
    <xf numFmtId="0" fontId="0" fillId="0" borderId="0" xfId="0" applyBorder="1"/>
    <xf numFmtId="0" fontId="6" fillId="0" borderId="19" xfId="0" applyFont="1" applyBorder="1"/>
    <xf numFmtId="10" fontId="0" fillId="0" borderId="0" xfId="0" applyNumberFormat="1" applyFont="1" applyBorder="1"/>
    <xf numFmtId="167" fontId="0" fillId="0" borderId="0" xfId="0" applyNumberFormat="1" applyFont="1" applyBorder="1"/>
    <xf numFmtId="0" fontId="0" fillId="0" borderId="0" xfId="0" applyFont="1" applyBorder="1"/>
    <xf numFmtId="14" fontId="0" fillId="0" borderId="0" xfId="0" applyNumberFormat="1" applyFont="1" applyBorder="1"/>
    <xf numFmtId="1" fontId="0" fillId="0" borderId="0" xfId="0" applyNumberFormat="1" applyFont="1" applyBorder="1"/>
    <xf numFmtId="9" fontId="0" fillId="0" borderId="0" xfId="0" applyNumberFormat="1" applyFont="1" applyBorder="1"/>
    <xf numFmtId="167" fontId="0" fillId="0" borderId="1" xfId="0" applyNumberFormat="1" applyBorder="1"/>
    <xf numFmtId="0" fontId="0" fillId="0" borderId="1" xfId="0" applyFont="1" applyBorder="1"/>
    <xf numFmtId="14" fontId="0" fillId="0" borderId="1" xfId="0" applyNumberFormat="1" applyFont="1" applyBorder="1"/>
    <xf numFmtId="1" fontId="0" fillId="0" borderId="1" xfId="0" applyNumberFormat="1" applyFont="1" applyBorder="1"/>
    <xf numFmtId="9" fontId="0" fillId="0" borderId="1" xfId="0" applyNumberFormat="1" applyFont="1" applyBorder="1"/>
    <xf numFmtId="9" fontId="0" fillId="0" borderId="0" xfId="0" applyNumberFormat="1" applyBorder="1"/>
    <xf numFmtId="9" fontId="0" fillId="0" borderId="1" xfId="0" applyNumberFormat="1" applyBorder="1"/>
    <xf numFmtId="9" fontId="0" fillId="0" borderId="20" xfId="0" applyNumberFormat="1" applyFont="1" applyBorder="1"/>
    <xf numFmtId="0" fontId="6" fillId="0" borderId="21" xfId="0" applyFont="1" applyBorder="1"/>
    <xf numFmtId="0" fontId="0" fillId="0" borderId="4" xfId="0" applyBorder="1"/>
    <xf numFmtId="0" fontId="9" fillId="6" borderId="8" xfId="2"/>
    <xf numFmtId="0" fontId="12" fillId="8" borderId="11" xfId="5" applyAlignment="1">
      <alignment horizontal="center"/>
    </xf>
  </cellXfs>
  <cellStyles count="6">
    <cellStyle name="Comma" xfId="3" builtinId="3"/>
    <cellStyle name="Input" xfId="5" builtinId="20"/>
    <cellStyle name="Neutral" xfId="4" builtinId="28"/>
    <cellStyle name="Normal" xfId="0" builtinId="0"/>
    <cellStyle name="Output" xfId="2" builtinId="21"/>
    <cellStyle name="Percent" xfId="1" builtinId="5"/>
  </cellStyles>
  <dxfs count="16">
    <dxf>
      <numFmt numFmtId="0" formatCode="General"/>
    </dxf>
    <dxf>
      <numFmt numFmtId="0" formatCode="General"/>
    </dxf>
    <dxf>
      <numFmt numFmtId="0" formatCode="General"/>
    </dxf>
    <dxf>
      <numFmt numFmtId="170" formatCode="m/d/yyyy"/>
    </dxf>
    <dxf>
      <numFmt numFmtId="170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0" formatCode="m/d/yyyy"/>
      <fill>
        <patternFill>
          <bgColor theme="0"/>
        </patternFill>
      </fill>
      <border diagonalUp="0" diagonalDown="0">
        <left style="thin">
          <color indexed="64"/>
        </left>
        <right/>
        <top/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0" formatCode="m/d/yyyy"/>
      <fill>
        <patternFill>
          <bgColor theme="0"/>
        </patternFill>
      </fill>
      <border diagonalUp="0" diagonalDown="0">
        <left/>
        <right style="thin">
          <color indexed="64"/>
        </right>
        <top/>
        <bottom/>
        <vertical style="thin">
          <color indexed="64"/>
        </vertical>
        <horizontal/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theme="0"/>
        </patternFill>
      </fill>
    </dxf>
    <dxf>
      <border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</dxfs>
  <tableStyles count="0" defaultTableStyle="TableStyleMedium9" defaultPivotStyle="PivotStyleLight16"/>
  <colors>
    <mruColors>
      <color rgb="FF0000FF"/>
      <color rgb="FFBFBFBF"/>
      <color rgb="FF6464FF"/>
      <color rgb="FF5A5AFF"/>
      <color rgb="FF5050FF"/>
      <color rgb="FF7878FF"/>
      <color rgb="FF0A64FF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3.xml"/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9.xml"/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Time</a:t>
            </a:r>
            <a:r>
              <a:rPr lang="en-US" b="0" baseline="0"/>
              <a:t> Elapsed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58A-4A00-AB70-A98432CF0903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58A-4A00-AB70-A98432CF0903}"/>
              </c:ext>
            </c:extLst>
          </c:dPt>
          <c:val>
            <c:numRef>
              <c:f>_ReleaseData!$B$2:$B$3</c:f>
              <c:numCache>
                <c:formatCode>0.0%</c:formatCode>
                <c:ptCount val="2"/>
                <c:pt idx="0" formatCode="0%">
                  <c:v>0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58A-4A00-AB70-A98432CF09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baseline="0"/>
              <a:t>Admin Progress</a:t>
            </a:r>
            <a:endParaRPr lang="en-US" sz="1200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explosion val="1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10C-4CAF-996A-531D98BF1E1F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10C-4CAF-996A-531D98BF1E1F}"/>
              </c:ext>
            </c:extLst>
          </c:dPt>
          <c:val>
            <c:numRef>
              <c:f>_ReleaseData!$B$10:$B$11</c:f>
              <c:numCache>
                <c:formatCode>0.0%</c:formatCode>
                <c:ptCount val="2"/>
                <c:pt idx="0" formatCode="0%">
                  <c:v>-0.5</c:v>
                </c:pt>
                <c:pt idx="1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10C-4CAF-996A-531D98BF1E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Admin Progress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_ReleaseData!$K$2</c:f>
              <c:strCache>
                <c:ptCount val="1"/>
                <c:pt idx="0">
                  <c:v>Ideal Progress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</c:strCache>
            </c:strRef>
          </c:cat>
          <c:val>
            <c:numRef>
              <c:f>_ReleaseData!$K$3:$K$10</c:f>
              <c:numCache>
                <c:formatCode>0%</c:formatCode>
                <c:ptCount val="8"/>
                <c:pt idx="0">
                  <c:v>0</c:v>
                </c:pt>
                <c:pt idx="1">
                  <c:v>0.13432835820895522</c:v>
                </c:pt>
                <c:pt idx="2">
                  <c:v>0.28358208955223879</c:v>
                </c:pt>
                <c:pt idx="3">
                  <c:v>0.43283582089552236</c:v>
                </c:pt>
                <c:pt idx="4">
                  <c:v>0.58208955223880599</c:v>
                </c:pt>
                <c:pt idx="5">
                  <c:v>0.71641791044776115</c:v>
                </c:pt>
                <c:pt idx="6">
                  <c:v>0.86567164179104472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38-46B4-9475-0E5D9BC024E2}"/>
            </c:ext>
          </c:extLst>
        </c:ser>
        <c:ser>
          <c:idx val="1"/>
          <c:order val="1"/>
          <c:tx>
            <c:strRef>
              <c:f>_ReleaseData!$N$2</c:f>
              <c:strCache>
                <c:ptCount val="1"/>
                <c:pt idx="0">
                  <c:v>Actual Progress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</c:strCache>
            </c:strRef>
          </c:cat>
          <c:val>
            <c:numRef>
              <c:f>_ReleaseData!$N$3:$N$10</c:f>
              <c:numCache>
                <c:formatCode>0%</c:formatCode>
                <c:ptCount val="8"/>
                <c:pt idx="0">
                  <c:v>-0.5</c:v>
                </c:pt>
                <c:pt idx="1">
                  <c:v>-0.5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38-46B4-9475-0E5D9BC02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574608"/>
        <c:axId val="658222944"/>
      </c:lineChart>
      <c:catAx>
        <c:axId val="186657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222944"/>
        <c:crosses val="autoZero"/>
        <c:auto val="1"/>
        <c:lblAlgn val="ctr"/>
        <c:lblOffset val="100"/>
        <c:noMultiLvlLbl val="0"/>
      </c:catAx>
      <c:valAx>
        <c:axId val="6582229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574608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[Wavelength-Dashboard.xlsx]_ReleaseData!PivotTable4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Admin Backlog by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_ReleaseData!$E$29</c:f>
              <c:strCache>
                <c:ptCount val="1"/>
                <c:pt idx="0">
                  <c:v>Total</c:v>
                </c:pt>
              </c:strCache>
            </c:strRef>
          </c:tx>
          <c:spPr>
            <a:ln w="0"/>
          </c:spPr>
          <c:dPt>
            <c:idx val="0"/>
            <c:bubble3D val="0"/>
            <c:spPr>
              <a:solidFill>
                <a:schemeClr val="accent3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983-416B-8807-C801151788AA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983-416B-8807-C801151788AA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983-416B-8807-C801151788AA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983-416B-8807-C801151788AA}"/>
              </c:ext>
            </c:extLst>
          </c:dPt>
          <c:dPt>
            <c:idx val="4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983-416B-8807-C801151788AA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_ReleaseData!$D$30:$D$34</c:f>
              <c:strCache>
                <c:ptCount val="5"/>
                <c:pt idx="0">
                  <c:v>Done</c:v>
                </c:pt>
                <c:pt idx="1">
                  <c:v>In Validation</c:v>
                </c:pt>
                <c:pt idx="2">
                  <c:v>In Dev</c:v>
                </c:pt>
                <c:pt idx="3">
                  <c:v>Ready</c:v>
                </c:pt>
                <c:pt idx="4">
                  <c:v>Not Decomposed</c:v>
                </c:pt>
              </c:strCache>
            </c:strRef>
          </c:cat>
          <c:val>
            <c:numRef>
              <c:f>_ReleaseData!$E$30:$E$34</c:f>
              <c:numCache>
                <c:formatCode>General</c:formatCode>
                <c:ptCount val="5"/>
                <c:pt idx="0">
                  <c:v>-50</c:v>
                </c:pt>
                <c:pt idx="1">
                  <c:v>40</c:v>
                </c:pt>
                <c:pt idx="2">
                  <c:v>60</c:v>
                </c:pt>
                <c:pt idx="3">
                  <c:v>30</c:v>
                </c:pt>
                <c:pt idx="4">
                  <c:v>-80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983-416B-8807-C801151788A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Admin Burndown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_ReleaseData!$S$2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</c:strCache>
            </c:strRef>
          </c:cat>
          <c:val>
            <c:numRef>
              <c:f>_ReleaseData!$S$3:$S$10</c:f>
              <c:numCache>
                <c:formatCode>0.0</c:formatCode>
                <c:ptCount val="8"/>
                <c:pt idx="0">
                  <c:v>200</c:v>
                </c:pt>
                <c:pt idx="1">
                  <c:v>173.13432835820896</c:v>
                </c:pt>
                <c:pt idx="2">
                  <c:v>143.28358208955225</c:v>
                </c:pt>
                <c:pt idx="3">
                  <c:v>113.43283582089553</c:v>
                </c:pt>
                <c:pt idx="4">
                  <c:v>83.582089552238799</c:v>
                </c:pt>
                <c:pt idx="5">
                  <c:v>56.716417910447767</c:v>
                </c:pt>
                <c:pt idx="6">
                  <c:v>26.865671641791057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5A-47A5-B202-F20FA7713A98}"/>
            </c:ext>
          </c:extLst>
        </c:ser>
        <c:ser>
          <c:idx val="1"/>
          <c:order val="1"/>
          <c:tx>
            <c:strRef>
              <c:f>_ReleaseData!$T$2</c:f>
              <c:strCache>
                <c:ptCount val="1"/>
                <c:pt idx="0">
                  <c:v>Actual Burndown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</c:strCache>
            </c:strRef>
          </c:cat>
          <c:val>
            <c:numRef>
              <c:f>_ReleaseData!$T$3:$T$10</c:f>
              <c:numCache>
                <c:formatCode>0.0</c:formatCode>
                <c:ptCount val="8"/>
                <c:pt idx="0">
                  <c:v>150</c:v>
                </c:pt>
                <c:pt idx="1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5A-47A5-B202-F20FA7713A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3767647"/>
        <c:axId val="1573085007"/>
      </c:lineChart>
      <c:catAx>
        <c:axId val="1623767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085007"/>
        <c:crosses val="autoZero"/>
        <c:auto val="1"/>
        <c:lblAlgn val="ctr"/>
        <c:lblOffset val="100"/>
        <c:noMultiLvlLbl val="0"/>
      </c:catAx>
      <c:valAx>
        <c:axId val="1573085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767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Admin Cumulative Flow 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'_CumulativeFlowData '!$L$2</c:f>
              <c:strCache>
                <c:ptCount val="1"/>
                <c:pt idx="0">
                  <c:v>Total Estimate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</c:strCache>
            </c:strRef>
          </c:cat>
          <c:val>
            <c:numRef>
              <c:f>'_CumulativeFlowData '!$L$3:$L$10</c:f>
              <c:numCache>
                <c:formatCode>0.0</c:formatCode>
                <c:ptCount val="8"/>
                <c:pt idx="0">
                  <c:v>100</c:v>
                </c:pt>
                <c:pt idx="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A7-4C4C-ABBC-7C5B3A6D574B}"/>
            </c:ext>
          </c:extLst>
        </c:ser>
        <c:ser>
          <c:idx val="2"/>
          <c:order val="2"/>
          <c:tx>
            <c:strRef>
              <c:f>'_CumulativeFlowData '!$N$2</c:f>
              <c:strCache>
                <c:ptCount val="1"/>
                <c:pt idx="0">
                  <c:v>Epic Decomposed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</c:strCache>
            </c:strRef>
          </c:cat>
          <c:val>
            <c:numRef>
              <c:f>'_CumulativeFlowData '!$N$3:$N$10</c:f>
              <c:numCache>
                <c:formatCode>0.0</c:formatCode>
                <c:ptCount val="8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A7-4C4C-ABBC-7C5B3A6D574B}"/>
            </c:ext>
          </c:extLst>
        </c:ser>
        <c:ser>
          <c:idx val="3"/>
          <c:order val="3"/>
          <c:tx>
            <c:strRef>
              <c:f>'_CumulativeFlowData '!$O$2</c:f>
              <c:strCache>
                <c:ptCount val="1"/>
                <c:pt idx="0">
                  <c:v>Story Decomposed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</c:strCache>
            </c:strRef>
          </c:cat>
          <c:val>
            <c:numRef>
              <c:f>'_CumulativeFlowData '!$O$3:$O$10</c:f>
              <c:numCache>
                <c:formatCode>0.0</c:formatCode>
                <c:ptCount val="8"/>
                <c:pt idx="0">
                  <c:v>180</c:v>
                </c:pt>
                <c:pt idx="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A7-4C4C-ABBC-7C5B3A6D574B}"/>
            </c:ext>
          </c:extLst>
        </c:ser>
        <c:ser>
          <c:idx val="4"/>
          <c:order val="4"/>
          <c:tx>
            <c:strRef>
              <c:f>'_CumulativeFlowData '!$P$2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</c:strCache>
            </c:strRef>
          </c:cat>
          <c:val>
            <c:numRef>
              <c:f>'_CumulativeFlowData '!$P$3:$P$10</c:f>
              <c:numCache>
                <c:formatCode>0.0</c:formatCode>
                <c:ptCount val="8"/>
                <c:pt idx="0">
                  <c:v>-50</c:v>
                </c:pt>
                <c:pt idx="1">
                  <c:v>-50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4A7-4C4C-ABBC-7C5B3A6D5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122368"/>
        <c:axId val="1087488160"/>
      </c:areaChart>
      <c:lineChart>
        <c:grouping val="standard"/>
        <c:varyColors val="0"/>
        <c:ser>
          <c:idx val="1"/>
          <c:order val="1"/>
          <c:tx>
            <c:strRef>
              <c:f>'_CumulativeFlowData '!$M$2</c:f>
              <c:strCache>
                <c:ptCount val="1"/>
                <c:pt idx="0">
                  <c:v>Planned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4A7-4C4C-ABBC-7C5B3A6D574B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4A7-4C4C-ABBC-7C5B3A6D574B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4A7-4C4C-ABBC-7C5B3A6D574B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4A7-4C4C-ABBC-7C5B3A6D574B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4A7-4C4C-ABBC-7C5B3A6D574B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4A7-4C4C-ABBC-7C5B3A6D574B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069-45BB-BB6F-B72BAE34338B}"/>
                </c:ext>
              </c:extLst>
            </c:dLbl>
            <c:dLbl>
              <c:idx val="14"/>
              <c:layout>
                <c:manualLayout>
                  <c:x val="-1.3888888888888888E-2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84A7-4C4C-ABBC-7C5B3A6D574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'_CumulativeFlowData '!$A$3:$A$10</c:f>
              <c:strCache>
                <c:ptCount val="8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</c:strCache>
            </c:strRef>
          </c:cat>
          <c:val>
            <c:numRef>
              <c:f>'_CumulativeFlowData '!$M$3:$M$10</c:f>
              <c:numCache>
                <c:formatCode>0</c:formatCode>
                <c:ptCount val="8"/>
                <c:pt idx="0">
                  <c:v>200</c:v>
                </c:pt>
                <c:pt idx="1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84A7-4C4C-ABBC-7C5B3A6D5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122368"/>
        <c:axId val="1087488160"/>
      </c:lineChart>
      <c:catAx>
        <c:axId val="104612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488160"/>
        <c:crosses val="autoZero"/>
        <c:auto val="1"/>
        <c:lblAlgn val="ctr"/>
        <c:lblOffset val="100"/>
        <c:noMultiLvlLbl val="0"/>
      </c:catAx>
      <c:valAx>
        <c:axId val="108748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12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Time</a:t>
            </a:r>
            <a:r>
              <a:rPr lang="en-US" b="0" baseline="0"/>
              <a:t> Elapsed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089-45C2-9D14-6FA60D27A7F2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089-45C2-9D14-6FA60D27A7F2}"/>
              </c:ext>
            </c:extLst>
          </c:dPt>
          <c:val>
            <c:numRef>
              <c:f>_ReleaseData!$B$22:$B$23</c:f>
              <c:numCache>
                <c:formatCode>0.0%</c:formatCode>
                <c:ptCount val="2"/>
                <c:pt idx="0" formatCode="0%">
                  <c:v>0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089-45C2-9D14-6FA60D27A7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 baseline="0"/>
              <a:t>Visio Import Progress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explosion val="1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D73-4679-8A6A-A87BFDFD2774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D73-4679-8A6A-A87BFDFD2774}"/>
              </c:ext>
            </c:extLst>
          </c:dPt>
          <c:val>
            <c:numRef>
              <c:f>_ReleaseData!$B$14:$B$15</c:f>
              <c:numCache>
                <c:formatCode>0.0%</c:formatCode>
                <c:ptCount val="2"/>
                <c:pt idx="0" formatCode="0%">
                  <c:v>-2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D73-4679-8A6A-A87BFDFD27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Visio Import Progress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_ReleaseData!$L$2</c:f>
              <c:strCache>
                <c:ptCount val="1"/>
                <c:pt idx="0">
                  <c:v>Ideal Progress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</c:strCache>
            </c:strRef>
          </c:cat>
          <c:val>
            <c:numRef>
              <c:f>_ReleaseData!$L$3:$L$10</c:f>
              <c:numCache>
                <c:formatCode>0%</c:formatCode>
                <c:ptCount val="8"/>
                <c:pt idx="0">
                  <c:v>0</c:v>
                </c:pt>
                <c:pt idx="1">
                  <c:v>0.13432835820895522</c:v>
                </c:pt>
                <c:pt idx="2">
                  <c:v>0.28358208955223879</c:v>
                </c:pt>
                <c:pt idx="3">
                  <c:v>0.43283582089552236</c:v>
                </c:pt>
                <c:pt idx="4">
                  <c:v>0.58208955223880599</c:v>
                </c:pt>
                <c:pt idx="5">
                  <c:v>0.71641791044776115</c:v>
                </c:pt>
                <c:pt idx="6">
                  <c:v>0.86567164179104472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85-46CB-A179-82F0C56D06FA}"/>
            </c:ext>
          </c:extLst>
        </c:ser>
        <c:ser>
          <c:idx val="1"/>
          <c:order val="1"/>
          <c:tx>
            <c:strRef>
              <c:f>_ReleaseData!$O$2</c:f>
              <c:strCache>
                <c:ptCount val="1"/>
                <c:pt idx="0">
                  <c:v>Actual Progress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</c:strCache>
            </c:strRef>
          </c:cat>
          <c:val>
            <c:numRef>
              <c:f>_ReleaseData!$O$3:$O$10</c:f>
              <c:numCache>
                <c:formatCode>0%</c:formatCode>
                <c:ptCount val="8"/>
                <c:pt idx="0">
                  <c:v>-2</c:v>
                </c:pt>
                <c:pt idx="1">
                  <c:v>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85-46CB-A179-82F0C56D06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574608"/>
        <c:axId val="658222944"/>
      </c:lineChart>
      <c:catAx>
        <c:axId val="186657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222944"/>
        <c:crosses val="autoZero"/>
        <c:auto val="1"/>
        <c:lblAlgn val="ctr"/>
        <c:lblOffset val="100"/>
        <c:noMultiLvlLbl val="0"/>
      </c:catAx>
      <c:valAx>
        <c:axId val="6582229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574608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[Wavelength-Dashboard.xlsx]_ReleaseData!PivotTable9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Visio Import Backlog by State</a:t>
            </a:r>
            <a:endParaRPr lang="en-US"/>
          </a:p>
        </c:rich>
      </c:tx>
      <c:layout>
        <c:manualLayout>
          <c:xMode val="edge"/>
          <c:yMode val="edge"/>
          <c:x val="0.27691219191259592"/>
          <c:y val="4.59770114942528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_ReleaseData!$H$29</c:f>
              <c:strCache>
                <c:ptCount val="1"/>
                <c:pt idx="0">
                  <c:v>Total</c:v>
                </c:pt>
              </c:strCache>
            </c:strRef>
          </c:tx>
          <c:spPr>
            <a:ln w="0"/>
          </c:spPr>
          <c:dPt>
            <c:idx val="0"/>
            <c:bubble3D val="0"/>
            <c:spPr>
              <a:solidFill>
                <a:schemeClr val="accent3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B0B-4AFF-8DE3-588864865EE2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B0B-4AFF-8DE3-588864865EE2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B0B-4AFF-8DE3-588864865EE2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B0B-4AFF-8DE3-588864865EE2}"/>
              </c:ext>
            </c:extLst>
          </c:dPt>
          <c:dPt>
            <c:idx val="4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B0B-4AFF-8DE3-588864865EE2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_ReleaseData!$G$30:$G$34</c:f>
              <c:strCache>
                <c:ptCount val="5"/>
                <c:pt idx="0">
                  <c:v>Done</c:v>
                </c:pt>
                <c:pt idx="1">
                  <c:v>In Validation</c:v>
                </c:pt>
                <c:pt idx="2">
                  <c:v>In Dev</c:v>
                </c:pt>
                <c:pt idx="3">
                  <c:v>Ready</c:v>
                </c:pt>
                <c:pt idx="4">
                  <c:v>Not Decomposed</c:v>
                </c:pt>
              </c:strCache>
            </c:strRef>
          </c:cat>
          <c:val>
            <c:numRef>
              <c:f>_ReleaseData!$H$30:$H$34</c:f>
              <c:numCache>
                <c:formatCode>General</c:formatCode>
                <c:ptCount val="5"/>
                <c:pt idx="0">
                  <c:v>-100</c:v>
                </c:pt>
                <c:pt idx="1">
                  <c:v>40</c:v>
                </c:pt>
                <c:pt idx="2">
                  <c:v>60</c:v>
                </c:pt>
                <c:pt idx="3">
                  <c:v>30</c:v>
                </c:pt>
                <c:pt idx="4">
                  <c:v>-130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B0B-4AFF-8DE3-588864865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Visio Import Burndown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_ReleaseData!$U$2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</c:strCache>
            </c:strRef>
          </c:cat>
          <c:val>
            <c:numRef>
              <c:f>_ReleaseData!$U$3:$U$10</c:f>
              <c:numCache>
                <c:formatCode>0.0</c:formatCode>
                <c:ptCount val="8"/>
                <c:pt idx="0">
                  <c:v>200</c:v>
                </c:pt>
                <c:pt idx="1">
                  <c:v>173.13432835820896</c:v>
                </c:pt>
                <c:pt idx="2">
                  <c:v>143.28358208955225</c:v>
                </c:pt>
                <c:pt idx="3">
                  <c:v>113.43283582089553</c:v>
                </c:pt>
                <c:pt idx="4">
                  <c:v>83.582089552238799</c:v>
                </c:pt>
                <c:pt idx="5">
                  <c:v>56.716417910447767</c:v>
                </c:pt>
                <c:pt idx="6">
                  <c:v>26.865671641791057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75-4231-B993-8E7A20E45A08}"/>
            </c:ext>
          </c:extLst>
        </c:ser>
        <c:ser>
          <c:idx val="1"/>
          <c:order val="1"/>
          <c:tx>
            <c:strRef>
              <c:f>_ReleaseData!$V$2</c:f>
              <c:strCache>
                <c:ptCount val="1"/>
                <c:pt idx="0">
                  <c:v>Actual Burndown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</c:strCache>
            </c:strRef>
          </c:cat>
          <c:val>
            <c:numRef>
              <c:f>_ReleaseData!$V$3:$V$10</c:f>
              <c:numCache>
                <c:formatCode>0.0</c:formatCode>
                <c:ptCount val="8"/>
                <c:pt idx="0">
                  <c:v>150</c:v>
                </c:pt>
                <c:pt idx="1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75-4231-B993-8E7A20E45A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3230592"/>
        <c:axId val="1201502656"/>
      </c:lineChart>
      <c:catAx>
        <c:axId val="131323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502656"/>
        <c:crosses val="autoZero"/>
        <c:auto val="1"/>
        <c:lblAlgn val="ctr"/>
        <c:lblOffset val="100"/>
        <c:noMultiLvlLbl val="0"/>
      </c:catAx>
      <c:valAx>
        <c:axId val="120150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230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Release</a:t>
            </a:r>
            <a:r>
              <a:rPr lang="en-US" b="0" baseline="0"/>
              <a:t> Progress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explosion val="1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222-44D7-A7A1-E3F0C562DAA9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222-44D7-A7A1-E3F0C562DAA9}"/>
              </c:ext>
            </c:extLst>
          </c:dPt>
          <c:val>
            <c:numRef>
              <c:f>_ReleaseData!$B$6:$B$7</c:f>
              <c:numCache>
                <c:formatCode>0.0%</c:formatCode>
                <c:ptCount val="2"/>
                <c:pt idx="0" formatCode="0%">
                  <c:v>0.25</c:v>
                </c:pt>
                <c:pt idx="1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222-44D7-A7A1-E3F0C562DA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Visio Import Cumulative Flow 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'_CumulativeFlowData '!$T$2</c:f>
              <c:strCache>
                <c:ptCount val="1"/>
                <c:pt idx="0">
                  <c:v>Total Estimate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</c:strCache>
            </c:strRef>
          </c:cat>
          <c:val>
            <c:numRef>
              <c:f>'_CumulativeFlowData '!$T$3:$T$10</c:f>
              <c:numCache>
                <c:formatCode>0.0</c:formatCode>
                <c:ptCount val="8"/>
                <c:pt idx="0">
                  <c:v>50</c:v>
                </c:pt>
                <c:pt idx="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47-4170-8AFA-DA7F2E5C4040}"/>
            </c:ext>
          </c:extLst>
        </c:ser>
        <c:ser>
          <c:idx val="2"/>
          <c:order val="2"/>
          <c:tx>
            <c:strRef>
              <c:f>'_CumulativeFlowData '!$V$2</c:f>
              <c:strCache>
                <c:ptCount val="1"/>
                <c:pt idx="0">
                  <c:v>Epic Decomposed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</c:strCache>
            </c:strRef>
          </c:cat>
          <c:val>
            <c:numRef>
              <c:f>'_CumulativeFlowData '!$V$3:$V$10</c:f>
              <c:numCache>
                <c:formatCode>0.0</c:formatCode>
                <c:ptCount val="8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47-4170-8AFA-DA7F2E5C4040}"/>
            </c:ext>
          </c:extLst>
        </c:ser>
        <c:ser>
          <c:idx val="3"/>
          <c:order val="3"/>
          <c:tx>
            <c:strRef>
              <c:f>'_CumulativeFlowData '!$W$2</c:f>
              <c:strCache>
                <c:ptCount val="1"/>
                <c:pt idx="0">
                  <c:v>Story Decomposed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</c:strCache>
            </c:strRef>
          </c:cat>
          <c:val>
            <c:numRef>
              <c:f>'_CumulativeFlowData '!$W$3:$W$10</c:f>
              <c:numCache>
                <c:formatCode>0.0</c:formatCode>
                <c:ptCount val="8"/>
                <c:pt idx="0">
                  <c:v>180</c:v>
                </c:pt>
                <c:pt idx="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47-4170-8AFA-DA7F2E5C4040}"/>
            </c:ext>
          </c:extLst>
        </c:ser>
        <c:ser>
          <c:idx val="4"/>
          <c:order val="4"/>
          <c:tx>
            <c:strRef>
              <c:f>'_CumulativeFlowData '!$X$2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</c:strCache>
            </c:strRef>
          </c:cat>
          <c:val>
            <c:numRef>
              <c:f>'_CumulativeFlowData '!$X$3:$X$10</c:f>
              <c:numCache>
                <c:formatCode>0.0</c:formatCode>
                <c:ptCount val="8"/>
                <c:pt idx="0">
                  <c:v>-100</c:v>
                </c:pt>
                <c:pt idx="1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047-4170-8AFA-DA7F2E5C40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122368"/>
        <c:axId val="1087488160"/>
      </c:areaChart>
      <c:lineChart>
        <c:grouping val="standard"/>
        <c:varyColors val="0"/>
        <c:ser>
          <c:idx val="1"/>
          <c:order val="1"/>
          <c:tx>
            <c:strRef>
              <c:f>'_CumulativeFlowData '!$U$2</c:f>
              <c:strCache>
                <c:ptCount val="1"/>
                <c:pt idx="0">
                  <c:v>Planned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047-4170-8AFA-DA7F2E5C4040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047-4170-8AFA-DA7F2E5C4040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047-4170-8AFA-DA7F2E5C4040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047-4170-8AFA-DA7F2E5C4040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047-4170-8AFA-DA7F2E5C4040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047-4170-8AFA-DA7F2E5C4040}"/>
                </c:ext>
              </c:extLst>
            </c:dLbl>
            <c:dLbl>
              <c:idx val="6"/>
              <c:layout>
                <c:manualLayout>
                  <c:x val="8.0128205128205135E-2"/>
                  <c:y val="0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047-4170-8AFA-DA7F2E5C4040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DAF-4776-9B86-DEE292B84CF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'_CumulativeFlowData '!$A$3:$A$10</c:f>
              <c:strCache>
                <c:ptCount val="8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</c:strCache>
            </c:strRef>
          </c:cat>
          <c:val>
            <c:numRef>
              <c:f>'_CumulativeFlowData '!$U$3:$U$10</c:f>
              <c:numCache>
                <c:formatCode>0</c:formatCode>
                <c:ptCount val="8"/>
                <c:pt idx="0">
                  <c:v>200</c:v>
                </c:pt>
                <c:pt idx="1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1047-4170-8AFA-DA7F2E5C40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122368"/>
        <c:axId val="1087488160"/>
      </c:lineChart>
      <c:catAx>
        <c:axId val="104612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488160"/>
        <c:crosses val="autoZero"/>
        <c:auto val="1"/>
        <c:lblAlgn val="ctr"/>
        <c:lblOffset val="100"/>
        <c:noMultiLvlLbl val="0"/>
      </c:catAx>
      <c:valAx>
        <c:axId val="108748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12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Time</a:t>
            </a:r>
            <a:r>
              <a:rPr lang="en-US" b="0" baseline="0"/>
              <a:t> Elapsed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EFB-436B-BCA2-AB246EFCAB12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EFB-436B-BCA2-AB246EFCAB12}"/>
              </c:ext>
            </c:extLst>
          </c:dPt>
          <c:val>
            <c:numRef>
              <c:f>_ReleaseData!$B$2:$B$3</c:f>
              <c:numCache>
                <c:formatCode>0.0%</c:formatCode>
                <c:ptCount val="2"/>
                <c:pt idx="0" formatCode="0%">
                  <c:v>0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EFB-436B-BCA2-AB246EFCAB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baseline="0"/>
              <a:t>BoA Audit Progress</a:t>
            </a:r>
            <a:endParaRPr lang="en-US" sz="1400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explosion val="1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C90-46D9-9C4B-D3A162153235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C90-46D9-9C4B-D3A162153235}"/>
              </c:ext>
            </c:extLst>
          </c:dPt>
          <c:val>
            <c:numRef>
              <c:f>_ReleaseData!$B$18:$B$19</c:f>
              <c:numCache>
                <c:formatCode>0.0%</c:formatCode>
                <c:ptCount val="2"/>
                <c:pt idx="0" formatCode="0%">
                  <c:v>-2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90-46D9-9C4B-D3A1621532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BoA Audit Progress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_ReleaseData!$K$2</c:f>
              <c:strCache>
                <c:ptCount val="1"/>
                <c:pt idx="0">
                  <c:v>Ideal Progress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</c:strCache>
            </c:strRef>
          </c:cat>
          <c:val>
            <c:numRef>
              <c:f>_ReleaseData!$K$3:$K$10</c:f>
              <c:numCache>
                <c:formatCode>0%</c:formatCode>
                <c:ptCount val="8"/>
                <c:pt idx="0">
                  <c:v>0</c:v>
                </c:pt>
                <c:pt idx="1">
                  <c:v>0.13432835820895522</c:v>
                </c:pt>
                <c:pt idx="2">
                  <c:v>0.28358208955223879</c:v>
                </c:pt>
                <c:pt idx="3">
                  <c:v>0.43283582089552236</c:v>
                </c:pt>
                <c:pt idx="4">
                  <c:v>0.58208955223880599</c:v>
                </c:pt>
                <c:pt idx="5">
                  <c:v>0.71641791044776115</c:v>
                </c:pt>
                <c:pt idx="6">
                  <c:v>0.86567164179104472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72-4DC0-8527-81029D3DE8D8}"/>
            </c:ext>
          </c:extLst>
        </c:ser>
        <c:ser>
          <c:idx val="1"/>
          <c:order val="1"/>
          <c:tx>
            <c:strRef>
              <c:f>_ReleaseData!$P$2</c:f>
              <c:strCache>
                <c:ptCount val="1"/>
                <c:pt idx="0">
                  <c:v>Actual Progress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</c:strCache>
            </c:strRef>
          </c:cat>
          <c:val>
            <c:numRef>
              <c:f>_ReleaseData!$P$3:$P$10</c:f>
              <c:numCache>
                <c:formatCode>0%</c:formatCode>
                <c:ptCount val="8"/>
                <c:pt idx="0">
                  <c:v>-2</c:v>
                </c:pt>
                <c:pt idx="1">
                  <c:v>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72-4DC0-8527-81029D3DE8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574608"/>
        <c:axId val="658222944"/>
      </c:lineChart>
      <c:catAx>
        <c:axId val="186657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222944"/>
        <c:crosses val="autoZero"/>
        <c:auto val="1"/>
        <c:lblAlgn val="ctr"/>
        <c:lblOffset val="100"/>
        <c:noMultiLvlLbl val="0"/>
      </c:catAx>
      <c:valAx>
        <c:axId val="6582229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574608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BoA Audit Burndown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_ReleaseData!$W$2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</c:strCache>
            </c:strRef>
          </c:cat>
          <c:val>
            <c:numRef>
              <c:f>_ReleaseData!$W$3:$W$10</c:f>
              <c:numCache>
                <c:formatCode>0.0</c:formatCode>
                <c:ptCount val="8"/>
                <c:pt idx="0">
                  <c:v>60</c:v>
                </c:pt>
                <c:pt idx="1">
                  <c:v>51.940298507462693</c:v>
                </c:pt>
                <c:pt idx="2">
                  <c:v>42.985074626865675</c:v>
                </c:pt>
                <c:pt idx="3">
                  <c:v>34.029850746268664</c:v>
                </c:pt>
                <c:pt idx="4">
                  <c:v>25.07462686567164</c:v>
                </c:pt>
                <c:pt idx="5">
                  <c:v>17.014925373134332</c:v>
                </c:pt>
                <c:pt idx="6">
                  <c:v>8.0597014925373163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F4-4382-8FE2-3B4AB4862203}"/>
            </c:ext>
          </c:extLst>
        </c:ser>
        <c:ser>
          <c:idx val="1"/>
          <c:order val="1"/>
          <c:tx>
            <c:strRef>
              <c:f>_ReleaseData!$X$2</c:f>
              <c:strCache>
                <c:ptCount val="1"/>
                <c:pt idx="0">
                  <c:v>Actual Burndown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</c:strCache>
            </c:strRef>
          </c:cat>
          <c:val>
            <c:numRef>
              <c:f>_ReleaseData!$X$3:$X$10</c:f>
              <c:numCache>
                <c:formatCode>0.0</c:formatCode>
                <c:ptCount val="8"/>
                <c:pt idx="0">
                  <c:v>150</c:v>
                </c:pt>
                <c:pt idx="1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F4-4382-8FE2-3B4AB48622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3767647"/>
        <c:axId val="1573085007"/>
      </c:lineChart>
      <c:catAx>
        <c:axId val="1623767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085007"/>
        <c:crosses val="autoZero"/>
        <c:auto val="1"/>
        <c:lblAlgn val="ctr"/>
        <c:lblOffset val="100"/>
        <c:noMultiLvlLbl val="0"/>
      </c:catAx>
      <c:valAx>
        <c:axId val="1573085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767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BoA Audit Cumulative Flow 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'_CumulativeFlowData '!$AB$2</c:f>
              <c:strCache>
                <c:ptCount val="1"/>
                <c:pt idx="0">
                  <c:v>Total Estimate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</c:strCache>
            </c:strRef>
          </c:cat>
          <c:val>
            <c:numRef>
              <c:f>'_CumulativeFlowData '!$AB$3:$AB$10</c:f>
              <c:numCache>
                <c:formatCode>0.0</c:formatCode>
                <c:ptCount val="8"/>
                <c:pt idx="0">
                  <c:v>50</c:v>
                </c:pt>
                <c:pt idx="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61-484A-93E2-996F299C3053}"/>
            </c:ext>
          </c:extLst>
        </c:ser>
        <c:ser>
          <c:idx val="2"/>
          <c:order val="2"/>
          <c:tx>
            <c:strRef>
              <c:f>'_CumulativeFlowData '!$AD$2</c:f>
              <c:strCache>
                <c:ptCount val="1"/>
                <c:pt idx="0">
                  <c:v>Epic Decomposed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</c:strCache>
            </c:strRef>
          </c:cat>
          <c:val>
            <c:numRef>
              <c:f>'_CumulativeFlowData '!$AD$3:$AD$10</c:f>
              <c:numCache>
                <c:formatCode>0.0</c:formatCode>
                <c:ptCount val="8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61-484A-93E2-996F299C3053}"/>
            </c:ext>
          </c:extLst>
        </c:ser>
        <c:ser>
          <c:idx val="3"/>
          <c:order val="3"/>
          <c:tx>
            <c:strRef>
              <c:f>'_CumulativeFlowData '!$AE$2</c:f>
              <c:strCache>
                <c:ptCount val="1"/>
                <c:pt idx="0">
                  <c:v>Story Decomposed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</c:strCache>
            </c:strRef>
          </c:cat>
          <c:val>
            <c:numRef>
              <c:f>'_CumulativeFlowData '!$AE$3:$AE$10</c:f>
              <c:numCache>
                <c:formatCode>0.0</c:formatCode>
                <c:ptCount val="8"/>
                <c:pt idx="0">
                  <c:v>180</c:v>
                </c:pt>
                <c:pt idx="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61-484A-93E2-996F299C3053}"/>
            </c:ext>
          </c:extLst>
        </c:ser>
        <c:ser>
          <c:idx val="4"/>
          <c:order val="4"/>
          <c:tx>
            <c:strRef>
              <c:f>'_CumulativeFlowData '!$AF$2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</c:strCache>
            </c:strRef>
          </c:cat>
          <c:val>
            <c:numRef>
              <c:f>'_CumulativeFlowData '!$AF$3:$AF$10</c:f>
              <c:numCache>
                <c:formatCode>0.0</c:formatCode>
                <c:ptCount val="8"/>
                <c:pt idx="0">
                  <c:v>-100</c:v>
                </c:pt>
                <c:pt idx="1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C61-484A-93E2-996F299C30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122368"/>
        <c:axId val="1087488160"/>
      </c:areaChart>
      <c:lineChart>
        <c:grouping val="standard"/>
        <c:varyColors val="0"/>
        <c:ser>
          <c:idx val="1"/>
          <c:order val="1"/>
          <c:tx>
            <c:strRef>
              <c:f>'_CumulativeFlowData '!$AC$2</c:f>
              <c:strCache>
                <c:ptCount val="1"/>
                <c:pt idx="0">
                  <c:v>Planned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C61-484A-93E2-996F299C3053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C61-484A-93E2-996F299C3053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C61-484A-93E2-996F299C3053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C61-484A-93E2-996F299C3053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C61-484A-93E2-996F299C3053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C61-484A-93E2-996F299C3053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56D-4093-AE02-06F1CD42EE98}"/>
                </c:ext>
              </c:extLst>
            </c:dLbl>
            <c:dLbl>
              <c:idx val="14"/>
              <c:layout>
                <c:manualLayout>
                  <c:x val="-1.3888888888888888E-2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C61-484A-93E2-996F299C305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'_CumulativeFlowData '!$A$3:$A$10</c:f>
              <c:strCache>
                <c:ptCount val="8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</c:strCache>
            </c:strRef>
          </c:cat>
          <c:val>
            <c:numRef>
              <c:f>'_CumulativeFlowData '!$AC$3:$AC$10</c:f>
              <c:numCache>
                <c:formatCode>0</c:formatCode>
                <c:ptCount val="8"/>
                <c:pt idx="0">
                  <c:v>60</c:v>
                </c:pt>
                <c:pt idx="1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C61-484A-93E2-996F299C30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122368"/>
        <c:axId val="1087488160"/>
      </c:lineChart>
      <c:catAx>
        <c:axId val="104612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488160"/>
        <c:crosses val="autoZero"/>
        <c:auto val="1"/>
        <c:lblAlgn val="ctr"/>
        <c:lblOffset val="100"/>
        <c:noMultiLvlLbl val="0"/>
      </c:catAx>
      <c:valAx>
        <c:axId val="108748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12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[Wavelength-Dashboard.xlsx]_ReleaseData!PivotTable6</c:name>
    <c:fmtId val="1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BoA Audit Backlog by State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rgbClr val="4F81BD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9BBB59"/>
          </a:solidFill>
          <a:ln w="19050">
            <a:noFill/>
          </a:ln>
          <a:effectLst/>
        </c:spPr>
      </c:pivotFmt>
      <c:pivotFmt>
        <c:idx val="9"/>
        <c:spPr>
          <a:solidFill>
            <a:srgbClr val="F79646"/>
          </a:solidFill>
          <a:ln w="19050">
            <a:noFill/>
          </a:ln>
          <a:effectLst/>
        </c:spPr>
      </c:pivotFmt>
      <c:pivotFmt>
        <c:idx val="10"/>
        <c:spPr>
          <a:solidFill>
            <a:srgbClr val="4F81BD"/>
          </a:solidFill>
          <a:ln w="19050">
            <a:noFill/>
          </a:ln>
          <a:effectLst/>
        </c:spPr>
      </c:pivotFmt>
      <c:pivotFmt>
        <c:idx val="11"/>
        <c:spPr>
          <a:solidFill>
            <a:srgbClr val="4BACC6"/>
          </a:solidFill>
          <a:ln w="19050">
            <a:noFill/>
          </a:ln>
          <a:effectLst/>
        </c:spPr>
      </c:pivotFmt>
      <c:pivotFmt>
        <c:idx val="12"/>
        <c:spPr>
          <a:solidFill>
            <a:sysClr val="window" lastClr="FFFFFF">
              <a:lumMod val="85000"/>
            </a:sysClr>
          </a:solidFill>
          <a:ln w="19050"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_ReleaseData!$K$29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rgbClr val="9BBB59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E25-4464-888A-3C34A7DF0007}"/>
              </c:ext>
            </c:extLst>
          </c:dPt>
          <c:dPt>
            <c:idx val="1"/>
            <c:bubble3D val="0"/>
            <c:spPr>
              <a:solidFill>
                <a:srgbClr val="F79646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E25-4464-888A-3C34A7DF0007}"/>
              </c:ext>
            </c:extLst>
          </c:dPt>
          <c:dPt>
            <c:idx val="2"/>
            <c:bubble3D val="0"/>
            <c:spPr>
              <a:solidFill>
                <a:srgbClr val="4F81BD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E25-4464-888A-3C34A7DF0007}"/>
              </c:ext>
            </c:extLst>
          </c:dPt>
          <c:dPt>
            <c:idx val="3"/>
            <c:bubble3D val="0"/>
            <c:spPr>
              <a:solidFill>
                <a:srgbClr val="4BACC6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EE25-4464-888A-3C34A7DF0007}"/>
              </c:ext>
            </c:extLst>
          </c:dPt>
          <c:dPt>
            <c:idx val="4"/>
            <c:bubble3D val="0"/>
            <c:spPr>
              <a:solidFill>
                <a:sysClr val="window" lastClr="FFFFFF">
                  <a:lumMod val="85000"/>
                </a:sys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EE25-4464-888A-3C34A7DF0007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rgbClr val="4F81BD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_ReleaseData!$J$30:$J$34</c:f>
              <c:strCache>
                <c:ptCount val="5"/>
                <c:pt idx="0">
                  <c:v>Done</c:v>
                </c:pt>
                <c:pt idx="1">
                  <c:v>In Validation</c:v>
                </c:pt>
                <c:pt idx="2">
                  <c:v>In Dev</c:v>
                </c:pt>
                <c:pt idx="3">
                  <c:v>Ready</c:v>
                </c:pt>
                <c:pt idx="4">
                  <c:v>Not Decomposed</c:v>
                </c:pt>
              </c:strCache>
            </c:strRef>
          </c:cat>
          <c:val>
            <c:numRef>
              <c:f>_ReleaseData!$K$30:$K$34</c:f>
              <c:numCache>
                <c:formatCode>General</c:formatCode>
                <c:ptCount val="5"/>
                <c:pt idx="0">
                  <c:v>-100</c:v>
                </c:pt>
                <c:pt idx="1">
                  <c:v>40</c:v>
                </c:pt>
                <c:pt idx="2">
                  <c:v>60</c:v>
                </c:pt>
                <c:pt idx="3">
                  <c:v>30</c:v>
                </c:pt>
                <c:pt idx="4">
                  <c:v>-130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E25-4464-888A-3C34A7DF000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Readiness</a:t>
            </a:r>
          </a:p>
        </c:rich>
      </c:tx>
      <c:layout>
        <c:manualLayout>
          <c:xMode val="edge"/>
          <c:yMode val="edge"/>
          <c:x val="0.4067152230971128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_ReadinessData!$C$15</c:f>
              <c:strCache>
                <c:ptCount val="1"/>
                <c:pt idx="0">
                  <c:v>Epics New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_ReadinessData!$B$16:$B$22</c:f>
              <c:strCache>
                <c:ptCount val="7"/>
                <c:pt idx="0">
                  <c:v>W1</c:v>
                </c:pt>
                <c:pt idx="1">
                  <c:v>W2</c:v>
                </c:pt>
                <c:pt idx="2">
                  <c:v>W3</c:v>
                </c:pt>
                <c:pt idx="3">
                  <c:v>W4</c:v>
                </c:pt>
                <c:pt idx="4">
                  <c:v>W5</c:v>
                </c:pt>
                <c:pt idx="5">
                  <c:v>W6</c:v>
                </c:pt>
                <c:pt idx="6">
                  <c:v>W7</c:v>
                </c:pt>
              </c:strCache>
            </c:strRef>
          </c:cat>
          <c:val>
            <c:numRef>
              <c:f>_ReadinessData!$C$16:$C$22</c:f>
              <c:numCache>
                <c:formatCode>General</c:formatCode>
                <c:ptCount val="7"/>
                <c:pt idx="0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BD-43AA-9D9A-99A2773FA1BD}"/>
            </c:ext>
          </c:extLst>
        </c:ser>
        <c:ser>
          <c:idx val="1"/>
          <c:order val="1"/>
          <c:tx>
            <c:strRef>
              <c:f>_ReadinessData!$D$15</c:f>
              <c:strCache>
                <c:ptCount val="1"/>
                <c:pt idx="0">
                  <c:v>Stories Ready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_ReadinessData!$B$16:$B$22</c:f>
              <c:strCache>
                <c:ptCount val="7"/>
                <c:pt idx="0">
                  <c:v>W1</c:v>
                </c:pt>
                <c:pt idx="1">
                  <c:v>W2</c:v>
                </c:pt>
                <c:pt idx="2">
                  <c:v>W3</c:v>
                </c:pt>
                <c:pt idx="3">
                  <c:v>W4</c:v>
                </c:pt>
                <c:pt idx="4">
                  <c:v>W5</c:v>
                </c:pt>
                <c:pt idx="5">
                  <c:v>W6</c:v>
                </c:pt>
                <c:pt idx="6">
                  <c:v>W7</c:v>
                </c:pt>
              </c:strCache>
            </c:strRef>
          </c:cat>
          <c:val>
            <c:numRef>
              <c:f>_ReadinessData!$D$16:$D$22</c:f>
              <c:numCache>
                <c:formatCode>General</c:formatCode>
                <c:ptCount val="7"/>
                <c:pt idx="0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BD-43AA-9D9A-99A2773FA1B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18195855"/>
        <c:axId val="1795294287"/>
      </c:barChart>
      <c:catAx>
        <c:axId val="1818195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5294287"/>
        <c:crosses val="autoZero"/>
        <c:auto val="1"/>
        <c:lblAlgn val="ctr"/>
        <c:lblOffset val="100"/>
        <c:noMultiLvlLbl val="0"/>
      </c:catAx>
      <c:valAx>
        <c:axId val="179529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8195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[Wavelength-Dashboard.xlsx]_TeamBacklogData!PivotTable1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Team Backlog</a:t>
            </a:r>
            <a:endParaRPr lang="en-US"/>
          </a:p>
        </c:rich>
      </c:tx>
      <c:layout>
        <c:manualLayout>
          <c:xMode val="edge"/>
          <c:yMode val="edge"/>
          <c:x val="0.40216253376117317"/>
          <c:y val="3.34394591254831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7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2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7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2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7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32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33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3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5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36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37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38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3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0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41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42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43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4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5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46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47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48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4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0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51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52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53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54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55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_TeamBacklogData!$B$6</c:f>
              <c:strCache>
                <c:ptCount val="1"/>
                <c:pt idx="0">
                  <c:v>Total</c:v>
                </c:pt>
              </c:strCache>
            </c:strRef>
          </c:tx>
          <c:spPr>
            <a:ln w="0"/>
          </c:spPr>
          <c:dPt>
            <c:idx val="0"/>
            <c:bubble3D val="0"/>
            <c:spPr>
              <a:solidFill>
                <a:schemeClr val="accent3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AA2-4F47-B525-2AB76CCAB36E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AA2-4F47-B525-2AB76CCAB36E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AA2-4F47-B525-2AB76CCAB36E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AA2-4F47-B525-2AB76CCAB36E}"/>
              </c:ext>
            </c:extLst>
          </c:dPt>
          <c:dPt>
            <c:idx val="4"/>
            <c:bubble3D val="0"/>
            <c:spPr>
              <a:solidFill>
                <a:schemeClr val="bg1">
                  <a:lumMod val="7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44A-4121-84A6-483F53A3948F}"/>
              </c:ext>
            </c:extLst>
          </c:dPt>
          <c:dLbls>
            <c:spPr>
              <a:solidFill>
                <a:sysClr val="window" lastClr="FFFFFF"/>
              </a:solidFill>
              <a:ln w="0"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_TeamBacklogData!$A$7:$A$12</c:f>
              <c:strCache>
                <c:ptCount val="5"/>
                <c:pt idx="0">
                  <c:v>Closed</c:v>
                </c:pt>
                <c:pt idx="1">
                  <c:v>Validation</c:v>
                </c:pt>
                <c:pt idx="2">
                  <c:v>In Dev</c:v>
                </c:pt>
                <c:pt idx="3">
                  <c:v>Ready</c:v>
                </c:pt>
                <c:pt idx="4">
                  <c:v>New</c:v>
                </c:pt>
              </c:strCache>
            </c:strRef>
          </c:cat>
          <c:val>
            <c:numRef>
              <c:f>_TeamBacklogData!$B$7:$B$12</c:f>
              <c:numCache>
                <c:formatCode>General</c:formatCode>
                <c:ptCount val="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AA2-4F47-B525-2AB76CCAB3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[Wavelength-Dashboard.xlsx]_TeamVelocityData!PivotTable1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Team</a:t>
            </a:r>
            <a:r>
              <a:rPr lang="en-US" baseline="0"/>
              <a:t> Velocity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_TeamVelocityData!$C$5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_TeamVelocityData!$B$6:$B$13</c:f>
              <c:strCache>
                <c:ptCount val="7"/>
                <c:pt idx="0">
                  <c:v>W1</c:v>
                </c:pt>
                <c:pt idx="1">
                  <c:v>W2</c:v>
                </c:pt>
                <c:pt idx="2">
                  <c:v>W3</c:v>
                </c:pt>
                <c:pt idx="3">
                  <c:v>W4</c:v>
                </c:pt>
                <c:pt idx="4">
                  <c:v>W5</c:v>
                </c:pt>
                <c:pt idx="5">
                  <c:v>W6</c:v>
                </c:pt>
                <c:pt idx="6">
                  <c:v>W7</c:v>
                </c:pt>
              </c:strCache>
            </c:strRef>
          </c:cat>
          <c:val>
            <c:numRef>
              <c:f>_TeamVelocityData!$C$6:$C$13</c:f>
              <c:numCache>
                <c:formatCode>General</c:formatCode>
                <c:ptCount val="7"/>
                <c:pt idx="0">
                  <c:v>100</c:v>
                </c:pt>
                <c:pt idx="1">
                  <c:v>60</c:v>
                </c:pt>
                <c:pt idx="2">
                  <c:v>30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55-4522-AF9A-462F7408A36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92053359"/>
        <c:axId val="1038995487"/>
      </c:barChart>
      <c:catAx>
        <c:axId val="1092053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995487"/>
        <c:crosses val="autoZero"/>
        <c:auto val="1"/>
        <c:lblAlgn val="ctr"/>
        <c:lblOffset val="100"/>
        <c:noMultiLvlLbl val="0"/>
      </c:catAx>
      <c:valAx>
        <c:axId val="103899548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053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Release</a:t>
            </a:r>
            <a:r>
              <a:rPr lang="en-US" baseline="0"/>
              <a:t> Progress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_ReleaseData!$K$2</c:f>
              <c:strCache>
                <c:ptCount val="1"/>
                <c:pt idx="0">
                  <c:v>Ideal Progress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</c:strCache>
            </c:strRef>
          </c:cat>
          <c:val>
            <c:numRef>
              <c:f>_ReleaseData!$K$3:$K$10</c:f>
              <c:numCache>
                <c:formatCode>0%</c:formatCode>
                <c:ptCount val="8"/>
                <c:pt idx="0">
                  <c:v>0</c:v>
                </c:pt>
                <c:pt idx="1">
                  <c:v>0.13432835820895522</c:v>
                </c:pt>
                <c:pt idx="2">
                  <c:v>0.28358208955223879</c:v>
                </c:pt>
                <c:pt idx="3">
                  <c:v>0.43283582089552236</c:v>
                </c:pt>
                <c:pt idx="4">
                  <c:v>0.58208955223880599</c:v>
                </c:pt>
                <c:pt idx="5">
                  <c:v>0.71641791044776115</c:v>
                </c:pt>
                <c:pt idx="6">
                  <c:v>0.86567164179104472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39-47BF-9015-CE6B634CEFF4}"/>
            </c:ext>
          </c:extLst>
        </c:ser>
        <c:ser>
          <c:idx val="1"/>
          <c:order val="1"/>
          <c:tx>
            <c:strRef>
              <c:f>_ReleaseData!$M$2</c:f>
              <c:strCache>
                <c:ptCount val="1"/>
                <c:pt idx="0">
                  <c:v>Actual Progress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</c:strCache>
            </c:strRef>
          </c:cat>
          <c:val>
            <c:numRef>
              <c:f>_ReleaseData!$M$3:$M$10</c:f>
              <c:numCache>
                <c:formatCode>0%</c:formatCode>
                <c:ptCount val="8"/>
                <c:pt idx="0">
                  <c:v>0.25</c:v>
                </c:pt>
                <c:pt idx="1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39-47BF-9015-CE6B634CEF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574608"/>
        <c:axId val="658222944"/>
      </c:lineChart>
      <c:catAx>
        <c:axId val="186657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222944"/>
        <c:crosses val="autoZero"/>
        <c:auto val="1"/>
        <c:lblAlgn val="ctr"/>
        <c:lblOffset val="100"/>
        <c:noMultiLvlLbl val="0"/>
      </c:catAx>
      <c:valAx>
        <c:axId val="6582229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574608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[Wavelength-Dashboard.xlsx]_ActiveSprintData!PivotTable2</c:name>
    <c:fmtId val="0"/>
  </c:pivotSource>
  <c:chart>
    <c:title>
      <c:tx>
        <c:strRef>
          <c:f>_ActiveSprintData!$E$16</c:f>
          <c:strCache>
            <c:ptCount val="1"/>
            <c:pt idx="0">
              <c:v>Sprint Wavelength1 Progress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0000"/>
          </a:solidFill>
          <a:ln>
            <a:noFill/>
          </a:ln>
          <a:effectLst/>
        </c:spPr>
      </c:pivotFmt>
      <c:pivotFmt>
        <c:idx val="3"/>
        <c:spPr>
          <a:solidFill>
            <a:schemeClr val="accent3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bg1">
              <a:lumMod val="65000"/>
            </a:schemeClr>
          </a:solidFill>
          <a:ln>
            <a:noFill/>
          </a:ln>
          <a:effectLst/>
        </c:spPr>
      </c:pivotFmt>
      <c:pivotFmt>
        <c:idx val="6"/>
        <c:spPr>
          <a:solidFill>
            <a:srgbClr val="FF0000"/>
          </a:solidFill>
          <a:ln>
            <a:noFill/>
          </a:ln>
          <a:effectLst/>
        </c:spPr>
      </c:pivotFmt>
      <c:pivotFmt>
        <c:idx val="7"/>
        <c:spPr>
          <a:solidFill>
            <a:schemeClr val="accent6"/>
          </a:solidFill>
          <a:ln>
            <a:noFill/>
          </a:ln>
          <a:effectLst/>
        </c:spPr>
      </c:pivotFmt>
      <c:pivotFmt>
        <c:idx val="8"/>
        <c:spPr>
          <a:solidFill>
            <a:schemeClr val="tx1"/>
          </a:solidFill>
          <a:ln>
            <a:noFill/>
          </a:ln>
          <a:effectLst/>
        </c:spPr>
      </c:pivotFmt>
      <c:pivotFmt>
        <c:idx val="9"/>
        <c:spPr>
          <a:solidFill>
            <a:schemeClr val="accent5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_ActiveSprintData!$E$16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5D4-4327-A403-0DC1C29B418B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5D4-4327-A403-0DC1C29B418B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5D4-4327-A403-0DC1C29B418B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5D4-4327-A403-0DC1C29B418B}"/>
              </c:ext>
            </c:extLst>
          </c:dPt>
          <c:dPt>
            <c:idx val="4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5D4-4327-A403-0DC1C29B418B}"/>
              </c:ext>
            </c:extLst>
          </c:dPt>
          <c:dPt>
            <c:idx val="5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25D4-4327-A403-0DC1C29B418B}"/>
              </c:ext>
            </c:extLst>
          </c:dPt>
          <c:dPt>
            <c:idx val="6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50A0-427F-9110-CDC97AC25C8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1893-43BD-BE55-1BB4DC8AF5D5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_ActiveSprintData!$E$16</c:f>
              <c:strCache>
                <c:ptCount val="7"/>
                <c:pt idx="0">
                  <c:v>Closed</c:v>
                </c:pt>
                <c:pt idx="1">
                  <c:v>Validation</c:v>
                </c:pt>
                <c:pt idx="2">
                  <c:v>In Dev</c:v>
                </c:pt>
                <c:pt idx="3">
                  <c:v>Ready</c:v>
                </c:pt>
                <c:pt idx="4">
                  <c:v>New</c:v>
                </c:pt>
                <c:pt idx="5">
                  <c:v>Cancelled</c:v>
                </c:pt>
                <c:pt idx="6">
                  <c:v>(blank)</c:v>
                </c:pt>
              </c:strCache>
            </c:strRef>
          </c:cat>
          <c:val>
            <c:numRef>
              <c:f>_ActiveSprintData!$E$16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27-4372-85A2-5356488E9F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[Wavelength-Dashboard.xlsx]_BugsData!PivotTable1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>
                <a:solidFill>
                  <a:schemeClr val="tx2">
                    <a:lumMod val="75000"/>
                  </a:schemeClr>
                </a:solidFill>
              </a:rPr>
              <a:t>Wavelength Bugs by Priority</a:t>
            </a:r>
            <a:endParaRPr lang="en-US">
              <a:solidFill>
                <a:schemeClr val="tx2">
                  <a:lumMod val="75000"/>
                </a:schemeClr>
              </a:solidFill>
            </a:endParaRPr>
          </a:p>
        </c:rich>
      </c:tx>
      <c:layout>
        <c:manualLayout>
          <c:xMode val="edge"/>
          <c:yMode val="edge"/>
          <c:x val="0.35111715951117572"/>
          <c:y val="2.27189965104027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2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</c:pivotFmt>
      <c:pivotFmt>
        <c:idx val="3"/>
        <c:spPr>
          <a:solidFill>
            <a:srgbClr val="FFC000"/>
          </a:solidFill>
          <a:ln>
            <a:noFill/>
          </a:ln>
          <a:effectLst/>
        </c:spPr>
      </c:pivotFmt>
      <c:pivotFmt>
        <c:idx val="4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5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rgbClr val="FFC000"/>
          </a:solidFill>
          <a:ln>
            <a:noFill/>
          </a:ln>
          <a:effectLst/>
        </c:spPr>
      </c:pivotFmt>
      <c:pivotFmt>
        <c:idx val="10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11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C00000"/>
          </a:solidFill>
          <a:ln>
            <a:noFill/>
          </a:ln>
          <a:effectLst/>
        </c:spPr>
      </c:pivotFmt>
      <c:pivotFmt>
        <c:idx val="14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15"/>
        <c:spPr>
          <a:solidFill>
            <a:srgbClr val="FFC000"/>
          </a:solidFill>
          <a:ln>
            <a:noFill/>
          </a:ln>
          <a:effectLst/>
        </c:spPr>
      </c:pivotFmt>
      <c:pivotFmt>
        <c:idx val="16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17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rgbClr val="C00000"/>
          </a:solidFill>
          <a:ln>
            <a:noFill/>
          </a:ln>
          <a:effectLst/>
        </c:spPr>
      </c:pivotFmt>
      <c:pivotFmt>
        <c:idx val="20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21"/>
        <c:spPr>
          <a:solidFill>
            <a:srgbClr val="FFC000"/>
          </a:solidFill>
          <a:ln>
            <a:noFill/>
          </a:ln>
          <a:effectLst/>
        </c:spPr>
      </c:pivotFmt>
      <c:pivotFmt>
        <c:idx val="22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23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rgbClr val="C00000"/>
          </a:solidFill>
          <a:ln>
            <a:noFill/>
          </a:ln>
          <a:effectLst/>
        </c:spPr>
      </c:pivotFmt>
      <c:pivotFmt>
        <c:idx val="26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27"/>
        <c:spPr>
          <a:solidFill>
            <a:srgbClr val="FFC000"/>
          </a:solidFill>
          <a:ln>
            <a:noFill/>
          </a:ln>
          <a:effectLst/>
        </c:spPr>
      </c:pivotFmt>
      <c:pivotFmt>
        <c:idx val="28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29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_BugsData!$C$9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781-4C12-BD02-9C6A6936AEB3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781-4C12-BD02-9C6A6936AEB3}"/>
              </c:ext>
            </c:extLst>
          </c:dPt>
          <c:dPt>
            <c:idx val="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781-4C12-BD02-9C6A6936AEB3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781-4C12-BD02-9C6A6936AEB3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781-4C12-BD02-9C6A6936AEB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_BugsData!$B$10:$B$15</c:f>
              <c:strCache>
                <c:ptCount val="5"/>
                <c:pt idx="0">
                  <c:v>Highest</c:v>
                </c:pt>
                <c:pt idx="1">
                  <c:v>High</c:v>
                </c:pt>
                <c:pt idx="2">
                  <c:v>Medium</c:v>
                </c:pt>
                <c:pt idx="3">
                  <c:v>Low</c:v>
                </c:pt>
                <c:pt idx="4">
                  <c:v>Lowest</c:v>
                </c:pt>
              </c:strCache>
            </c:strRef>
          </c:cat>
          <c:val>
            <c:numRef>
              <c:f>_BugsData!$C$10:$C$15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781-4C12-BD02-9C6A6936AE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836850880"/>
        <c:axId val="838040912"/>
      </c:barChart>
      <c:catAx>
        <c:axId val="836850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040912"/>
        <c:crosses val="autoZero"/>
        <c:auto val="1"/>
        <c:lblAlgn val="ctr"/>
        <c:lblOffset val="100"/>
        <c:noMultiLvlLbl val="0"/>
      </c:catAx>
      <c:valAx>
        <c:axId val="83804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850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[Wavelength-Dashboard.xlsx]_BugsData!PivotTable3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Bugs Fixed by Sprint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_BugsData!$C$29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_BugsData!$B$30:$B$37</c:f>
              <c:strCache>
                <c:ptCount val="7"/>
                <c:pt idx="0">
                  <c:v>W1</c:v>
                </c:pt>
                <c:pt idx="1">
                  <c:v>W2</c:v>
                </c:pt>
                <c:pt idx="2">
                  <c:v>W3</c:v>
                </c:pt>
                <c:pt idx="3">
                  <c:v>W4</c:v>
                </c:pt>
                <c:pt idx="4">
                  <c:v>W5</c:v>
                </c:pt>
                <c:pt idx="5">
                  <c:v>W6</c:v>
                </c:pt>
                <c:pt idx="6">
                  <c:v>W7</c:v>
                </c:pt>
              </c:strCache>
            </c:strRef>
          </c:cat>
          <c:val>
            <c:numRef>
              <c:f>_BugsData!$C$30:$C$37</c:f>
              <c:numCache>
                <c:formatCode>General</c:formatCode>
                <c:ptCount val="7"/>
                <c:pt idx="0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E1-4BE6-854E-52258760E7E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64527616"/>
        <c:axId val="1506685984"/>
      </c:barChart>
      <c:catAx>
        <c:axId val="2064527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6685984"/>
        <c:crosses val="autoZero"/>
        <c:auto val="1"/>
        <c:lblAlgn val="ctr"/>
        <c:lblOffset val="100"/>
        <c:noMultiLvlLbl val="0"/>
      </c:catAx>
      <c:valAx>
        <c:axId val="150668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4527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[Wavelength-Dashboard.xlsx]_ReleaseData!PivotTable2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Release</a:t>
            </a:r>
            <a:r>
              <a:rPr lang="en-US" baseline="0"/>
              <a:t> Backlog by State</a:t>
            </a:r>
            <a:endParaRPr lang="en-US"/>
          </a:p>
        </c:rich>
      </c:tx>
      <c:layout>
        <c:manualLayout>
          <c:xMode val="edge"/>
          <c:yMode val="edge"/>
          <c:x val="0.26403717623911716"/>
          <c:y val="3.15549602001472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3"/>
          </a:solidFill>
          <a:ln>
            <a:noFill/>
          </a:ln>
          <a:effectLst/>
        </c:spPr>
      </c:pivotFmt>
      <c:pivotFmt>
        <c:idx val="12"/>
        <c:spPr>
          <a:solidFill>
            <a:schemeClr val="accent6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  <c:pivotFmt>
        <c:idx val="14"/>
        <c:spPr>
          <a:solidFill>
            <a:schemeClr val="accent2"/>
          </a:solidFill>
          <a:ln>
            <a:noFill/>
          </a:ln>
          <a:effectLst/>
        </c:spPr>
      </c:pivotFmt>
      <c:pivotFmt>
        <c:idx val="15"/>
        <c:spPr>
          <a:solidFill>
            <a:schemeClr val="bg1">
              <a:lumMod val="65000"/>
            </a:schemeClr>
          </a:solidFill>
          <a:ln>
            <a:noFill/>
          </a:ln>
          <a:effectLst/>
        </c:spP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3"/>
          </a:solidFill>
          <a:ln>
            <a:noFill/>
          </a:ln>
          <a:effectLst/>
        </c:spPr>
      </c:pivotFmt>
      <c:pivotFmt>
        <c:idx val="18"/>
        <c:spPr>
          <a:solidFill>
            <a:schemeClr val="accent6"/>
          </a:solidFill>
          <a:ln>
            <a:noFill/>
          </a:ln>
          <a:effectLst/>
        </c:spP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</c:pivotFmt>
      <c:pivotFmt>
        <c:idx val="20"/>
        <c:spPr>
          <a:solidFill>
            <a:schemeClr val="bg1">
              <a:lumMod val="65000"/>
            </a:schemeClr>
          </a:solidFill>
          <a:ln>
            <a:noFill/>
          </a:ln>
          <a:effectLst/>
        </c:spPr>
      </c:pivotFmt>
      <c:pivotFmt>
        <c:idx val="21"/>
        <c:spPr>
          <a:solidFill>
            <a:schemeClr val="accent2"/>
          </a:solidFill>
          <a:ln>
            <a:noFill/>
          </a:ln>
          <a:effectLst/>
        </c:spP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3"/>
          </a:solidFill>
          <a:ln>
            <a:noFill/>
          </a:ln>
          <a:effectLst/>
        </c:spPr>
      </c:pivotFmt>
      <c:pivotFmt>
        <c:idx val="24"/>
        <c:spPr>
          <a:solidFill>
            <a:schemeClr val="accent6"/>
          </a:solidFill>
          <a:ln>
            <a:noFill/>
          </a:ln>
          <a:effectLst/>
        </c:spP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</c:pivotFmt>
      <c:pivotFmt>
        <c:idx val="26"/>
        <c:spPr>
          <a:solidFill>
            <a:schemeClr val="accent5"/>
          </a:solidFill>
          <a:ln>
            <a:noFill/>
          </a:ln>
          <a:effectLst/>
        </c:spPr>
      </c:pivotFmt>
      <c:pivotFmt>
        <c:idx val="27"/>
        <c:spPr>
          <a:solidFill>
            <a:schemeClr val="bg1">
              <a:lumMod val="85000"/>
            </a:schemeClr>
          </a:soli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_ReleaseData!$B$29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F1E-461B-B8AF-00D3827CAFDB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F1E-461B-B8AF-00D3827CAFDB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F1E-461B-B8AF-00D3827CAFDB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F1E-461B-B8AF-00D3827CAFDB}"/>
              </c:ext>
            </c:extLst>
          </c:dPt>
          <c:dPt>
            <c:idx val="4"/>
            <c:bubble3D val="0"/>
            <c:spPr>
              <a:solidFill>
                <a:schemeClr val="bg1">
                  <a:lumMod val="8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F1E-461B-B8AF-00D3827CAFDB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_ReleaseData!$A$30:$A$34</c:f>
              <c:strCache>
                <c:ptCount val="5"/>
                <c:pt idx="0">
                  <c:v>Done</c:v>
                </c:pt>
                <c:pt idx="1">
                  <c:v>In Validation</c:v>
                </c:pt>
                <c:pt idx="2">
                  <c:v>In Dev</c:v>
                </c:pt>
                <c:pt idx="3">
                  <c:v>Ready</c:v>
                </c:pt>
                <c:pt idx="4">
                  <c:v>Not Decomposed</c:v>
                </c:pt>
              </c:strCache>
            </c:strRef>
          </c:cat>
          <c:val>
            <c:numRef>
              <c:f>_ReleaseData!$B$30:$B$34</c:f>
              <c:numCache>
                <c:formatCode>General</c:formatCode>
                <c:ptCount val="5"/>
                <c:pt idx="0">
                  <c:v>150</c:v>
                </c:pt>
                <c:pt idx="1">
                  <c:v>120</c:v>
                </c:pt>
                <c:pt idx="2">
                  <c:v>180</c:v>
                </c:pt>
                <c:pt idx="3">
                  <c:v>90</c:v>
                </c:pt>
                <c:pt idx="4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F1E-461B-B8AF-00D3827CAFD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[Wavelength-Dashboard.xlsx]_ReleaseData!PivotTable10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Backlog</a:t>
            </a:r>
            <a:r>
              <a:rPr lang="en-US" baseline="0"/>
              <a:t> by Component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</c:pivotFmt>
      <c:pivotFmt>
        <c:idx val="3"/>
        <c:spPr>
          <a:solidFill>
            <a:schemeClr val="accent3"/>
          </a:solidFill>
          <a:ln>
            <a:noFill/>
          </a:ln>
          <a:effectLst/>
        </c:spPr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6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  <c:pivotFmt>
        <c:idx val="14"/>
        <c:spPr>
          <a:solidFill>
            <a:schemeClr val="accent6"/>
          </a:solidFill>
          <a:ln>
            <a:noFill/>
          </a:ln>
          <a:effectLst/>
        </c:spP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</c:pivotFmt>
      <c:pivotFmt>
        <c:idx val="16"/>
        <c:spPr>
          <a:solidFill>
            <a:schemeClr val="bg2">
              <a:lumMod val="75000"/>
            </a:schemeClr>
          </a:solidFill>
          <a:ln>
            <a:noFill/>
          </a:ln>
          <a:effectLst/>
        </c:spP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_ReleaseData!$B$54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305-441E-AA3B-739F8FF286A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305-441E-AA3B-739F8FF286A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305-441E-AA3B-739F8FF286A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3305-441E-AA3B-739F8FF286A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4D2D-4385-93B5-8C0C586A7BA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5ABD-4B6B-8BFC-CF9950728C5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DC5E-4CF9-9ECA-9D43013AF65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3D6E-4B6C-AD39-328EF0D57EF8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_ReleaseData!$A$55:$A$60</c:f>
              <c:strCache>
                <c:ptCount val="5"/>
                <c:pt idx="0">
                  <c:v>Admin</c:v>
                </c:pt>
                <c:pt idx="1">
                  <c:v>Visio Import</c:v>
                </c:pt>
                <c:pt idx="2">
                  <c:v>BoA Audit</c:v>
                </c:pt>
                <c:pt idx="3">
                  <c:v>R&amp;D Bucket</c:v>
                </c:pt>
                <c:pt idx="4">
                  <c:v>Other</c:v>
                </c:pt>
              </c:strCache>
            </c:strRef>
          </c:cat>
          <c:val>
            <c:numRef>
              <c:f>_ReleaseData!$B$55:$B$60</c:f>
              <c:numCache>
                <c:formatCode>General</c:formatCode>
                <c:ptCount val="5"/>
                <c:pt idx="0">
                  <c:v>250</c:v>
                </c:pt>
                <c:pt idx="1">
                  <c:v>100</c:v>
                </c:pt>
                <c:pt idx="2">
                  <c:v>150</c:v>
                </c:pt>
                <c:pt idx="3">
                  <c:v>50</c:v>
                </c:pt>
                <c:pt idx="4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305-441E-AA3B-739F8FF286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5714413655266293E-2"/>
          <c:y val="0.85490666473916965"/>
          <c:w val="0.96219921012750698"/>
          <c:h val="0.122333736952806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Release</a:t>
            </a:r>
            <a:r>
              <a:rPr lang="en-US" baseline="0"/>
              <a:t> Burndown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_ReleaseData!$Q$2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</c:strCache>
            </c:strRef>
          </c:cat>
          <c:val>
            <c:numRef>
              <c:f>_ReleaseData!$Q$3:$Q$10</c:f>
              <c:numCache>
                <c:formatCode>0.0</c:formatCode>
                <c:ptCount val="8"/>
                <c:pt idx="0">
                  <c:v>470</c:v>
                </c:pt>
                <c:pt idx="1">
                  <c:v>406.8656716417911</c:v>
                </c:pt>
                <c:pt idx="2">
                  <c:v>336.71641791044777</c:v>
                </c:pt>
                <c:pt idx="3">
                  <c:v>266.56716417910451</c:v>
                </c:pt>
                <c:pt idx="4">
                  <c:v>196.41791044776119</c:v>
                </c:pt>
                <c:pt idx="5">
                  <c:v>133.28358208955225</c:v>
                </c:pt>
                <c:pt idx="6">
                  <c:v>63.134328358208982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85-452B-9641-85722FBDAA35}"/>
            </c:ext>
          </c:extLst>
        </c:ser>
        <c:ser>
          <c:idx val="1"/>
          <c:order val="1"/>
          <c:tx>
            <c:strRef>
              <c:f>_ReleaseData!$R$2</c:f>
              <c:strCache>
                <c:ptCount val="1"/>
                <c:pt idx="0">
                  <c:v>Actual Burndown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</c:strCache>
            </c:strRef>
          </c:cat>
          <c:val>
            <c:numRef>
              <c:f>_ReleaseData!$R$3:$R$10</c:f>
              <c:numCache>
                <c:formatCode>0.0</c:formatCode>
                <c:ptCount val="8"/>
                <c:pt idx="0">
                  <c:v>450</c:v>
                </c:pt>
                <c:pt idx="1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85-452B-9641-85722FBDAA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3019040"/>
        <c:axId val="652246016"/>
      </c:lineChart>
      <c:catAx>
        <c:axId val="533019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246016"/>
        <c:crosses val="autoZero"/>
        <c:auto val="1"/>
        <c:lblAlgn val="ctr"/>
        <c:lblOffset val="100"/>
        <c:noMultiLvlLbl val="0"/>
      </c:catAx>
      <c:valAx>
        <c:axId val="65224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019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Release Cumulative Flow 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'_CumulativeFlowData '!$D$2</c:f>
              <c:strCache>
                <c:ptCount val="1"/>
                <c:pt idx="0">
                  <c:v>Total Estimate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</c:strCache>
            </c:strRef>
          </c:cat>
          <c:val>
            <c:numRef>
              <c:f>'_CumulativeFlowData '!$D$3:$D$10</c:f>
              <c:numCache>
                <c:formatCode>0.0</c:formatCode>
                <c:ptCount val="8"/>
                <c:pt idx="0">
                  <c:v>600</c:v>
                </c:pt>
                <c:pt idx="1">
                  <c:v>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34-47F5-9992-3718133B131F}"/>
            </c:ext>
          </c:extLst>
        </c:ser>
        <c:ser>
          <c:idx val="2"/>
          <c:order val="2"/>
          <c:tx>
            <c:strRef>
              <c:f>'_CumulativeFlowData '!$F$2</c:f>
              <c:strCache>
                <c:ptCount val="1"/>
                <c:pt idx="0">
                  <c:v>Epic Decomposed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</c:strCache>
            </c:strRef>
          </c:cat>
          <c:val>
            <c:numRef>
              <c:f>'_CumulativeFlowData '!$F$3:$F$10</c:f>
              <c:numCache>
                <c:formatCode>0.0</c:formatCode>
                <c:ptCount val="8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34-47F5-9992-3718133B131F}"/>
            </c:ext>
          </c:extLst>
        </c:ser>
        <c:ser>
          <c:idx val="3"/>
          <c:order val="3"/>
          <c:tx>
            <c:strRef>
              <c:f>'_CumulativeFlowData '!$G$2</c:f>
              <c:strCache>
                <c:ptCount val="1"/>
                <c:pt idx="0">
                  <c:v>Story Decomposed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</c:strCache>
            </c:strRef>
          </c:cat>
          <c:val>
            <c:numRef>
              <c:f>'_CumulativeFlowData '!$G$3:$G$10</c:f>
              <c:numCache>
                <c:formatCode>0.0</c:formatCode>
                <c:ptCount val="8"/>
                <c:pt idx="0">
                  <c:v>540</c:v>
                </c:pt>
                <c:pt idx="1">
                  <c:v>540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34-47F5-9992-3718133B131F}"/>
            </c:ext>
          </c:extLst>
        </c:ser>
        <c:ser>
          <c:idx val="4"/>
          <c:order val="4"/>
          <c:tx>
            <c:strRef>
              <c:f>'_CumulativeFlowData '!$H$2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</c:strCache>
            </c:strRef>
          </c:cat>
          <c:val>
            <c:numRef>
              <c:f>'_CumulativeFlowData '!$H$3:$H$10</c:f>
              <c:numCache>
                <c:formatCode>0.0</c:formatCode>
                <c:ptCount val="8"/>
                <c:pt idx="0">
                  <c:v>150</c:v>
                </c:pt>
                <c:pt idx="1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34-47F5-9992-3718133B13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122368"/>
        <c:axId val="1087488160"/>
      </c:areaChart>
      <c:lineChart>
        <c:grouping val="standard"/>
        <c:varyColors val="0"/>
        <c:ser>
          <c:idx val="1"/>
          <c:order val="1"/>
          <c:tx>
            <c:strRef>
              <c:f>'_CumulativeFlowData '!$E$2</c:f>
              <c:strCache>
                <c:ptCount val="1"/>
                <c:pt idx="0">
                  <c:v>Planned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A34-47F5-9992-3718133B131F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A34-47F5-9992-3718133B131F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A34-47F5-9992-3718133B131F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A34-47F5-9992-3718133B131F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A34-47F5-9992-3718133B131F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A34-47F5-9992-3718133B131F}"/>
                </c:ext>
              </c:extLst>
            </c:dLbl>
            <c:dLbl>
              <c:idx val="6"/>
              <c:layout>
                <c:manualLayout>
                  <c:x val="8.566978193146417E-2"/>
                  <c:y val="-1.5815322245987568E-16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7A34-47F5-9992-3718133B131F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D30-4180-A39C-A49E1B8CB681}"/>
                </c:ext>
              </c:extLst>
            </c:dLbl>
            <c:dLbl>
              <c:idx val="14"/>
              <c:layout>
                <c:manualLayout>
                  <c:x val="-1.3888888888888888E-2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7A34-47F5-9992-3718133B131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'_CumulativeFlowData '!$A$3:$A$10</c:f>
              <c:strCache>
                <c:ptCount val="8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</c:strCache>
            </c:strRef>
          </c:cat>
          <c:val>
            <c:numRef>
              <c:f>'_CumulativeFlowData '!$E$3:$E$10</c:f>
              <c:numCache>
                <c:formatCode>0</c:formatCode>
                <c:ptCount val="8"/>
                <c:pt idx="0">
                  <c:v>470</c:v>
                </c:pt>
                <c:pt idx="1">
                  <c:v>470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7A34-47F5-9992-3718133B13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122368"/>
        <c:axId val="1087488160"/>
      </c:lineChart>
      <c:catAx>
        <c:axId val="104612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488160"/>
        <c:crosses val="autoZero"/>
        <c:auto val="1"/>
        <c:lblAlgn val="ctr"/>
        <c:lblOffset val="100"/>
        <c:noMultiLvlLbl val="0"/>
      </c:catAx>
      <c:valAx>
        <c:axId val="108748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12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[Wavelength-Dashboard.xlsx]_ReleaseData!PivotTable11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DevOps</a:t>
            </a:r>
            <a:r>
              <a:rPr lang="en-US" baseline="0"/>
              <a:t> by Type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_ReleaseData!$F$51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7E2-4B31-BFB3-B23016C1EA9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7E2-4B31-BFB3-B23016C1EA9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7E2-4B31-BFB3-B23016C1EA9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17E2-4B31-BFB3-B23016C1EA9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17E2-4B31-BFB3-B23016C1EA9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17E2-4B31-BFB3-B23016C1EA9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17E2-4B31-BFB3-B23016C1EA9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17E2-4B31-BFB3-B23016C1EA9D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_ReleaseData!$E$52:$E$60</c:f>
              <c:strCache>
                <c:ptCount val="8"/>
                <c:pt idx="0">
                  <c:v>Development/Internal Support</c:v>
                </c:pt>
                <c:pt idx="1">
                  <c:v>Planned - Deployment and Release</c:v>
                </c:pt>
                <c:pt idx="2">
                  <c:v>Planned - Operational Efficiency</c:v>
                </c:pt>
                <c:pt idx="3">
                  <c:v>Planned - Platform Health</c:v>
                </c:pt>
                <c:pt idx="4">
                  <c:v>Planned - Security</c:v>
                </c:pt>
                <c:pt idx="5">
                  <c:v>Production Support</c:v>
                </c:pt>
                <c:pt idx="6">
                  <c:v>Time Off / Conferences</c:v>
                </c:pt>
                <c:pt idx="7">
                  <c:v>(blank)</c:v>
                </c:pt>
              </c:strCache>
            </c:strRef>
          </c:cat>
          <c:val>
            <c:numRef>
              <c:f>_ReleaseData!$F$52:$F$60</c:f>
              <c:numCache>
                <c:formatCode>General</c:formatCode>
                <c:ptCount val="8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17E2-4B31-BFB3-B23016C1EA9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Time</a:t>
            </a:r>
            <a:r>
              <a:rPr lang="en-US" b="0" baseline="0"/>
              <a:t> Elapsed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C11-4F65-97FD-1FF8EFB28F9B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C11-4F65-97FD-1FF8EFB28F9B}"/>
              </c:ext>
            </c:extLst>
          </c:dPt>
          <c:val>
            <c:numRef>
              <c:f>_ReleaseData!$B$2:$B$3</c:f>
              <c:numCache>
                <c:formatCode>0.0%</c:formatCode>
                <c:ptCount val="2"/>
                <c:pt idx="0" formatCode="0%">
                  <c:v>0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C11-4F65-97FD-1FF8EFB28F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6" Type="http://schemas.openxmlformats.org/officeDocument/2006/relationships/chart" Target="../charts/chart26.xml"/><Relationship Id="rId5" Type="http://schemas.openxmlformats.org/officeDocument/2006/relationships/chart" Target="../charts/chart25.xml"/><Relationship Id="rId4" Type="http://schemas.openxmlformats.org/officeDocument/2006/relationships/chart" Target="../charts/chart24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2.xml"/><Relationship Id="rId2" Type="http://schemas.openxmlformats.org/officeDocument/2006/relationships/chart" Target="../charts/chart31.xml"/><Relationship Id="rId1" Type="http://schemas.openxmlformats.org/officeDocument/2006/relationships/hyperlink" Target="https://jira.blueprintsys.net/issues/?jql=project%20%3D%20Storyteller%20AND%20issuetype%20in%20(Bug)%20AND%20status%20%3D%20%22Bug:%20Triage%22" TargetMode="Externa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109539</xdr:colOff>
      <xdr:row>0</xdr:row>
      <xdr:rowOff>123825</xdr:rowOff>
    </xdr:from>
    <xdr:to>
      <xdr:col>3</xdr:col>
      <xdr:colOff>428625</xdr:colOff>
      <xdr:row>11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BB978E-41FA-44E9-9DF8-57901058E1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604838</xdr:colOff>
      <xdr:row>0</xdr:row>
      <xdr:rowOff>138112</xdr:rowOff>
    </xdr:from>
    <xdr:to>
      <xdr:col>7</xdr:col>
      <xdr:colOff>300037</xdr:colOff>
      <xdr:row>11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5E731C-D973-4FCD-B41D-FBA86788AE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104774</xdr:colOff>
      <xdr:row>12</xdr:row>
      <xdr:rowOff>42862</xdr:rowOff>
    </xdr:from>
    <xdr:to>
      <xdr:col>7</xdr:col>
      <xdr:colOff>280987</xdr:colOff>
      <xdr:row>27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7BF285C-1A31-45EF-8629-790D8877FC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438149</xdr:colOff>
      <xdr:row>0</xdr:row>
      <xdr:rowOff>142876</xdr:rowOff>
    </xdr:from>
    <xdr:to>
      <xdr:col>14</xdr:col>
      <xdr:colOff>33338</xdr:colOff>
      <xdr:row>19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17277E4-88F2-4D31-BA16-F9AFC89808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12</xdr:col>
      <xdr:colOff>104062</xdr:colOff>
      <xdr:row>7</xdr:row>
      <xdr:rowOff>107158</xdr:rowOff>
    </xdr:from>
    <xdr:ext cx="242631" cy="405432"/>
    <xdr:sp macro="" textlink="$B$35">
      <xdr:nvSpPr>
        <xdr:cNvPr id="6" name="TextBox 5">
          <a:extLst>
            <a:ext uri="{FF2B5EF4-FFF2-40B4-BE49-F238E27FC236}">
              <a16:creationId xmlns:a16="http://schemas.microsoft.com/office/drawing/2014/main" id="{45C10D06-24B6-4834-ABD8-304C53B83873}"/>
            </a:ext>
          </a:extLst>
        </xdr:cNvPr>
        <xdr:cNvSpPr txBox="1"/>
      </xdr:nvSpPr>
      <xdr:spPr>
        <a:xfrm>
          <a:off x="7851062" y="1366575"/>
          <a:ext cx="242631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fld id="{81FC05A8-A418-4AD4-93A8-080E6D1A328F}" type="TxLink">
            <a:rPr lang="en-US" sz="2000" b="0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 </a:t>
          </a:fld>
          <a:endParaRPr lang="en-US" sz="2000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oneCellAnchor>
    <xdr:from>
      <xdr:col>9</xdr:col>
      <xdr:colOff>628663</xdr:colOff>
      <xdr:row>9</xdr:row>
      <xdr:rowOff>64661</xdr:rowOff>
    </xdr:from>
    <xdr:ext cx="1147762" cy="342786"/>
    <xdr:sp macro="" textlink="_ReleaseData!$B$41">
      <xdr:nvSpPr>
        <xdr:cNvPr id="7" name="TextBox 6">
          <a:extLst>
            <a:ext uri="{FF2B5EF4-FFF2-40B4-BE49-F238E27FC236}">
              <a16:creationId xmlns:a16="http://schemas.microsoft.com/office/drawing/2014/main" id="{2F035252-9814-458D-A265-0DE36AD24630}"/>
            </a:ext>
          </a:extLst>
        </xdr:cNvPr>
        <xdr:cNvSpPr txBox="1"/>
      </xdr:nvSpPr>
      <xdr:spPr>
        <a:xfrm>
          <a:off x="6438913" y="1683911"/>
          <a:ext cx="1147762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44BEFE24-5656-4FE3-ABAD-264A19ED0C2F}" type="TxLink">
            <a:rPr lang="en-US" sz="16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600</a:t>
          </a:fld>
          <a:endParaRPr lang="en-US" sz="16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14</xdr:col>
      <xdr:colOff>128586</xdr:colOff>
      <xdr:row>0</xdr:row>
      <xdr:rowOff>152400</xdr:rowOff>
    </xdr:from>
    <xdr:to>
      <xdr:col>20</xdr:col>
      <xdr:colOff>228599</xdr:colOff>
      <xdr:row>19</xdr:row>
      <xdr:rowOff>61913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8B1CC15-1D9E-491E-B537-72B21D38DF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104774</xdr:colOff>
      <xdr:row>28</xdr:row>
      <xdr:rowOff>57150</xdr:rowOff>
    </xdr:from>
    <xdr:to>
      <xdr:col>7</xdr:col>
      <xdr:colOff>280987</xdr:colOff>
      <xdr:row>44</xdr:row>
      <xdr:rowOff>109538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E8AB3A3-61E0-4157-8D8F-507CB34656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433387</xdr:colOff>
      <xdr:row>28</xdr:row>
      <xdr:rowOff>66675</xdr:rowOff>
    </xdr:from>
    <xdr:to>
      <xdr:col>15</xdr:col>
      <xdr:colOff>143827</xdr:colOff>
      <xdr:row>44</xdr:row>
      <xdr:rowOff>115443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75D8BE6-BAE2-4554-9F10-328E4DD4B8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252413</xdr:colOff>
      <xdr:row>28</xdr:row>
      <xdr:rowOff>61912</xdr:rowOff>
    </xdr:from>
    <xdr:to>
      <xdr:col>23</xdr:col>
      <xdr:colOff>300038</xdr:colOff>
      <xdr:row>46</xdr:row>
      <xdr:rowOff>128587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2627A34-3FBB-4A55-AB57-7577A3FC61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oneCellAnchor>
    <xdr:from>
      <xdr:col>17</xdr:col>
      <xdr:colOff>57149</xdr:colOff>
      <xdr:row>37</xdr:row>
      <xdr:rowOff>84323</xdr:rowOff>
    </xdr:from>
    <xdr:ext cx="1243013" cy="434036"/>
    <xdr:sp macro="" textlink="_ReleaseData!F66">
      <xdr:nvSpPr>
        <xdr:cNvPr id="12" name="TextBox 11">
          <a:extLst>
            <a:ext uri="{FF2B5EF4-FFF2-40B4-BE49-F238E27FC236}">
              <a16:creationId xmlns:a16="http://schemas.microsoft.com/office/drawing/2014/main" id="{1DEA11E6-1748-46A2-BD49-2599C4B92D2F}"/>
            </a:ext>
          </a:extLst>
        </xdr:cNvPr>
        <xdr:cNvSpPr txBox="1"/>
      </xdr:nvSpPr>
      <xdr:spPr>
        <a:xfrm>
          <a:off x="11032066" y="6741240"/>
          <a:ext cx="1243013" cy="4340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fld id="{5A8D5CCE-A143-4D8D-9C67-B6E3999E6946}" type="TxLink">
            <a:rPr lang="en-US" sz="20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70</a:t>
          </a:fld>
          <a:endParaRPr lang="en-US" sz="20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0.27235</cdr:x>
      <cdr:y>0.46676</cdr:y>
    </cdr:from>
    <cdr:to>
      <cdr:x>0.71875</cdr:x>
      <cdr:y>0.69492</cdr:y>
    </cdr:to>
    <cdr:sp macro="" textlink="_ReleaseData!$B$14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622600" y="884728"/>
          <a:ext cx="1020463" cy="4324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46D78198-7BA0-439F-993B-17F35A8B0327}" type="TxLink">
            <a:rPr lang="en-US" sz="1800" b="1" i="0" u="none" strike="noStrike">
              <a:solidFill>
                <a:schemeClr val="accent1"/>
              </a:solidFill>
              <a:latin typeface="Calibri"/>
              <a:cs typeface="Calibri"/>
            </a:rPr>
            <a:pPr algn="ctr"/>
            <a:t>-200%</a:t>
          </a:fld>
          <a:endParaRPr lang="en-US" sz="1800" b="1">
            <a:solidFill>
              <a:schemeClr val="accent1"/>
            </a:solidFill>
          </a:endParaRP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109539</xdr:colOff>
      <xdr:row>0</xdr:row>
      <xdr:rowOff>123825</xdr:rowOff>
    </xdr:from>
    <xdr:to>
      <xdr:col>3</xdr:col>
      <xdr:colOff>428625</xdr:colOff>
      <xdr:row>11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8BC651-CF63-4EBA-A5C3-272DD7EA4F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604838</xdr:colOff>
      <xdr:row>0</xdr:row>
      <xdr:rowOff>138112</xdr:rowOff>
    </xdr:from>
    <xdr:to>
      <xdr:col>7</xdr:col>
      <xdr:colOff>300037</xdr:colOff>
      <xdr:row>11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C3BB3E7-9B64-4CC6-A971-8C8A0A9959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104774</xdr:colOff>
      <xdr:row>12</xdr:row>
      <xdr:rowOff>42862</xdr:rowOff>
    </xdr:from>
    <xdr:to>
      <xdr:col>7</xdr:col>
      <xdr:colOff>280987</xdr:colOff>
      <xdr:row>27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C3D4BD0-366D-40B7-95F6-88BBE72C0C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12</xdr:col>
      <xdr:colOff>104062</xdr:colOff>
      <xdr:row>7</xdr:row>
      <xdr:rowOff>107158</xdr:rowOff>
    </xdr:from>
    <xdr:ext cx="242631" cy="405432"/>
    <xdr:sp macro="" textlink="$B$35">
      <xdr:nvSpPr>
        <xdr:cNvPr id="5" name="TextBox 4">
          <a:extLst>
            <a:ext uri="{FF2B5EF4-FFF2-40B4-BE49-F238E27FC236}">
              <a16:creationId xmlns:a16="http://schemas.microsoft.com/office/drawing/2014/main" id="{53B8385B-E9E2-4706-98D2-7E7E0D248FE8}"/>
            </a:ext>
          </a:extLst>
        </xdr:cNvPr>
        <xdr:cNvSpPr txBox="1"/>
      </xdr:nvSpPr>
      <xdr:spPr>
        <a:xfrm>
          <a:off x="7876462" y="1373983"/>
          <a:ext cx="242631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fld id="{81FC05A8-A418-4AD4-93A8-080E6D1A328F}" type="TxLink">
            <a:rPr lang="en-US" sz="2000" b="0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 </a:t>
          </a:fld>
          <a:endParaRPr lang="en-US" sz="2000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oneCellAnchor>
    <xdr:from>
      <xdr:col>11</xdr:col>
      <xdr:colOff>204994</xdr:colOff>
      <xdr:row>12</xdr:row>
      <xdr:rowOff>127887</xdr:rowOff>
    </xdr:from>
    <xdr:ext cx="1504737" cy="530658"/>
    <xdr:sp macro="" textlink="_ReleaseData!$K$42">
      <xdr:nvSpPr>
        <xdr:cNvPr id="7" name="TextBox 6">
          <a:extLst>
            <a:ext uri="{FF2B5EF4-FFF2-40B4-BE49-F238E27FC236}">
              <a16:creationId xmlns:a16="http://schemas.microsoft.com/office/drawing/2014/main" id="{A75782EA-FAA5-42DC-9CA9-61487F09F83E}"/>
            </a:ext>
          </a:extLst>
        </xdr:cNvPr>
        <xdr:cNvSpPr txBox="1"/>
      </xdr:nvSpPr>
      <xdr:spPr>
        <a:xfrm>
          <a:off x="7329694" y="2299587"/>
          <a:ext cx="1504737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06C301B0-32A0-46FD-A923-7A170B8F1D89}" type="TxLink">
            <a:rPr lang="en-US" sz="2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-100</a:t>
          </a:fld>
          <a:endParaRPr lang="en-US" sz="28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0</xdr:col>
      <xdr:colOff>104775</xdr:colOff>
      <xdr:row>28</xdr:row>
      <xdr:rowOff>66674</xdr:rowOff>
    </xdr:from>
    <xdr:to>
      <xdr:col>7</xdr:col>
      <xdr:colOff>261938</xdr:colOff>
      <xdr:row>44</xdr:row>
      <xdr:rowOff>66675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9D930D6-4E26-4C16-9091-A099DE842F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304800</xdr:colOff>
      <xdr:row>28</xdr:row>
      <xdr:rowOff>66675</xdr:rowOff>
    </xdr:from>
    <xdr:to>
      <xdr:col>15</xdr:col>
      <xdr:colOff>342900</xdr:colOff>
      <xdr:row>44</xdr:row>
      <xdr:rowOff>69723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C56B615-F6E4-4A7D-86FC-C55056508A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271463</xdr:colOff>
      <xdr:row>0</xdr:row>
      <xdr:rowOff>142874</xdr:rowOff>
    </xdr:from>
    <xdr:to>
      <xdr:col>16</xdr:col>
      <xdr:colOff>274511</xdr:colOff>
      <xdr:row>27</xdr:row>
      <xdr:rowOff>93725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D191F8E-72F3-42A3-A21E-7992738B93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oneCellAnchor>
    <xdr:from>
      <xdr:col>11</xdr:col>
      <xdr:colOff>200027</xdr:colOff>
      <xdr:row>12</xdr:row>
      <xdr:rowOff>157160</xdr:rowOff>
    </xdr:from>
    <xdr:ext cx="1504737" cy="530658"/>
    <xdr:sp macro="" textlink="_ReleaseData!$K$42">
      <xdr:nvSpPr>
        <xdr:cNvPr id="14" name="TextBox 13">
          <a:extLst>
            <a:ext uri="{FF2B5EF4-FFF2-40B4-BE49-F238E27FC236}">
              <a16:creationId xmlns:a16="http://schemas.microsoft.com/office/drawing/2014/main" id="{F723B996-6EA1-45E6-B238-8B8853A7649E}"/>
            </a:ext>
          </a:extLst>
        </xdr:cNvPr>
        <xdr:cNvSpPr txBox="1"/>
      </xdr:nvSpPr>
      <xdr:spPr>
        <a:xfrm>
          <a:off x="7324727" y="2328860"/>
          <a:ext cx="1504737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06C301B0-32A0-46FD-A923-7A170B8F1D89}" type="TxLink">
            <a:rPr lang="en-US" sz="2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-100</a:t>
          </a:fld>
          <a:endParaRPr lang="en-US" sz="28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0.26316</cdr:x>
      <cdr:y>0.48163</cdr:y>
    </cdr:from>
    <cdr:to>
      <cdr:x>0.73474</cdr:x>
      <cdr:y>0.70979</cdr:y>
    </cdr:to>
    <cdr:sp macro="" textlink="_ReleaseData!$B$2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595315" y="899156"/>
          <a:ext cx="1066801" cy="4259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9B208955-804C-4BE4-8C9C-10DC82D69A15}" type="TxLink">
            <a:rPr lang="en-US" sz="1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0%</a:t>
          </a:fld>
          <a:endParaRPr lang="en-US" sz="18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0.2661</cdr:x>
      <cdr:y>0.46927</cdr:y>
    </cdr:from>
    <cdr:to>
      <cdr:x>0.73125</cdr:x>
      <cdr:y>0.69743</cdr:y>
    </cdr:to>
    <cdr:sp macro="" textlink="_ReleaseData!$B$18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608304" y="889490"/>
          <a:ext cx="1063325" cy="4324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7C42DCAA-262C-4B14-875A-4BA2CB6B7640}" type="TxLink">
            <a:rPr lang="en-US" sz="1800" b="1" i="0" u="none" strike="noStrike">
              <a:solidFill>
                <a:schemeClr val="accent1"/>
              </a:solidFill>
              <a:latin typeface="Calibri"/>
              <a:cs typeface="Calibri"/>
            </a:rPr>
            <a:pPr algn="ctr"/>
            <a:t>-200%</a:t>
          </a:fld>
          <a:endParaRPr lang="en-US" sz="1800" b="1">
            <a:solidFill>
              <a:schemeClr val="accent1"/>
            </a:solidFill>
          </a:endParaRPr>
        </a:p>
      </cdr:txBody>
    </cdr:sp>
  </cdr:relSizeAnchor>
</c:userShapes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0</xdr:row>
      <xdr:rowOff>133350</xdr:rowOff>
    </xdr:from>
    <xdr:to>
      <xdr:col>15</xdr:col>
      <xdr:colOff>166688</xdr:colOff>
      <xdr:row>27</xdr:row>
      <xdr:rowOff>80963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6313C9-79EE-42F2-90E0-EA880C46A2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271470</xdr:colOff>
      <xdr:row>0</xdr:row>
      <xdr:rowOff>169069</xdr:rowOff>
    </xdr:from>
    <xdr:to>
      <xdr:col>9</xdr:col>
      <xdr:colOff>252413</xdr:colOff>
      <xdr:row>26</xdr:row>
      <xdr:rowOff>114301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AB710AE-991C-41C6-AF22-04BA627C2C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3</xdr:col>
      <xdr:colOff>476236</xdr:colOff>
      <xdr:row>12</xdr:row>
      <xdr:rowOff>142550</xdr:rowOff>
    </xdr:from>
    <xdr:ext cx="1509712" cy="468013"/>
    <xdr:sp macro="" textlink="_TeamBacklogData!$B$13">
      <xdr:nvSpPr>
        <xdr:cNvPr id="7" name="TextBox 6">
          <a:extLst>
            <a:ext uri="{FF2B5EF4-FFF2-40B4-BE49-F238E27FC236}">
              <a16:creationId xmlns:a16="http://schemas.microsoft.com/office/drawing/2014/main" id="{9BC5C8E3-7B40-4FC8-88AD-53288E8F4610}"/>
            </a:ext>
          </a:extLst>
        </xdr:cNvPr>
        <xdr:cNvSpPr txBox="1"/>
      </xdr:nvSpPr>
      <xdr:spPr>
        <a:xfrm>
          <a:off x="2419336" y="2314250"/>
          <a:ext cx="1509712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55A7BBCC-74DE-45E2-BDFE-1CC011F65747}" type="TxLink">
            <a:rPr lang="en-US" sz="24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490</a:t>
          </a:fld>
          <a:endParaRPr lang="en-US" sz="24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223836</xdr:colOff>
      <xdr:row>0</xdr:row>
      <xdr:rowOff>128586</xdr:rowOff>
    </xdr:from>
    <xdr:to>
      <xdr:col>17</xdr:col>
      <xdr:colOff>623887</xdr:colOff>
      <xdr:row>27</xdr:row>
      <xdr:rowOff>138113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B08DB4-014A-4E45-B0C1-55D1DA310D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302412</xdr:colOff>
      <xdr:row>0</xdr:row>
      <xdr:rowOff>126199</xdr:rowOff>
    </xdr:from>
    <xdr:to>
      <xdr:col>8</xdr:col>
      <xdr:colOff>376231</xdr:colOff>
      <xdr:row>22</xdr:row>
      <xdr:rowOff>104769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CF3E864-E334-4063-B495-A0C0020CED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3</xdr:col>
      <xdr:colOff>309563</xdr:colOff>
      <xdr:row>10</xdr:row>
      <xdr:rowOff>95250</xdr:rowOff>
    </xdr:from>
    <xdr:ext cx="1347787" cy="468013"/>
    <xdr:sp macro="" textlink="_ActiveSprintData!$E$15">
      <xdr:nvSpPr>
        <xdr:cNvPr id="2" name="TextBox 1">
          <a:extLst>
            <a:ext uri="{FF2B5EF4-FFF2-40B4-BE49-F238E27FC236}">
              <a16:creationId xmlns:a16="http://schemas.microsoft.com/office/drawing/2014/main" id="{3A035575-2F9C-4A78-B486-BEFE17438FBD}"/>
            </a:ext>
          </a:extLst>
        </xdr:cNvPr>
        <xdr:cNvSpPr txBox="1"/>
      </xdr:nvSpPr>
      <xdr:spPr>
        <a:xfrm>
          <a:off x="2252663" y="1905000"/>
          <a:ext cx="1347787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fld id="{34F43C6E-1085-42C0-A6FD-998322D2AA52}" type="TxLink">
            <a:rPr lang="en-US" sz="24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26</a:t>
          </a:fld>
          <a:endParaRPr lang="en-US" sz="24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166688</xdr:colOff>
      <xdr:row>0</xdr:row>
      <xdr:rowOff>128587</xdr:rowOff>
    </xdr:from>
    <xdr:to>
      <xdr:col>3</xdr:col>
      <xdr:colOff>33338</xdr:colOff>
      <xdr:row>2</xdr:row>
      <xdr:rowOff>23812</xdr:rowOff>
    </xdr:to>
    <xdr:sp macro="" textlink="_BugsData!A2">
      <xdr:nvSpPr>
        <xdr:cNvPr id="3" name="TextBox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B9CF293-19E2-464F-AE63-4050B49974D3}"/>
            </a:ext>
          </a:extLst>
        </xdr:cNvPr>
        <xdr:cNvSpPr txBox="1"/>
      </xdr:nvSpPr>
      <xdr:spPr>
        <a:xfrm>
          <a:off x="166688" y="128587"/>
          <a:ext cx="1809750" cy="257175"/>
        </a:xfrm>
        <a:prstGeom prst="rect">
          <a:avLst/>
        </a:prstGeom>
        <a:ln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1EBE7206-6935-4A10-AD2C-55560AD4C88E}" type="TxLink">
            <a:rPr lang="en-US" sz="1400" b="1" i="0" u="none" strike="noStrike">
              <a:solidFill>
                <a:schemeClr val="tx2"/>
              </a:solidFill>
              <a:latin typeface="Calibri"/>
              <a:cs typeface="Calibri"/>
            </a:rPr>
            <a:pPr algn="ctr"/>
            <a:t>Bugs to Triage: ${bpHelper.getBugToTriageCount()}</a:t>
          </a:fld>
          <a:endParaRPr lang="en-US" sz="1400" b="1">
            <a:solidFill>
              <a:schemeClr val="tx2"/>
            </a:solidFill>
          </a:endParaRPr>
        </a:p>
      </xdr:txBody>
    </xdr:sp>
    <xdr:clientData/>
  </xdr:twoCellAnchor>
  <xdr:twoCellAnchor>
    <xdr:from>
      <xdr:col>0</xdr:col>
      <xdr:colOff>138112</xdr:colOff>
      <xdr:row>2</xdr:row>
      <xdr:rowOff>171448</xdr:rowOff>
    </xdr:from>
    <xdr:to>
      <xdr:col>8</xdr:col>
      <xdr:colOff>808672</xdr:colOff>
      <xdr:row>25</xdr:row>
      <xdr:rowOff>32383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D1C7478-70C3-4E07-939C-F09DBA509C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371475</xdr:colOff>
      <xdr:row>2</xdr:row>
      <xdr:rowOff>171450</xdr:rowOff>
    </xdr:from>
    <xdr:to>
      <xdr:col>20</xdr:col>
      <xdr:colOff>138112</xdr:colOff>
      <xdr:row>25</xdr:row>
      <xdr:rowOff>32385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211AB76-6A19-4A56-9AD8-A5D8914A5D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0.49544</cdr:x>
      <cdr:y>0.52248</cdr:y>
    </cdr:from>
    <cdr:to>
      <cdr:x>0.67295</cdr:x>
      <cdr:y>0.68432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164C92C1-DA90-42D1-8719-215BF27AEB3C}"/>
            </a:ext>
          </a:extLst>
        </cdr:cNvPr>
        <cdr:cNvSpPr txBox="1"/>
      </cdr:nvSpPr>
      <cdr:spPr>
        <a:xfrm xmlns:a="http://schemas.openxmlformats.org/drawingml/2006/main">
          <a:off x="1940720" y="1245395"/>
          <a:ext cx="695325" cy="3857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0.26316</cdr:x>
      <cdr:y>0.48163</cdr:y>
    </cdr:from>
    <cdr:to>
      <cdr:x>0.73474</cdr:x>
      <cdr:y>0.70979</cdr:y>
    </cdr:to>
    <cdr:sp macro="" textlink="_ReleaseData!$B$2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595315" y="899156"/>
          <a:ext cx="1066801" cy="4259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9B208955-804C-4BE4-8C9C-10DC82D69A15}" type="TxLink">
            <a:rPr lang="en-US" sz="1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0%</a:t>
          </a:fld>
          <a:endParaRPr lang="en-US" sz="18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0.27652</cdr:x>
      <cdr:y>0.4743</cdr:y>
    </cdr:from>
    <cdr:to>
      <cdr:x>0.73125</cdr:x>
      <cdr:y>0.70246</cdr:y>
    </cdr:to>
    <cdr:sp macro="" textlink="_ReleaseData!$B$6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632115" y="899016"/>
          <a:ext cx="1039517" cy="4324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CBCECE91-E097-4068-B9E2-2743CBAC9ABD}" type="TxLink">
            <a:rPr lang="en-US" sz="1800" b="1" i="0" u="none" strike="noStrike">
              <a:solidFill>
                <a:schemeClr val="accent1"/>
              </a:solidFill>
              <a:latin typeface="Calibri"/>
              <a:cs typeface="Calibri"/>
            </a:rPr>
            <a:pPr algn="ctr"/>
            <a:t>25%</a:t>
          </a:fld>
          <a:endParaRPr lang="en-US" sz="1800" b="1">
            <a:solidFill>
              <a:schemeClr val="accent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0.38471</cdr:x>
      <cdr:y>0.46227</cdr:y>
    </cdr:from>
    <cdr:to>
      <cdr:x>0.6141</cdr:x>
      <cdr:y>0.56465</cdr:y>
    </cdr:to>
    <cdr:sp macro="" textlink="_ReleaseData!$B$66">
      <cdr:nvSpPr>
        <cdr:cNvPr id="2" name="TextBox 6">
          <a:extLst xmlns:a="http://schemas.openxmlformats.org/drawingml/2006/main">
            <a:ext uri="{FF2B5EF4-FFF2-40B4-BE49-F238E27FC236}">
              <a16:creationId xmlns:a16="http://schemas.microsoft.com/office/drawing/2014/main" id="{2F035252-9814-458D-A265-0DE36AD24630}"/>
            </a:ext>
          </a:extLst>
        </cdr:cNvPr>
        <cdr:cNvSpPr txBox="1"/>
      </cdr:nvSpPr>
      <cdr:spPr>
        <a:xfrm xmlns:a="http://schemas.openxmlformats.org/drawingml/2006/main">
          <a:off x="1533536" y="1547682"/>
          <a:ext cx="914397" cy="342772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ctr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E7DE67F-FB10-403D-96C7-3AC27984C031}" type="TxLink">
            <a:rPr lang="en-US" sz="16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600</a:t>
          </a:fld>
          <a:endParaRPr lang="en-US" sz="16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109539</xdr:colOff>
      <xdr:row>0</xdr:row>
      <xdr:rowOff>123825</xdr:rowOff>
    </xdr:from>
    <xdr:to>
      <xdr:col>3</xdr:col>
      <xdr:colOff>428625</xdr:colOff>
      <xdr:row>11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EB1AD9-3EFE-4FD7-9A31-834A425492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604838</xdr:colOff>
      <xdr:row>0</xdr:row>
      <xdr:rowOff>138112</xdr:rowOff>
    </xdr:from>
    <xdr:to>
      <xdr:col>7</xdr:col>
      <xdr:colOff>300037</xdr:colOff>
      <xdr:row>11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18E5CBD-D151-4875-A6E8-BD06666FC9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104774</xdr:colOff>
      <xdr:row>12</xdr:row>
      <xdr:rowOff>42862</xdr:rowOff>
    </xdr:from>
    <xdr:to>
      <xdr:col>7</xdr:col>
      <xdr:colOff>280987</xdr:colOff>
      <xdr:row>27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9020BDD-C8ED-4523-8CA3-FFF2928A98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12</xdr:col>
      <xdr:colOff>104062</xdr:colOff>
      <xdr:row>7</xdr:row>
      <xdr:rowOff>107158</xdr:rowOff>
    </xdr:from>
    <xdr:ext cx="242631" cy="405432"/>
    <xdr:sp macro="" textlink="$B$35">
      <xdr:nvSpPr>
        <xdr:cNvPr id="6" name="TextBox 5">
          <a:extLst>
            <a:ext uri="{FF2B5EF4-FFF2-40B4-BE49-F238E27FC236}">
              <a16:creationId xmlns:a16="http://schemas.microsoft.com/office/drawing/2014/main" id="{8FAFB1E3-0269-4FBB-8CC2-6395395010E2}"/>
            </a:ext>
          </a:extLst>
        </xdr:cNvPr>
        <xdr:cNvSpPr txBox="1"/>
      </xdr:nvSpPr>
      <xdr:spPr>
        <a:xfrm>
          <a:off x="7876462" y="1373983"/>
          <a:ext cx="242631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fld id="{81FC05A8-A418-4AD4-93A8-080E6D1A328F}" type="TxLink">
            <a:rPr lang="en-US" sz="2000" b="0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 </a:t>
          </a:fld>
          <a:endParaRPr lang="en-US" sz="2000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8</xdr:col>
      <xdr:colOff>323849</xdr:colOff>
      <xdr:row>0</xdr:row>
      <xdr:rowOff>123825</xdr:rowOff>
    </xdr:from>
    <xdr:to>
      <xdr:col>16</xdr:col>
      <xdr:colOff>328612</xdr:colOff>
      <xdr:row>27</xdr:row>
      <xdr:rowOff>76201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B3E0FA0-4207-4C1D-8389-6B6FD81F55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11</xdr:col>
      <xdr:colOff>204994</xdr:colOff>
      <xdr:row>12</xdr:row>
      <xdr:rowOff>127887</xdr:rowOff>
    </xdr:from>
    <xdr:ext cx="1504737" cy="530658"/>
    <xdr:sp macro="" textlink="_ReleaseData!$E$42">
      <xdr:nvSpPr>
        <xdr:cNvPr id="9" name="TextBox 8">
          <a:extLst>
            <a:ext uri="{FF2B5EF4-FFF2-40B4-BE49-F238E27FC236}">
              <a16:creationId xmlns:a16="http://schemas.microsoft.com/office/drawing/2014/main" id="{80C61E6A-DCB6-4846-BE5A-F63213C84308}"/>
            </a:ext>
          </a:extLst>
        </xdr:cNvPr>
        <xdr:cNvSpPr txBox="1"/>
      </xdr:nvSpPr>
      <xdr:spPr>
        <a:xfrm>
          <a:off x="7329694" y="2299587"/>
          <a:ext cx="1504737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2DBA2766-81B9-4F91-9C2F-FE841AB3B4B8}" type="TxLink">
            <a:rPr lang="en-US" sz="2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0</a:t>
          </a:fld>
          <a:endParaRPr lang="en-US" sz="28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0</xdr:col>
      <xdr:colOff>104775</xdr:colOff>
      <xdr:row>28</xdr:row>
      <xdr:rowOff>66674</xdr:rowOff>
    </xdr:from>
    <xdr:to>
      <xdr:col>7</xdr:col>
      <xdr:colOff>261938</xdr:colOff>
      <xdr:row>44</xdr:row>
      <xdr:rowOff>66675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FE9079E-B53F-472C-9AF8-C0178366E5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304800</xdr:colOff>
      <xdr:row>28</xdr:row>
      <xdr:rowOff>66675</xdr:rowOff>
    </xdr:from>
    <xdr:to>
      <xdr:col>15</xdr:col>
      <xdr:colOff>342900</xdr:colOff>
      <xdr:row>44</xdr:row>
      <xdr:rowOff>69723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82587C5-D825-4149-991A-5D755D60F7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0.26316</cdr:x>
      <cdr:y>0.48163</cdr:y>
    </cdr:from>
    <cdr:to>
      <cdr:x>0.73474</cdr:x>
      <cdr:y>0.70979</cdr:y>
    </cdr:to>
    <cdr:sp macro="" textlink="_ReleaseData!$B$2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595315" y="899156"/>
          <a:ext cx="1066801" cy="4259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9B208955-804C-4BE4-8C9C-10DC82D69A15}" type="TxLink">
            <a:rPr lang="en-US" sz="1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0%</a:t>
          </a:fld>
          <a:endParaRPr lang="en-US" sz="18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0.2661</cdr:x>
      <cdr:y>0.46927</cdr:y>
    </cdr:from>
    <cdr:to>
      <cdr:x>0.73125</cdr:x>
      <cdr:y>0.69743</cdr:y>
    </cdr:to>
    <cdr:sp macro="" textlink="_ReleaseData!$B$10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608304" y="889490"/>
          <a:ext cx="1063325" cy="4324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CBAF9F0E-5234-42FC-83E0-DD7226C1BA10}" type="TxLink">
            <a:rPr lang="en-US" sz="1800" b="1" i="0" u="none" strike="noStrike">
              <a:solidFill>
                <a:schemeClr val="accent1"/>
              </a:solidFill>
              <a:latin typeface="Calibri"/>
              <a:cs typeface="Calibri"/>
            </a:rPr>
            <a:pPr algn="ctr"/>
            <a:t>-50%</a:t>
          </a:fld>
          <a:endParaRPr lang="en-US" sz="1800" b="1">
            <a:solidFill>
              <a:schemeClr val="accent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109539</xdr:colOff>
      <xdr:row>0</xdr:row>
      <xdr:rowOff>123825</xdr:rowOff>
    </xdr:from>
    <xdr:to>
      <xdr:col>3</xdr:col>
      <xdr:colOff>428625</xdr:colOff>
      <xdr:row>11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D67951-1809-4968-9F79-03C0067537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604838</xdr:colOff>
      <xdr:row>0</xdr:row>
      <xdr:rowOff>138112</xdr:rowOff>
    </xdr:from>
    <xdr:to>
      <xdr:col>7</xdr:col>
      <xdr:colOff>300037</xdr:colOff>
      <xdr:row>11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9D63F15-3A12-4C68-88A9-E546A702C4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104774</xdr:colOff>
      <xdr:row>12</xdr:row>
      <xdr:rowOff>42862</xdr:rowOff>
    </xdr:from>
    <xdr:to>
      <xdr:col>7</xdr:col>
      <xdr:colOff>280987</xdr:colOff>
      <xdr:row>27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982EE2F-8597-49FB-A72E-CD8AC7E004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12</xdr:col>
      <xdr:colOff>104062</xdr:colOff>
      <xdr:row>7</xdr:row>
      <xdr:rowOff>107158</xdr:rowOff>
    </xdr:from>
    <xdr:ext cx="242631" cy="405432"/>
    <xdr:sp macro="" textlink="$B$35">
      <xdr:nvSpPr>
        <xdr:cNvPr id="6" name="TextBox 5">
          <a:extLst>
            <a:ext uri="{FF2B5EF4-FFF2-40B4-BE49-F238E27FC236}">
              <a16:creationId xmlns:a16="http://schemas.microsoft.com/office/drawing/2014/main" id="{CB2898D4-334F-430B-A0BC-60E5BA37E234}"/>
            </a:ext>
          </a:extLst>
        </xdr:cNvPr>
        <xdr:cNvSpPr txBox="1"/>
      </xdr:nvSpPr>
      <xdr:spPr>
        <a:xfrm>
          <a:off x="7876462" y="1373983"/>
          <a:ext cx="242631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fld id="{81FC05A8-A418-4AD4-93A8-080E6D1A328F}" type="TxLink">
            <a:rPr lang="en-US" sz="2000" b="0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 </a:t>
          </a:fld>
          <a:endParaRPr lang="en-US" sz="2000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8</xdr:col>
      <xdr:colOff>257175</xdr:colOff>
      <xdr:row>0</xdr:row>
      <xdr:rowOff>166688</xdr:rowOff>
    </xdr:from>
    <xdr:to>
      <xdr:col>16</xdr:col>
      <xdr:colOff>400050</xdr:colOff>
      <xdr:row>27</xdr:row>
      <xdr:rowOff>38100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4B3C086-0B2D-4EDB-907A-1BF900EFFB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11</xdr:col>
      <xdr:colOff>295473</xdr:colOff>
      <xdr:row>12</xdr:row>
      <xdr:rowOff>137411</xdr:rowOff>
    </xdr:from>
    <xdr:ext cx="1361862" cy="530658"/>
    <xdr:sp macro="" textlink="_ReleaseData!H42">
      <xdr:nvSpPr>
        <xdr:cNvPr id="11" name="TextBox 10">
          <a:extLst>
            <a:ext uri="{FF2B5EF4-FFF2-40B4-BE49-F238E27FC236}">
              <a16:creationId xmlns:a16="http://schemas.microsoft.com/office/drawing/2014/main" id="{173B0F1A-4E40-456C-BFFC-AA6C43F742F2}"/>
            </a:ext>
          </a:extLst>
        </xdr:cNvPr>
        <xdr:cNvSpPr txBox="1"/>
      </xdr:nvSpPr>
      <xdr:spPr>
        <a:xfrm>
          <a:off x="7420173" y="2309111"/>
          <a:ext cx="1361862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C69E0483-5A72-478D-89F7-A57507C71917}" type="TxLink">
            <a:rPr lang="en-US" sz="2800" b="1" i="0" u="none" strike="noStrike">
              <a:solidFill>
                <a:schemeClr val="bg2">
                  <a:lumMod val="50000"/>
                </a:schemeClr>
              </a:solidFill>
              <a:latin typeface="Calibri" panose="020F0502020204030204" pitchFamily="34" charset="0"/>
              <a:cs typeface="Calibri" panose="020F0502020204030204" pitchFamily="34" charset="0"/>
            </a:rPr>
            <a:pPr algn="ctr"/>
            <a:t>-100</a:t>
          </a:fld>
          <a:endParaRPr lang="en-US" sz="2800" b="1">
            <a:solidFill>
              <a:schemeClr val="bg2">
                <a:lumMod val="50000"/>
              </a:schemeClr>
            </a:solidFill>
            <a:latin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oneCellAnchor>
  <xdr:twoCellAnchor>
    <xdr:from>
      <xdr:col>0</xdr:col>
      <xdr:colOff>109536</xdr:colOff>
      <xdr:row>28</xdr:row>
      <xdr:rowOff>42867</xdr:rowOff>
    </xdr:from>
    <xdr:to>
      <xdr:col>7</xdr:col>
      <xdr:colOff>280987</xdr:colOff>
      <xdr:row>43</xdr:row>
      <xdr:rowOff>171454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65D225E-8AAB-4F47-95A9-9030A4B737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252413</xdr:colOff>
      <xdr:row>28</xdr:row>
      <xdr:rowOff>42862</xdr:rowOff>
    </xdr:from>
    <xdr:to>
      <xdr:col>15</xdr:col>
      <xdr:colOff>473393</xdr:colOff>
      <xdr:row>43</xdr:row>
      <xdr:rowOff>172021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169A48F-FB2F-4A20-AF37-8EA8FA7C55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0.26105</cdr:x>
      <cdr:y>0.48163</cdr:y>
    </cdr:from>
    <cdr:to>
      <cdr:x>0.73263</cdr:x>
      <cdr:y>0.70979</cdr:y>
    </cdr:to>
    <cdr:sp macro="" textlink="_ReleaseData!$B$22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590552" y="899156"/>
          <a:ext cx="1066801" cy="4259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C4952F00-5142-4EE6-9737-73F2AC430E41}" type="TxLink">
            <a:rPr lang="en-US" sz="1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0%</a:t>
          </a:fld>
          <a:endParaRPr lang="en-US" sz="18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Alex Folomechine" refreshedDate="43872.947381018515" createdVersion="6" refreshedVersion="6" minRefreshableVersion="3" recordCount="104" xr:uid="{00000000-000A-0000-FFFF-FFFF0C000000}">
  <cacheSource type="worksheet">
    <worksheetSource name="issues"/>
  </cacheSource>
  <cacheFields count="49">
    <cacheField name="Key" numFmtId="0">
      <sharedItems/>
    </cacheField>
    <cacheField name="Type" numFmtId="0">
      <sharedItems containsBlank="1" count="8">
        <s v="${issue.issueType.name}"/>
        <m/>
        <s v="Epic"/>
        <s v="Story"/>
        <s v="Spike"/>
        <s v="Tech Debt"/>
        <s v="Bug"/>
        <s v="DevOps"/>
      </sharedItems>
    </cacheField>
    <cacheField name="Summary" numFmtId="0">
      <sharedItems containsBlank="1"/>
    </cacheField>
    <cacheField name="Team" numFmtId="0">
      <sharedItems containsBlank="1"/>
    </cacheField>
    <cacheField name="Status" numFmtId="0">
      <sharedItems containsBlank="1" count="59">
        <s v="${issue.statusObject.name}"/>
        <m/>
        <s v="Epic: New"/>
        <s v="Epic: Decomposition"/>
        <s v="Epic: Review"/>
        <s v="Epic: Ready"/>
        <s v="Epic: In Development"/>
        <s v="Epic: Done"/>
        <s v="Epic: Cancelled"/>
        <s v="Epic: Demo"/>
        <s v="Story: New"/>
        <s v="Story: Review"/>
        <s v="Story: Ready"/>
        <s v="Story: In Development"/>
        <s v="Story: Validation"/>
        <s v="Story: Demo Checkpoint"/>
        <s v="Story: Done"/>
        <s v="Story: In Development - On Hold"/>
        <s v="Story: Demo Checkpoint - On Hold"/>
        <s v="Story: Prototype Done"/>
        <s v="Story: Ready for Validation"/>
        <s v="Story: Validation - On Hold"/>
        <s v="Story: Cancelled"/>
        <s v="Tech Debt: New"/>
        <s v="Tech Debt: Review"/>
        <s v="Tech Debt: Ready"/>
        <s v="Tech Debt: In Development"/>
        <s v="Tech Debt: Validation"/>
        <s v="Tech Debt: Demo Checkpoint"/>
        <s v="Tech Debt: Done"/>
        <s v="Tech Debt: In Development - On Hold"/>
        <s v="Tech Debt: Demo Checkpoint - On Hold"/>
        <s v="Tech Debt: Prototype Done"/>
        <s v="Tech Debt: Ready for Validation"/>
        <s v="Tech Debt: Validation - On Hold"/>
        <s v="Tech Debt: Cancelled"/>
        <s v="Bug: New"/>
        <s v="Bug: Triage"/>
        <s v="Bug: Ready"/>
        <s v="Bug: In Development"/>
        <s v="Bug: Validation"/>
        <s v="Bug: Closed"/>
        <s v="Bug: New - On Hold"/>
        <s v="Bug: In Development - On Hold"/>
        <s v="Bug: Validation - On Hold"/>
        <s v="Bug: Investigate"/>
        <s v="DevOps: New"/>
        <s v="DevOps: Review"/>
        <s v="DevOps: Ready"/>
        <s v="DevOps: In Development"/>
        <s v="DevOps: Validation"/>
        <s v="DevOps: Demo Checkpoint"/>
        <s v="DevOps: Done"/>
        <s v="DevOps: In Development - On Hold"/>
        <s v="DevOps: Demo Checkpoint - On Hold"/>
        <s v="DevOps: Prototype Done"/>
        <s v="DevOps: Ready for Validation"/>
        <s v="DevOps: Validation - On Hold"/>
        <s v="DevOps: Cancelled"/>
      </sharedItems>
    </cacheField>
    <cacheField name="Sprints" numFmtId="0">
      <sharedItems containsBlank="1"/>
    </cacheField>
    <cacheField name="Assignee" numFmtId="0">
      <sharedItems containsBlank="1"/>
    </cacheField>
    <cacheField name="Reporter" numFmtId="0">
      <sharedItems containsBlank="1"/>
    </cacheField>
    <cacheField name="Role: PM" numFmtId="0">
      <sharedItems containsBlank="1"/>
    </cacheField>
    <cacheField name="Updated" numFmtId="0">
      <sharedItems containsBlank="1"/>
    </cacheField>
    <cacheField name="ST:Components" numFmtId="0">
      <sharedItems containsBlank="1" count="19">
        <s v="${fieldHelper.getFieldValueByName(issue, &quot;ST:Components&quot;)}"/>
        <m/>
        <s v="Admin"/>
        <s v="Visio Import/Export"/>
        <s v="Logging and Audit"/>
        <s v="Doc Gen" u="1"/>
        <s v="Reuse" u="1"/>
        <s v="Diagram Editor" u="1"/>
        <s v="Traces" u="1"/>
        <s v="Excel Export" u="1"/>
        <s v="DevOps" u="1"/>
        <s v="Artifact List" u="1"/>
        <s v="Glossary" u="1"/>
        <s v="Cross Project Move" u="1"/>
        <s v="Drag &amp; Drop" u="1"/>
        <s v="Excel Import" u="1"/>
        <s v="Version Compare" u="1"/>
        <s v="Angular 8 Migration" u="1"/>
        <s v="Process Artifact" u="1"/>
      </sharedItems>
    </cacheField>
    <cacheField name="Labels" numFmtId="0">
      <sharedItems containsBlank="1"/>
    </cacheField>
    <cacheField name="Estimate in Days" numFmtId="0">
      <sharedItems containsBlank="1"/>
    </cacheField>
    <cacheField name="Story Points" numFmtId="0">
      <sharedItems containsBlank="1" containsMixedTypes="1" containsNumber="1" containsInteger="1" minValue="1" maxValue="40"/>
    </cacheField>
    <cacheField name="Stories Estimate" numFmtId="0">
      <sharedItems containsBlank="1"/>
    </cacheField>
    <cacheField name="Epic Total Estimate" numFmtId="0">
      <sharedItems containsBlank="1" containsMixedTypes="1" containsNumber="1" containsInteger="1" minValue="50" maxValue="750"/>
    </cacheField>
    <cacheField name="Epic Remaining Estimate" numFmtId="0">
      <sharedItems containsBlank="1" containsMixedTypes="1" containsNumber="1" containsInteger="1" minValue="150" maxValue="150"/>
    </cacheField>
    <cacheField name="Σ Original Estimate" numFmtId="0">
      <sharedItems containsBlank="1"/>
    </cacheField>
    <cacheField name="Σ Remaining Estimate" numFmtId="0">
      <sharedItems containsBlank="1"/>
    </cacheField>
    <cacheField name="Σ Time Spent" numFmtId="0">
      <sharedItems containsBlank="1"/>
    </cacheField>
    <cacheField name="Epic Link" numFmtId="0">
      <sharedItems containsBlank="1"/>
    </cacheField>
    <cacheField name="Epic Team" numFmtId="0">
      <sharedItems containsBlank="1"/>
    </cacheField>
    <cacheField name="Epic Decomposed" numFmtId="0">
      <sharedItems containsBlank="1" containsMixedTypes="1" containsNumber="1" containsInteger="1" minValue="180" maxValue="180"/>
    </cacheField>
    <cacheField name="Epic Progress" numFmtId="0">
      <sharedItems containsBlank="1"/>
    </cacheField>
    <cacheField name="Commitment Sprint" numFmtId="0">
      <sharedItems containsBlank="1"/>
    </cacheField>
    <cacheField name="Cycle Time in Days" numFmtId="0">
      <sharedItems containsBlank="1"/>
    </cacheField>
    <cacheField name="Development Time in Days" numFmtId="0">
      <sharedItems containsBlank="1"/>
    </cacheField>
    <cacheField name="Ready For Validation Time in Days" numFmtId="0">
      <sharedItems containsBlank="1"/>
    </cacheField>
    <cacheField name="Validation Time in Days" numFmtId="0">
      <sharedItems containsBlank="1"/>
    </cacheField>
    <cacheField name="Last Commitment Sprint" numFmtId="0">
      <sharedItems containsBlank="1"/>
    </cacheField>
    <cacheField name="Last Sprint" numFmtId="0">
      <sharedItems containsBlank="1" count="66">
        <s v="${bpHelper.getLastSprint(issue)}"/>
        <m/>
        <s v="Wavelength1"/>
        <s v="Wavelength2"/>
        <s v="Wavelength3"/>
        <s v="Wavelength4"/>
        <s v="Wavelength5"/>
        <s v="Wavelength6"/>
        <s v="Wavelength7"/>
        <s v="Quasar1" u="1"/>
        <s v="Titan7" u="1"/>
        <s v="Quasar2" u="1"/>
        <s v="Quasar3" u="1"/>
        <s v="Quasar4" u="1"/>
        <s v="Quasar5" u="1"/>
        <s v="Quasar6" u="1"/>
        <s v="Pegasus2" u="1"/>
        <s v="Quasar7" u="1"/>
        <s v="Quasar8" u="1"/>
        <s v="Quasar9" u="1"/>
        <s v="Pegasus5" u="1"/>
        <s v="Pegasus8" u="1"/>
        <s v="Ursa6" u="1"/>
        <s v="Ursa4" u="1"/>
        <s v="Venus3" u="1"/>
        <s v="Quasar12" u="1"/>
        <s v="Ursa2" u="1"/>
        <s v="Titan3" u="1"/>
        <s v="Venus6" u="1"/>
        <s v="Titan6" u="1"/>
        <s v="Pegasus3" u="1"/>
        <s v="Pegasus6" u="1"/>
        <s v="Venus2" u="1"/>
        <s v="Quasar10" u="1"/>
        <s v="Saturn1" u="1"/>
        <s v="Saturn2" u="1"/>
        <s v="Saturn3" u="1"/>
        <s v="Quasar13" u="1"/>
        <s v="Titan2" u="1"/>
        <s v="Saturn4" u="1"/>
        <s v="Saturn5" u="1"/>
        <s v="Saturn6" u="1"/>
        <s v="Saturn7" u="1"/>
        <s v="Venus5" u="1"/>
        <s v="Titan5" u="1"/>
        <s v="Ursa7" u="1"/>
        <s v="Ursa5" u="1"/>
        <s v="Rocket1" u="1"/>
        <s v="Rocket2" u="1"/>
        <s v="Ursa3" u="1"/>
        <s v="Rocket3" u="1"/>
        <s v="Rocket4" u="1"/>
        <s v="Ursa1" u="1"/>
        <s v="Rocket5" u="1"/>
        <s v="Rocket6" u="1"/>
        <s v="Rocket7" u="1"/>
        <s v="Pegasus1" u="1"/>
        <s v="Pegasus4" u="1"/>
        <s v="Venus1" u="1"/>
        <s v="Pegasus7" u="1"/>
        <s v="Titan1" u="1"/>
        <s v="Quasar11" u="1"/>
        <s v="Quasar14" u="1"/>
        <s v="Venus4" u="1"/>
        <s v="Titan4" u="1"/>
        <s v="Venus7" u="1"/>
      </sharedItems>
    </cacheField>
    <cacheField name="Sprint Label" numFmtId="0">
      <sharedItems containsBlank="1" count="73">
        <s v="$[SUBSTITUTE(SUBSTITUTE(AE2, &quot;avelength&quot;, &quot;&quot;), &quot;enus&quot;, &quot;&quot;)]"/>
        <m/>
        <s v="W1"/>
        <s v="W2"/>
        <s v="W3"/>
        <s v="W4"/>
        <s v="W5"/>
        <s v="W6"/>
        <s v="W7"/>
        <s v="U1" u="1"/>
        <s v="R6" u="1"/>
        <s v="Q1" u="1"/>
        <s v="S4" u="1"/>
        <s v="U7" u="1"/>
        <s v="T2" u="1"/>
        <s v="Q7" u="1"/>
        <s v="P2" u="1"/>
        <s v="V5" u="1"/>
        <s v="R5" u="1"/>
        <s v="S3" u="1"/>
        <s v="$[SUBSTITUTE(SUBSTITUTE(AE2, &quot;rsa&quot;, &quot;&quot;), &quot;itan&quot;, &quot;&quot;)]" u="1"/>
        <s v="U6" u="1"/>
        <s v="T1" u="1"/>
        <s v="$[SUBSTITUTE(SUBSTITUTE(AE2, &quot;aturn&quot;, &quot;&quot;), &quot;ocket&quot;, &quot;&quot;)]" u="1"/>
        <s v="Q6" u="1"/>
        <s v="P1" u="1"/>
        <s v="Q10" u="1"/>
        <s v="Q11" u="1"/>
        <s v="Q12" u="1"/>
        <s v="V4" u="1"/>
        <s v="Q13" u="1"/>
        <s v="Q14" u="1"/>
        <s v="R4" u="1"/>
        <s v="T7" u="1"/>
        <s v="S2" u="1"/>
        <s v="$[SUBSTITUTE(SUBSTITUTE(SUBSTITUTE(AE2, &quot;ocket&quot;, &quot;&quot;), &quot;uasar&quot;, &quot;&quot;), &quot;egasus&quot;, &quot;&quot;)]" u="1"/>
        <s v="$[SUBSTITUTE(SUBSTITUTE(SUBSTITUTE(AE3, &quot;ocket&quot;, &quot;&quot;), &quot;uasar&quot;, &quot;&quot;), &quot;egasus&quot;, &quot;&quot;)]" u="1"/>
        <s v="U5" u="1"/>
        <s v="$[=SUBSTITUTE(SUBSTITUTE(SUBSTITUTE(AE3, &quot;ocket&quot;, &quot;&quot;), &quot;uasar&quot;, &quot;&quot;), &quot;egasus&quot;, &quot;&quot;)]" u="1"/>
        <s v="Q5" u="1"/>
        <s v="V3" u="1"/>
        <s v="R3" u="1"/>
        <s v="T6" u="1"/>
        <s v="S1" u="1"/>
        <s v="P6" u="1"/>
        <s v="U4" u="1"/>
        <s v="$[SUBSTITUTE(AE2, &quot;uasar&quot;, &quot;&quot;)]" u="1"/>
        <s v="Q4" u="1"/>
        <s v="V2" u="1"/>
        <s v="S7" u="1"/>
        <s v="$[SUBSTITUTE(SUBSTITUTE(AE2, &quot;itan&quot;, &quot;&quot;), &quot;aturn&quot;, &quot;&quot;)]" u="1"/>
        <s v="R2" u="1"/>
        <s v="$[= SUBSTITUTE('Last Sprint', &quot;uasar&quot;, &quot;&quot;)]" u="1"/>
        <s v="T5" u="1"/>
        <s v="P5" u="1"/>
        <s v="U3" u="1"/>
        <s v="Q3" u="1"/>
        <s v="V1" u="1"/>
        <s v="S6" u="1"/>
        <s v="R1" u="1"/>
        <s v="T4" u="1"/>
        <s v="Q9" u="1"/>
        <s v="P4" u="1"/>
        <s v="V7" u="1"/>
        <s v="U2" u="1"/>
        <s v="R7" u="1"/>
        <s v="Q2" u="1"/>
        <s v="S5" u="1"/>
        <s v="T3" u="1"/>
        <s v="$[SUBSTITUTE(SUBSTITUTE(AE2, &quot;enus&quot;, &quot;&quot;), &quot;rsa&quot;, &quot;&quot;)]" u="1"/>
        <s v="Q8" u="1"/>
        <s v="P3" u="1"/>
        <s v="V6" u="1"/>
      </sharedItems>
    </cacheField>
    <cacheField name="Release" numFmtId="0">
      <sharedItems containsBlank="1" count="10">
        <s v="${issue.fixVersions.name}"/>
        <m/>
        <s v="Venus"/>
        <s v="Wavelength"/>
        <s v="Titan" u="1"/>
        <s v="Ursa" u="1"/>
        <s v="Rocket" u="1"/>
        <s v="Saturn" u="1"/>
        <s v="Pegasus" u="1"/>
        <s v="Quasar" u="1"/>
      </sharedItems>
    </cacheField>
    <cacheField name="Priority" numFmtId="0">
      <sharedItems containsBlank="1" count="7">
        <s v="${issue.priority.name}"/>
        <m/>
        <s v="Highest"/>
        <s v="High"/>
        <s v="Medium"/>
        <s v="Low"/>
        <s v="Lowest"/>
      </sharedItems>
    </cacheField>
    <cacheField name="State" numFmtId="0">
      <sharedItems containsBlank="1" count="9">
        <s v="${bpHelper.getState(issue)}"/>
        <m/>
        <s v="New"/>
        <s v="Ready"/>
        <s v="In Dev"/>
        <s v="Validation"/>
        <s v="Closed"/>
        <s v="Cancelled"/>
        <s v="Unkown"/>
      </sharedItems>
    </cacheField>
    <cacheField name="Release Component" numFmtId="0">
      <sharedItems containsBlank="1" count="8">
        <s v="${bpHelper.getWavelengthComponent(issue)}"/>
        <m/>
        <s v="Visio Import"/>
        <s v="Admin"/>
        <s v="BoA Audit"/>
        <s v="DevOps"/>
        <s v="R&amp;D Bucket"/>
        <s v="Other"/>
      </sharedItems>
    </cacheField>
    <cacheField name="Customer" numFmtId="0">
      <sharedItems containsBlank="1"/>
    </cacheField>
    <cacheField name="Team Grouped" numFmtId="0">
      <sharedItems containsBlank="1" count="12">
        <s v="${bpHelper.getGroupedTeam(fieldHelper.getFieldValueByName(issue, &quot;Team&quot;))}"/>
        <m/>
        <s v="RD"/>
        <s v="Unassigned"/>
        <s v="DevOps"/>
        <s v="NW"/>
        <s v="ngStars"/>
        <s v="Alpha"/>
        <s v="Titan"/>
        <s v="SoftTeco" u="1"/>
        <s v="QA" u="1"/>
        <s v="TechComm" u="1"/>
      </sharedItems>
    </cacheField>
    <cacheField name="Epic Team Grouped" numFmtId="0">
      <sharedItems containsBlank="1"/>
    </cacheField>
    <cacheField name="Epic Ready Estimate" numFmtId="0">
      <sharedItems containsBlank="1" containsMixedTypes="1" containsNumber="1" containsInteger="1" minValue="30" maxValue="30"/>
    </cacheField>
    <cacheField name="Epic In Dev Estimate" numFmtId="0">
      <sharedItems containsBlank="1" containsMixedTypes="1" containsNumber="1" containsInteger="1" minValue="60" maxValue="60"/>
    </cacheField>
    <cacheField name="Epic Validation Estimate" numFmtId="0">
      <sharedItems containsBlank="1" containsMixedTypes="1" containsNumber="1" containsInteger="1" minValue="40" maxValue="40"/>
    </cacheField>
    <cacheField name="Epic Fully Decomposed" numFmtId="0">
      <sharedItems containsBlank="1"/>
    </cacheField>
    <cacheField name="Different Story Points" numFmtId="0">
      <sharedItems containsBlank="1"/>
    </cacheField>
    <cacheField name="DevOps Type" numFmtId="0">
      <sharedItems containsBlank="1" count="9">
        <s v="${bpHelper.getDevOpsType(issue)}"/>
        <m/>
        <s v="Development/Internal Support"/>
        <s v="Production Support"/>
        <s v="Planned - Deployment and Release"/>
        <s v="Planned - Operational Efficiency"/>
        <s v="Planned - Platform Health"/>
        <s v="Planned - Security"/>
        <s v="Time Off / Conferences"/>
      </sharedItems>
    </cacheField>
    <cacheField name="Not DevOps" numFmtId="0">
      <sharedItems containsBlank="1" count="4">
        <s v="$[IF(K2=&quot;DevOps&quot;,&quot;&quot;,&quot;Yes&quot;)]"/>
        <m/>
        <s v="Yes"/>
        <s v="$[IF(K2=&quot;Bug&quot;,&quot;&quot;,&quot;Yes&quot;)]" u="1"/>
      </sharedItems>
    </cacheField>
    <cacheField name="Backlog Health" numFmtId="0">
      <sharedItems containsBlank="1" count="6">
        <s v="${bpHelper.isInBacklogHealth(issue)}&lt;/jt:forEach&gt;"/>
        <m/>
        <s v="Yes"/>
        <s v="No"/>
        <s v="&lt;/jt:forEach&gt;"/>
        <s v="$[IF(OR(E2=&quot;Story: Ready&quot;,E2=&quot;Tech Debt: Ready&quot;,AND(B2=&quot;Spike&quot;,E2=&quot;Story: New&quot;)), &quot;Yes&quot;, &quot;No&quot;)]&lt;/jt:forEach&gt;" u="1"/>
      </sharedItems>
    </cacheField>
    <cacheField name="Epic Done Estimate" numFmtId="0" formula="'Epic Total Estimate'-'Epic Remaining Estimate'" databaseField="0"/>
    <cacheField name="Epic Not Decomposed Estimate" numFmtId="0" formula="'Epic Total Estimate'-'Epic Decomposed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4">
  <r>
    <s v="&lt;jt:forEach items=&quot;${issues}&quot; var=&quot;issue&quot;&gt;&lt;jt:hyperlink address=&quot;${requestContext.canonicalBaseUrl}/browse/${issue.key}&quot; value=&quot;${issue.key}&quot;/&gt;"/>
    <x v="0"/>
    <s v="&lt;jt:hyperlink address=&quot;${requestContext.canonicalBaseUrl}/browse/${issue.key}&quot; value=&quot;${issue.summary}&quot;/&gt;"/>
    <s v="${fieldHelper.getFieldValueByName(issue, &quot;Team&quot;)}"/>
    <x v="0"/>
    <s v="${bpHelper.getCollectionField(issue, &quot;Sprint&quot;)}"/>
    <s v="${issue.assigneeUser.displayName}"/>
    <s v="${issue.reporterUser.displayName}"/>
    <s v="${fieldHelper.getFieldValueByName(issue, &quot;Role: PM&quot;)}"/>
    <s v="${fieldHelper.getFieldValue(issue, &quot;updated&quot;)}"/>
    <x v="0"/>
    <s v="${bpHelper.getLabels(issue)}"/>
    <s v="${fieldHelper.getFieldValueByName(issue, &quot;Estimate in Days&quot;)}"/>
    <s v="${fieldHelper.getFieldValueByName(issue, &quot;Story Points&quot;)}"/>
    <s v="${fieldHelper.getFieldValueByName(issue, &quot;Stories Estimate&quot;)}"/>
    <s v="${fieldHelper.getFieldValueByName(issue, &quot;Epic Total Estimate&quot;)}"/>
    <s v="${fieldHelper.getFieldValueByName(issue, &quot;Epic Remaining Estimate&quot;)}"/>
    <s v="${bpHelper.getAggregateOriginalEstimateInHours(issue)}"/>
    <s v="${bpHelper.getAggregateRemainingEstimateInHours(issue)}"/>
    <s v="${bpHelper.getAggregateTimeSpentInHours(issue)}"/>
    <s v="&lt;jt:hyperlink address=&quot;${requestContext.canonicalBaseUrl}/browse/${bpHelper.getEpicLinkKey(issue)}&quot; value=&quot;${fieldHelper.getFieldValueByName(issue, 'Epic Link')}&quot;/&gt;"/>
    <s v="${fieldHelper.getFieldValueByName(issue, &quot;Epic Team&quot;)}"/>
    <s v="${bpHelper.getDecomposedEstimate(issue)}"/>
    <s v="${bpHelper.getEpicProgress(issue)}"/>
    <s v="${bpHelper.getLastCommitmentSprint(issue)}"/>
    <s v="${bpHelper.getCycleTime(issue)}"/>
    <s v="${bpHelper.getDevelopmentTime(issue)}"/>
    <s v="${bpHelper.getReadyForValidationTime(issue)}"/>
    <s v="${bpHelper.getValidationTime(issue)}"/>
    <s v="${bpHelper.getLastCommitmentSprint(issue)}"/>
    <x v="0"/>
    <x v="0"/>
    <x v="0"/>
    <x v="0"/>
    <x v="0"/>
    <x v="0"/>
    <s v="${fieldHelper.getFieldValueByName(issue, &quot;Customer&quot;)}"/>
    <x v="0"/>
    <s v="${bpHelper.getGroupedTeam(fieldHelper.getFieldValueByName(issue, &quot;Epic Team&quot;))}"/>
    <s v="${bpHelper.getReadyEstimate(issue)}"/>
    <s v="${bpHelper.getInDevEstimate(issue)}"/>
    <s v="${bpHelper.getValidationEstimate(issue)}"/>
    <s v="$[IF(B2=&quot;Epic&quot;, IF(AND(IFERROR(VALUE(P2), 0)&gt;0, P2=W2), &quot;Yes&quot;, &quot;No&quot;), &quot;&quot;)]"/>
    <s v="$[IF(OR(B2=&quot;Bug&quot;, B2=&quot;Epic&quot;),&quot;&quot;,IF(D2=V2, 0, N2))]"/>
    <x v="0"/>
    <x v="0"/>
    <x v="0"/>
  </r>
  <r>
    <s v="&lt;jt:forEach items=&quot;${issues.subList(0, 0)}&quot; var=&quot;issue&quot; where=&quot;${issue.key = ''}&quot;&gt;"/>
    <x v="1"/>
    <m/>
    <m/>
    <x v="1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1"/>
    <x v="1"/>
  </r>
  <r>
    <s v="key"/>
    <x v="2"/>
    <m/>
    <s v="RD"/>
    <x v="2"/>
    <m/>
    <m/>
    <m/>
    <m/>
    <m/>
    <x v="1"/>
    <m/>
    <m/>
    <m/>
    <m/>
    <m/>
    <m/>
    <m/>
    <m/>
    <m/>
    <m/>
    <s v="RD"/>
    <m/>
    <m/>
    <m/>
    <m/>
    <m/>
    <m/>
    <m/>
    <m/>
    <x v="2"/>
    <x v="1"/>
    <x v="2"/>
    <x v="1"/>
    <x v="2"/>
    <x v="2"/>
    <m/>
    <x v="2"/>
    <s v="RD"/>
    <m/>
    <m/>
    <m/>
    <m/>
    <m/>
    <x v="1"/>
    <x v="2"/>
    <x v="1"/>
  </r>
  <r>
    <s v="key"/>
    <x v="3"/>
    <m/>
    <s v="RD"/>
    <x v="3"/>
    <m/>
    <m/>
    <m/>
    <m/>
    <m/>
    <x v="1"/>
    <m/>
    <m/>
    <n v="5"/>
    <m/>
    <m/>
    <m/>
    <m/>
    <m/>
    <m/>
    <m/>
    <s v="RD"/>
    <m/>
    <m/>
    <m/>
    <m/>
    <m/>
    <m/>
    <m/>
    <m/>
    <x v="3"/>
    <x v="1"/>
    <x v="1"/>
    <x v="1"/>
    <x v="3"/>
    <x v="3"/>
    <m/>
    <x v="2"/>
    <s v="RD"/>
    <m/>
    <m/>
    <m/>
    <m/>
    <m/>
    <x v="1"/>
    <x v="2"/>
    <x v="2"/>
  </r>
  <r>
    <s v="key"/>
    <x v="4"/>
    <s v="NEEDS FOR FILTERING IN PIVOT TABLES"/>
    <s v="RD"/>
    <x v="4"/>
    <m/>
    <m/>
    <m/>
    <m/>
    <m/>
    <x v="1"/>
    <m/>
    <m/>
    <n v="10"/>
    <m/>
    <m/>
    <m/>
    <m/>
    <m/>
    <m/>
    <m/>
    <s v="RD"/>
    <m/>
    <m/>
    <m/>
    <m/>
    <m/>
    <m/>
    <m/>
    <m/>
    <x v="4"/>
    <x v="1"/>
    <x v="1"/>
    <x v="1"/>
    <x v="4"/>
    <x v="4"/>
    <m/>
    <x v="2"/>
    <s v="RD"/>
    <m/>
    <m/>
    <m/>
    <m/>
    <m/>
    <x v="1"/>
    <x v="2"/>
    <x v="2"/>
  </r>
  <r>
    <s v="key"/>
    <x v="5"/>
    <m/>
    <s v="RD"/>
    <x v="5"/>
    <m/>
    <m/>
    <m/>
    <m/>
    <m/>
    <x v="1"/>
    <m/>
    <m/>
    <n v="20"/>
    <m/>
    <m/>
    <m/>
    <m/>
    <m/>
    <m/>
    <m/>
    <s v="RD"/>
    <m/>
    <m/>
    <m/>
    <m/>
    <m/>
    <m/>
    <m/>
    <m/>
    <x v="5"/>
    <x v="1"/>
    <x v="1"/>
    <x v="1"/>
    <x v="5"/>
    <x v="5"/>
    <m/>
    <x v="2"/>
    <s v="RD"/>
    <m/>
    <m/>
    <m/>
    <m/>
    <m/>
    <x v="1"/>
    <x v="1"/>
    <x v="2"/>
  </r>
  <r>
    <s v="key"/>
    <x v="6"/>
    <m/>
    <s v="RD"/>
    <x v="6"/>
    <m/>
    <m/>
    <m/>
    <m/>
    <m/>
    <x v="1"/>
    <m/>
    <m/>
    <m/>
    <m/>
    <m/>
    <m/>
    <m/>
    <m/>
    <m/>
    <m/>
    <s v="RD"/>
    <m/>
    <m/>
    <m/>
    <m/>
    <m/>
    <m/>
    <m/>
    <m/>
    <x v="6"/>
    <x v="1"/>
    <x v="1"/>
    <x v="1"/>
    <x v="6"/>
    <x v="6"/>
    <m/>
    <x v="2"/>
    <s v="RD"/>
    <m/>
    <m/>
    <m/>
    <m/>
    <m/>
    <x v="1"/>
    <x v="2"/>
    <x v="3"/>
  </r>
  <r>
    <s v="key"/>
    <x v="7"/>
    <m/>
    <s v="Unassigned"/>
    <x v="7"/>
    <m/>
    <m/>
    <m/>
    <m/>
    <m/>
    <x v="1"/>
    <m/>
    <m/>
    <m/>
    <m/>
    <m/>
    <m/>
    <m/>
    <m/>
    <m/>
    <m/>
    <s v="Unassigned"/>
    <m/>
    <m/>
    <m/>
    <m/>
    <m/>
    <m/>
    <m/>
    <m/>
    <x v="7"/>
    <x v="1"/>
    <x v="1"/>
    <x v="1"/>
    <x v="7"/>
    <x v="7"/>
    <m/>
    <x v="3"/>
    <s v="Unassigned"/>
    <m/>
    <m/>
    <m/>
    <m/>
    <m/>
    <x v="1"/>
    <x v="2"/>
    <x v="3"/>
  </r>
  <r>
    <s v="key"/>
    <x v="7"/>
    <m/>
    <s v="RD"/>
    <x v="8"/>
    <m/>
    <m/>
    <m/>
    <m/>
    <m/>
    <x v="1"/>
    <m/>
    <m/>
    <m/>
    <m/>
    <m/>
    <m/>
    <m/>
    <m/>
    <m/>
    <m/>
    <s v="RD"/>
    <m/>
    <m/>
    <m/>
    <m/>
    <m/>
    <m/>
    <m/>
    <m/>
    <x v="8"/>
    <x v="1"/>
    <x v="1"/>
    <x v="1"/>
    <x v="8"/>
    <x v="1"/>
    <m/>
    <x v="2"/>
    <s v="RD"/>
    <m/>
    <m/>
    <m/>
    <m/>
    <m/>
    <x v="1"/>
    <x v="2"/>
    <x v="3"/>
  </r>
  <r>
    <s v="key"/>
    <x v="7"/>
    <m/>
    <s v="RD"/>
    <x v="9"/>
    <m/>
    <m/>
    <m/>
    <m/>
    <m/>
    <x v="1"/>
    <m/>
    <m/>
    <m/>
    <m/>
    <m/>
    <m/>
    <m/>
    <m/>
    <m/>
    <m/>
    <s v="RD"/>
    <m/>
    <m/>
    <m/>
    <m/>
    <m/>
    <m/>
    <m/>
    <m/>
    <x v="3"/>
    <x v="1"/>
    <x v="1"/>
    <x v="1"/>
    <x v="1"/>
    <x v="1"/>
    <m/>
    <x v="2"/>
    <s v="RD"/>
    <m/>
    <m/>
    <m/>
    <m/>
    <m/>
    <x v="1"/>
    <x v="2"/>
    <x v="1"/>
  </r>
  <r>
    <s v="key"/>
    <x v="7"/>
    <m/>
    <s v="DevOps"/>
    <x v="10"/>
    <m/>
    <m/>
    <m/>
    <m/>
    <m/>
    <x v="1"/>
    <m/>
    <m/>
    <m/>
    <m/>
    <m/>
    <m/>
    <m/>
    <m/>
    <m/>
    <m/>
    <s v="DevOps"/>
    <m/>
    <m/>
    <m/>
    <m/>
    <m/>
    <m/>
    <m/>
    <m/>
    <x v="4"/>
    <x v="2"/>
    <x v="1"/>
    <x v="1"/>
    <x v="1"/>
    <x v="1"/>
    <m/>
    <x v="4"/>
    <s v="DevOps"/>
    <m/>
    <m/>
    <m/>
    <m/>
    <m/>
    <x v="1"/>
    <x v="2"/>
    <x v="1"/>
  </r>
  <r>
    <s v="key"/>
    <x v="1"/>
    <m/>
    <s v="RD"/>
    <x v="11"/>
    <m/>
    <m/>
    <m/>
    <m/>
    <m/>
    <x v="1"/>
    <m/>
    <m/>
    <m/>
    <m/>
    <m/>
    <m/>
    <m/>
    <m/>
    <m/>
    <m/>
    <s v="RD"/>
    <m/>
    <m/>
    <m/>
    <m/>
    <m/>
    <m/>
    <m/>
    <m/>
    <x v="5"/>
    <x v="3"/>
    <x v="1"/>
    <x v="1"/>
    <x v="1"/>
    <x v="1"/>
    <m/>
    <x v="1"/>
    <m/>
    <m/>
    <m/>
    <m/>
    <m/>
    <m/>
    <x v="1"/>
    <x v="2"/>
    <x v="1"/>
  </r>
  <r>
    <s v="key"/>
    <x v="3"/>
    <m/>
    <s v="RD"/>
    <x v="12"/>
    <m/>
    <m/>
    <m/>
    <m/>
    <m/>
    <x v="1"/>
    <m/>
    <m/>
    <n v="20"/>
    <m/>
    <m/>
    <m/>
    <m/>
    <m/>
    <m/>
    <m/>
    <s v="RD"/>
    <m/>
    <m/>
    <m/>
    <m/>
    <m/>
    <m/>
    <m/>
    <m/>
    <x v="6"/>
    <x v="4"/>
    <x v="1"/>
    <x v="1"/>
    <x v="1"/>
    <x v="1"/>
    <m/>
    <x v="1"/>
    <m/>
    <m/>
    <m/>
    <m/>
    <m/>
    <m/>
    <x v="1"/>
    <x v="2"/>
    <x v="2"/>
  </r>
  <r>
    <s v="key"/>
    <x v="1"/>
    <m/>
    <s v="RD"/>
    <x v="13"/>
    <m/>
    <m/>
    <m/>
    <m/>
    <m/>
    <x v="1"/>
    <m/>
    <m/>
    <m/>
    <m/>
    <m/>
    <m/>
    <m/>
    <m/>
    <m/>
    <m/>
    <s v="RD"/>
    <m/>
    <m/>
    <m/>
    <m/>
    <m/>
    <m/>
    <m/>
    <m/>
    <x v="7"/>
    <x v="5"/>
    <x v="1"/>
    <x v="1"/>
    <x v="1"/>
    <x v="1"/>
    <m/>
    <x v="1"/>
    <m/>
    <m/>
    <m/>
    <m/>
    <m/>
    <m/>
    <x v="1"/>
    <x v="2"/>
    <x v="1"/>
  </r>
  <r>
    <s v="key"/>
    <x v="7"/>
    <m/>
    <m/>
    <x v="14"/>
    <m/>
    <m/>
    <m/>
    <m/>
    <m/>
    <x v="1"/>
    <m/>
    <m/>
    <n v="10"/>
    <m/>
    <m/>
    <m/>
    <m/>
    <m/>
    <m/>
    <m/>
    <m/>
    <m/>
    <m/>
    <m/>
    <m/>
    <m/>
    <m/>
    <m/>
    <m/>
    <x v="2"/>
    <x v="6"/>
    <x v="1"/>
    <x v="1"/>
    <x v="1"/>
    <x v="1"/>
    <m/>
    <x v="1"/>
    <m/>
    <m/>
    <m/>
    <m/>
    <m/>
    <m/>
    <x v="2"/>
    <x v="2"/>
    <x v="1"/>
  </r>
  <r>
    <s v="key"/>
    <x v="7"/>
    <m/>
    <m/>
    <x v="15"/>
    <m/>
    <m/>
    <m/>
    <m/>
    <m/>
    <x v="1"/>
    <m/>
    <m/>
    <n v="10"/>
    <m/>
    <m/>
    <m/>
    <m/>
    <m/>
    <m/>
    <m/>
    <m/>
    <m/>
    <m/>
    <m/>
    <m/>
    <m/>
    <m/>
    <m/>
    <m/>
    <x v="8"/>
    <x v="7"/>
    <x v="1"/>
    <x v="1"/>
    <x v="1"/>
    <x v="1"/>
    <m/>
    <x v="1"/>
    <m/>
    <m/>
    <m/>
    <m/>
    <m/>
    <m/>
    <x v="3"/>
    <x v="2"/>
    <x v="1"/>
  </r>
  <r>
    <s v="key"/>
    <x v="7"/>
    <m/>
    <m/>
    <x v="16"/>
    <m/>
    <m/>
    <m/>
    <m/>
    <m/>
    <x v="1"/>
    <m/>
    <m/>
    <n v="10"/>
    <m/>
    <m/>
    <m/>
    <m/>
    <m/>
    <m/>
    <m/>
    <m/>
    <m/>
    <m/>
    <m/>
    <m/>
    <m/>
    <m/>
    <m/>
    <m/>
    <x v="4"/>
    <x v="2"/>
    <x v="1"/>
    <x v="1"/>
    <x v="1"/>
    <x v="1"/>
    <m/>
    <x v="1"/>
    <m/>
    <m/>
    <m/>
    <m/>
    <m/>
    <m/>
    <x v="4"/>
    <x v="2"/>
    <x v="1"/>
  </r>
  <r>
    <s v="key"/>
    <x v="7"/>
    <m/>
    <m/>
    <x v="17"/>
    <m/>
    <m/>
    <m/>
    <m/>
    <m/>
    <x v="1"/>
    <m/>
    <m/>
    <n v="10"/>
    <m/>
    <m/>
    <m/>
    <m/>
    <m/>
    <m/>
    <m/>
    <m/>
    <m/>
    <m/>
    <m/>
    <m/>
    <m/>
    <m/>
    <m/>
    <m/>
    <x v="5"/>
    <x v="3"/>
    <x v="1"/>
    <x v="1"/>
    <x v="1"/>
    <x v="1"/>
    <m/>
    <x v="1"/>
    <m/>
    <m/>
    <m/>
    <m/>
    <m/>
    <m/>
    <x v="5"/>
    <x v="2"/>
    <x v="1"/>
  </r>
  <r>
    <s v="key"/>
    <x v="7"/>
    <m/>
    <m/>
    <x v="18"/>
    <m/>
    <m/>
    <m/>
    <m/>
    <m/>
    <x v="1"/>
    <m/>
    <m/>
    <n v="10"/>
    <m/>
    <m/>
    <m/>
    <m/>
    <m/>
    <m/>
    <m/>
    <m/>
    <m/>
    <m/>
    <m/>
    <m/>
    <m/>
    <m/>
    <m/>
    <m/>
    <x v="6"/>
    <x v="4"/>
    <x v="1"/>
    <x v="1"/>
    <x v="1"/>
    <x v="1"/>
    <m/>
    <x v="1"/>
    <m/>
    <m/>
    <m/>
    <m/>
    <m/>
    <m/>
    <x v="6"/>
    <x v="2"/>
    <x v="1"/>
  </r>
  <r>
    <s v="key"/>
    <x v="7"/>
    <m/>
    <m/>
    <x v="19"/>
    <m/>
    <m/>
    <m/>
    <m/>
    <m/>
    <x v="1"/>
    <m/>
    <m/>
    <n v="10"/>
    <m/>
    <m/>
    <m/>
    <m/>
    <m/>
    <m/>
    <m/>
    <m/>
    <m/>
    <m/>
    <m/>
    <m/>
    <m/>
    <m/>
    <m/>
    <m/>
    <x v="7"/>
    <x v="5"/>
    <x v="1"/>
    <x v="1"/>
    <x v="1"/>
    <x v="1"/>
    <m/>
    <x v="1"/>
    <m/>
    <m/>
    <m/>
    <m/>
    <m/>
    <m/>
    <x v="7"/>
    <x v="2"/>
    <x v="1"/>
  </r>
  <r>
    <s v="key"/>
    <x v="7"/>
    <m/>
    <m/>
    <x v="20"/>
    <m/>
    <m/>
    <m/>
    <m/>
    <m/>
    <x v="1"/>
    <m/>
    <m/>
    <n v="10"/>
    <m/>
    <m/>
    <m/>
    <m/>
    <m/>
    <m/>
    <m/>
    <m/>
    <m/>
    <m/>
    <m/>
    <m/>
    <m/>
    <m/>
    <m/>
    <m/>
    <x v="2"/>
    <x v="6"/>
    <x v="1"/>
    <x v="1"/>
    <x v="1"/>
    <x v="1"/>
    <m/>
    <x v="1"/>
    <m/>
    <m/>
    <m/>
    <m/>
    <m/>
    <m/>
    <x v="8"/>
    <x v="2"/>
    <x v="1"/>
  </r>
  <r>
    <s v="key"/>
    <x v="1"/>
    <m/>
    <m/>
    <x v="21"/>
    <m/>
    <m/>
    <m/>
    <m/>
    <m/>
    <x v="1"/>
    <m/>
    <m/>
    <m/>
    <m/>
    <m/>
    <m/>
    <m/>
    <m/>
    <m/>
    <m/>
    <m/>
    <m/>
    <m/>
    <m/>
    <m/>
    <m/>
    <m/>
    <m/>
    <m/>
    <x v="3"/>
    <x v="7"/>
    <x v="1"/>
    <x v="1"/>
    <x v="1"/>
    <x v="1"/>
    <m/>
    <x v="1"/>
    <m/>
    <m/>
    <m/>
    <m/>
    <m/>
    <m/>
    <x v="1"/>
    <x v="2"/>
    <x v="1"/>
  </r>
  <r>
    <s v="key"/>
    <x v="1"/>
    <m/>
    <m/>
    <x v="22"/>
    <m/>
    <m/>
    <m/>
    <m/>
    <m/>
    <x v="1"/>
    <m/>
    <m/>
    <m/>
    <m/>
    <m/>
    <m/>
    <m/>
    <m/>
    <m/>
    <m/>
    <m/>
    <m/>
    <m/>
    <m/>
    <m/>
    <m/>
    <m/>
    <m/>
    <m/>
    <x v="8"/>
    <x v="2"/>
    <x v="1"/>
    <x v="1"/>
    <x v="1"/>
    <x v="1"/>
    <m/>
    <x v="1"/>
    <m/>
    <m/>
    <m/>
    <m/>
    <m/>
    <m/>
    <x v="1"/>
    <x v="2"/>
    <x v="1"/>
  </r>
  <r>
    <s v="key"/>
    <x v="1"/>
    <m/>
    <m/>
    <x v="23"/>
    <m/>
    <m/>
    <m/>
    <m/>
    <m/>
    <x v="1"/>
    <m/>
    <m/>
    <m/>
    <m/>
    <m/>
    <m/>
    <m/>
    <m/>
    <m/>
    <m/>
    <m/>
    <m/>
    <m/>
    <m/>
    <m/>
    <m/>
    <m/>
    <m/>
    <m/>
    <x v="5"/>
    <x v="2"/>
    <x v="1"/>
    <x v="1"/>
    <x v="1"/>
    <x v="1"/>
    <m/>
    <x v="1"/>
    <m/>
    <m/>
    <m/>
    <m/>
    <m/>
    <m/>
    <x v="1"/>
    <x v="2"/>
    <x v="1"/>
  </r>
  <r>
    <s v="key"/>
    <x v="1"/>
    <m/>
    <m/>
    <x v="24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5"/>
    <m/>
    <m/>
    <x v="25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1"/>
    <m/>
    <m/>
    <x v="26"/>
    <m/>
    <m/>
    <m/>
    <m/>
    <m/>
    <x v="1"/>
    <m/>
    <m/>
    <m/>
    <m/>
    <m/>
    <m/>
    <m/>
    <m/>
    <m/>
    <m/>
    <m/>
    <m/>
    <m/>
    <m/>
    <m/>
    <m/>
    <m/>
    <m/>
    <m/>
    <x v="1"/>
    <x v="1"/>
    <x v="2"/>
    <x v="1"/>
    <x v="1"/>
    <x v="1"/>
    <m/>
    <x v="1"/>
    <m/>
    <m/>
    <m/>
    <m/>
    <m/>
    <m/>
    <x v="1"/>
    <x v="2"/>
    <x v="1"/>
  </r>
  <r>
    <s v="key"/>
    <x v="1"/>
    <m/>
    <m/>
    <x v="27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3"/>
    <m/>
    <m/>
    <x v="28"/>
    <m/>
    <m/>
    <m/>
    <m/>
    <m/>
    <x v="1"/>
    <m/>
    <m/>
    <n v="1"/>
    <m/>
    <m/>
    <m/>
    <m/>
    <m/>
    <m/>
    <m/>
    <m/>
    <m/>
    <m/>
    <m/>
    <m/>
    <m/>
    <m/>
    <m/>
    <m/>
    <x v="2"/>
    <x v="1"/>
    <x v="1"/>
    <x v="1"/>
    <x v="2"/>
    <x v="1"/>
    <m/>
    <x v="1"/>
    <m/>
    <m/>
    <m/>
    <m/>
    <m/>
    <m/>
    <x v="1"/>
    <x v="2"/>
    <x v="1"/>
  </r>
  <r>
    <s v="key"/>
    <x v="3"/>
    <m/>
    <m/>
    <x v="29"/>
    <m/>
    <m/>
    <m/>
    <m/>
    <m/>
    <x v="1"/>
    <m/>
    <m/>
    <n v="1"/>
    <m/>
    <m/>
    <m/>
    <m/>
    <m/>
    <m/>
    <m/>
    <m/>
    <m/>
    <m/>
    <m/>
    <m/>
    <m/>
    <m/>
    <m/>
    <m/>
    <x v="2"/>
    <x v="1"/>
    <x v="1"/>
    <x v="1"/>
    <x v="3"/>
    <x v="1"/>
    <m/>
    <x v="1"/>
    <m/>
    <m/>
    <m/>
    <m/>
    <m/>
    <m/>
    <x v="1"/>
    <x v="2"/>
    <x v="1"/>
  </r>
  <r>
    <s v="key"/>
    <x v="3"/>
    <m/>
    <m/>
    <x v="30"/>
    <m/>
    <m/>
    <m/>
    <m/>
    <m/>
    <x v="1"/>
    <m/>
    <m/>
    <n v="1"/>
    <m/>
    <m/>
    <m/>
    <m/>
    <m/>
    <m/>
    <m/>
    <m/>
    <m/>
    <m/>
    <m/>
    <m/>
    <m/>
    <m/>
    <m/>
    <m/>
    <x v="2"/>
    <x v="1"/>
    <x v="1"/>
    <x v="1"/>
    <x v="4"/>
    <x v="1"/>
    <m/>
    <x v="1"/>
    <m/>
    <m/>
    <m/>
    <m/>
    <m/>
    <m/>
    <x v="1"/>
    <x v="2"/>
    <x v="1"/>
  </r>
  <r>
    <s v="key"/>
    <x v="3"/>
    <m/>
    <m/>
    <x v="31"/>
    <m/>
    <m/>
    <m/>
    <m/>
    <m/>
    <x v="1"/>
    <m/>
    <m/>
    <n v="1"/>
    <m/>
    <m/>
    <m/>
    <m/>
    <m/>
    <m/>
    <m/>
    <m/>
    <m/>
    <m/>
    <m/>
    <m/>
    <m/>
    <m/>
    <m/>
    <m/>
    <x v="2"/>
    <x v="1"/>
    <x v="1"/>
    <x v="1"/>
    <x v="5"/>
    <x v="1"/>
    <m/>
    <x v="1"/>
    <m/>
    <m/>
    <m/>
    <m/>
    <m/>
    <m/>
    <x v="1"/>
    <x v="2"/>
    <x v="1"/>
  </r>
  <r>
    <s v="key"/>
    <x v="3"/>
    <m/>
    <m/>
    <x v="32"/>
    <m/>
    <m/>
    <m/>
    <m/>
    <m/>
    <x v="1"/>
    <m/>
    <m/>
    <n v="1"/>
    <m/>
    <m/>
    <m/>
    <m/>
    <m/>
    <m/>
    <m/>
    <m/>
    <m/>
    <m/>
    <m/>
    <m/>
    <m/>
    <m/>
    <m/>
    <m/>
    <x v="2"/>
    <x v="1"/>
    <x v="1"/>
    <x v="1"/>
    <x v="6"/>
    <x v="1"/>
    <m/>
    <x v="1"/>
    <m/>
    <m/>
    <m/>
    <m/>
    <m/>
    <m/>
    <x v="1"/>
    <x v="2"/>
    <x v="1"/>
  </r>
  <r>
    <s v="key"/>
    <x v="3"/>
    <m/>
    <m/>
    <x v="33"/>
    <m/>
    <m/>
    <m/>
    <m/>
    <m/>
    <x v="1"/>
    <m/>
    <m/>
    <n v="1"/>
    <m/>
    <m/>
    <m/>
    <m/>
    <m/>
    <m/>
    <m/>
    <m/>
    <m/>
    <m/>
    <m/>
    <m/>
    <m/>
    <m/>
    <m/>
    <m/>
    <x v="2"/>
    <x v="1"/>
    <x v="1"/>
    <x v="1"/>
    <x v="7"/>
    <x v="1"/>
    <m/>
    <x v="1"/>
    <m/>
    <m/>
    <m/>
    <m/>
    <m/>
    <m/>
    <x v="1"/>
    <x v="2"/>
    <x v="1"/>
  </r>
  <r>
    <s v="key"/>
    <x v="1"/>
    <m/>
    <m/>
    <x v="34"/>
    <m/>
    <m/>
    <m/>
    <m/>
    <m/>
    <x v="1"/>
    <m/>
    <m/>
    <n v="1"/>
    <m/>
    <m/>
    <m/>
    <m/>
    <m/>
    <m/>
    <m/>
    <m/>
    <m/>
    <m/>
    <m/>
    <m/>
    <m/>
    <m/>
    <m/>
    <m/>
    <x v="2"/>
    <x v="1"/>
    <x v="1"/>
    <x v="1"/>
    <x v="8"/>
    <x v="1"/>
    <m/>
    <x v="1"/>
    <m/>
    <m/>
    <m/>
    <m/>
    <m/>
    <m/>
    <x v="1"/>
    <x v="2"/>
    <x v="1"/>
  </r>
  <r>
    <s v="key"/>
    <x v="1"/>
    <m/>
    <m/>
    <x v="35"/>
    <m/>
    <m/>
    <m/>
    <m/>
    <m/>
    <x v="1"/>
    <m/>
    <m/>
    <m/>
    <m/>
    <m/>
    <m/>
    <m/>
    <m/>
    <m/>
    <m/>
    <m/>
    <m/>
    <m/>
    <m/>
    <m/>
    <m/>
    <m/>
    <m/>
    <m/>
    <x v="2"/>
    <x v="1"/>
    <x v="1"/>
    <x v="1"/>
    <x v="1"/>
    <x v="1"/>
    <m/>
    <x v="1"/>
    <m/>
    <m/>
    <m/>
    <m/>
    <m/>
    <m/>
    <x v="1"/>
    <x v="2"/>
    <x v="1"/>
  </r>
  <r>
    <s v="key"/>
    <x v="1"/>
    <m/>
    <m/>
    <x v="36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1"/>
    <m/>
    <m/>
    <x v="37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6"/>
    <m/>
    <m/>
    <x v="38"/>
    <m/>
    <m/>
    <m/>
    <m/>
    <m/>
    <x v="1"/>
    <m/>
    <m/>
    <m/>
    <m/>
    <m/>
    <m/>
    <m/>
    <m/>
    <m/>
    <m/>
    <m/>
    <m/>
    <m/>
    <m/>
    <m/>
    <m/>
    <m/>
    <m/>
    <m/>
    <x v="1"/>
    <x v="2"/>
    <x v="3"/>
    <x v="2"/>
    <x v="1"/>
    <x v="1"/>
    <m/>
    <x v="2"/>
    <m/>
    <m/>
    <m/>
    <m/>
    <m/>
    <m/>
    <x v="1"/>
    <x v="2"/>
    <x v="1"/>
  </r>
  <r>
    <s v="key"/>
    <x v="6"/>
    <m/>
    <m/>
    <x v="39"/>
    <m/>
    <m/>
    <m/>
    <m/>
    <m/>
    <x v="1"/>
    <m/>
    <m/>
    <m/>
    <m/>
    <m/>
    <m/>
    <m/>
    <m/>
    <m/>
    <m/>
    <m/>
    <m/>
    <m/>
    <m/>
    <m/>
    <m/>
    <m/>
    <m/>
    <m/>
    <x v="1"/>
    <x v="3"/>
    <x v="3"/>
    <x v="3"/>
    <x v="1"/>
    <x v="1"/>
    <m/>
    <x v="2"/>
    <m/>
    <m/>
    <m/>
    <m/>
    <m/>
    <m/>
    <x v="1"/>
    <x v="2"/>
    <x v="1"/>
  </r>
  <r>
    <s v="key"/>
    <x v="6"/>
    <m/>
    <m/>
    <x v="40"/>
    <m/>
    <m/>
    <m/>
    <m/>
    <m/>
    <x v="1"/>
    <m/>
    <m/>
    <m/>
    <m/>
    <m/>
    <m/>
    <m/>
    <m/>
    <m/>
    <m/>
    <m/>
    <m/>
    <m/>
    <m/>
    <m/>
    <m/>
    <m/>
    <m/>
    <m/>
    <x v="1"/>
    <x v="4"/>
    <x v="3"/>
    <x v="4"/>
    <x v="1"/>
    <x v="1"/>
    <m/>
    <x v="2"/>
    <m/>
    <m/>
    <m/>
    <m/>
    <m/>
    <m/>
    <x v="1"/>
    <x v="2"/>
    <x v="1"/>
  </r>
  <r>
    <s v="key"/>
    <x v="6"/>
    <m/>
    <m/>
    <x v="41"/>
    <m/>
    <m/>
    <m/>
    <m/>
    <m/>
    <x v="1"/>
    <m/>
    <m/>
    <m/>
    <m/>
    <m/>
    <m/>
    <m/>
    <m/>
    <m/>
    <m/>
    <m/>
    <m/>
    <m/>
    <m/>
    <m/>
    <m/>
    <m/>
    <m/>
    <m/>
    <x v="1"/>
    <x v="5"/>
    <x v="3"/>
    <x v="5"/>
    <x v="1"/>
    <x v="1"/>
    <m/>
    <x v="2"/>
    <m/>
    <m/>
    <m/>
    <m/>
    <m/>
    <m/>
    <x v="1"/>
    <x v="2"/>
    <x v="1"/>
  </r>
  <r>
    <s v="key"/>
    <x v="6"/>
    <m/>
    <m/>
    <x v="42"/>
    <m/>
    <m/>
    <m/>
    <m/>
    <m/>
    <x v="1"/>
    <m/>
    <m/>
    <m/>
    <m/>
    <m/>
    <m/>
    <m/>
    <m/>
    <m/>
    <m/>
    <m/>
    <m/>
    <m/>
    <m/>
    <m/>
    <m/>
    <m/>
    <m/>
    <m/>
    <x v="1"/>
    <x v="6"/>
    <x v="3"/>
    <x v="6"/>
    <x v="1"/>
    <x v="1"/>
    <m/>
    <x v="2"/>
    <m/>
    <m/>
    <m/>
    <m/>
    <m/>
    <m/>
    <x v="1"/>
    <x v="2"/>
    <x v="1"/>
  </r>
  <r>
    <s v="key"/>
    <x v="6"/>
    <m/>
    <m/>
    <x v="43"/>
    <m/>
    <m/>
    <m/>
    <m/>
    <m/>
    <x v="1"/>
    <m/>
    <m/>
    <m/>
    <m/>
    <m/>
    <m/>
    <m/>
    <m/>
    <m/>
    <m/>
    <m/>
    <m/>
    <m/>
    <m/>
    <m/>
    <m/>
    <m/>
    <m/>
    <m/>
    <x v="1"/>
    <x v="7"/>
    <x v="3"/>
    <x v="5"/>
    <x v="1"/>
    <x v="1"/>
    <m/>
    <x v="2"/>
    <m/>
    <m/>
    <m/>
    <m/>
    <m/>
    <m/>
    <x v="1"/>
    <x v="2"/>
    <x v="1"/>
  </r>
  <r>
    <s v="key"/>
    <x v="6"/>
    <m/>
    <m/>
    <x v="44"/>
    <m/>
    <m/>
    <m/>
    <m/>
    <m/>
    <x v="1"/>
    <m/>
    <m/>
    <m/>
    <m/>
    <m/>
    <m/>
    <m/>
    <m/>
    <m/>
    <m/>
    <m/>
    <m/>
    <m/>
    <m/>
    <m/>
    <m/>
    <m/>
    <m/>
    <m/>
    <x v="1"/>
    <x v="8"/>
    <x v="3"/>
    <x v="1"/>
    <x v="1"/>
    <x v="1"/>
    <m/>
    <x v="1"/>
    <m/>
    <m/>
    <m/>
    <m/>
    <m/>
    <m/>
    <x v="1"/>
    <x v="2"/>
    <x v="1"/>
  </r>
  <r>
    <s v="key"/>
    <x v="1"/>
    <m/>
    <m/>
    <x v="45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1"/>
    <m/>
    <m/>
    <x v="1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6"/>
    <m/>
    <m/>
    <x v="41"/>
    <m/>
    <m/>
    <m/>
    <m/>
    <m/>
    <x v="1"/>
    <m/>
    <m/>
    <m/>
    <m/>
    <m/>
    <m/>
    <m/>
    <m/>
    <m/>
    <m/>
    <m/>
    <m/>
    <m/>
    <m/>
    <m/>
    <m/>
    <m/>
    <m/>
    <m/>
    <x v="1"/>
    <x v="2"/>
    <x v="3"/>
    <x v="2"/>
    <x v="1"/>
    <x v="1"/>
    <m/>
    <x v="2"/>
    <m/>
    <m/>
    <m/>
    <m/>
    <m/>
    <m/>
    <x v="1"/>
    <x v="2"/>
    <x v="1"/>
  </r>
  <r>
    <s v="key"/>
    <x v="2"/>
    <m/>
    <m/>
    <x v="1"/>
    <m/>
    <m/>
    <m/>
    <m/>
    <m/>
    <x v="2"/>
    <m/>
    <m/>
    <m/>
    <m/>
    <n v="100"/>
    <n v="150"/>
    <m/>
    <m/>
    <m/>
    <m/>
    <m/>
    <n v="180"/>
    <m/>
    <m/>
    <m/>
    <m/>
    <m/>
    <m/>
    <m/>
    <x v="1"/>
    <x v="1"/>
    <x v="3"/>
    <x v="1"/>
    <x v="1"/>
    <x v="3"/>
    <m/>
    <x v="2"/>
    <m/>
    <n v="30"/>
    <n v="60"/>
    <n v="40"/>
    <m/>
    <m/>
    <x v="1"/>
    <x v="2"/>
    <x v="1"/>
  </r>
  <r>
    <s v="key"/>
    <x v="2"/>
    <m/>
    <m/>
    <x v="1"/>
    <m/>
    <m/>
    <m/>
    <m/>
    <m/>
    <x v="3"/>
    <m/>
    <m/>
    <m/>
    <m/>
    <n v="50"/>
    <n v="150"/>
    <m/>
    <m/>
    <m/>
    <m/>
    <m/>
    <n v="180"/>
    <m/>
    <m/>
    <m/>
    <m/>
    <m/>
    <m/>
    <m/>
    <x v="1"/>
    <x v="1"/>
    <x v="3"/>
    <x v="1"/>
    <x v="1"/>
    <x v="3"/>
    <m/>
    <x v="2"/>
    <m/>
    <n v="30"/>
    <n v="60"/>
    <n v="40"/>
    <m/>
    <m/>
    <x v="1"/>
    <x v="2"/>
    <x v="1"/>
  </r>
  <r>
    <s v="key"/>
    <x v="2"/>
    <m/>
    <m/>
    <x v="10"/>
    <m/>
    <m/>
    <m/>
    <m/>
    <m/>
    <x v="4"/>
    <m/>
    <m/>
    <n v="10"/>
    <m/>
    <n v="50"/>
    <n v="150"/>
    <m/>
    <m/>
    <m/>
    <m/>
    <m/>
    <n v="180"/>
    <m/>
    <m/>
    <m/>
    <m/>
    <m/>
    <m/>
    <m/>
    <x v="1"/>
    <x v="1"/>
    <x v="3"/>
    <x v="1"/>
    <x v="2"/>
    <x v="4"/>
    <m/>
    <x v="2"/>
    <m/>
    <n v="30"/>
    <n v="60"/>
    <n v="40"/>
    <m/>
    <m/>
    <x v="1"/>
    <x v="2"/>
    <x v="1"/>
  </r>
  <r>
    <s v="key"/>
    <x v="3"/>
    <m/>
    <m/>
    <x v="12"/>
    <m/>
    <m/>
    <m/>
    <m/>
    <m/>
    <x v="4"/>
    <m/>
    <m/>
    <n v="10"/>
    <m/>
    <n v="50"/>
    <n v="150"/>
    <m/>
    <m/>
    <m/>
    <m/>
    <m/>
    <m/>
    <m/>
    <m/>
    <m/>
    <m/>
    <m/>
    <m/>
    <m/>
    <x v="1"/>
    <x v="1"/>
    <x v="3"/>
    <x v="1"/>
    <x v="3"/>
    <x v="1"/>
    <m/>
    <x v="2"/>
    <m/>
    <m/>
    <m/>
    <m/>
    <m/>
    <m/>
    <x v="1"/>
    <x v="2"/>
    <x v="1"/>
  </r>
  <r>
    <s v="key"/>
    <x v="3"/>
    <m/>
    <m/>
    <x v="13"/>
    <m/>
    <m/>
    <m/>
    <m/>
    <m/>
    <x v="4"/>
    <m/>
    <m/>
    <n v="10"/>
    <m/>
    <n v="750"/>
    <n v="150"/>
    <m/>
    <m/>
    <m/>
    <m/>
    <m/>
    <m/>
    <m/>
    <m/>
    <m/>
    <m/>
    <m/>
    <m/>
    <m/>
    <x v="1"/>
    <x v="1"/>
    <x v="3"/>
    <x v="1"/>
    <x v="4"/>
    <x v="1"/>
    <m/>
    <x v="2"/>
    <m/>
    <m/>
    <m/>
    <m/>
    <m/>
    <m/>
    <x v="1"/>
    <x v="2"/>
    <x v="1"/>
  </r>
  <r>
    <s v="key"/>
    <x v="3"/>
    <m/>
    <m/>
    <x v="14"/>
    <m/>
    <m/>
    <m/>
    <m/>
    <m/>
    <x v="1"/>
    <m/>
    <m/>
    <n v="10"/>
    <m/>
    <m/>
    <m/>
    <m/>
    <m/>
    <m/>
    <m/>
    <m/>
    <m/>
    <m/>
    <m/>
    <m/>
    <m/>
    <m/>
    <m/>
    <m/>
    <x v="1"/>
    <x v="1"/>
    <x v="3"/>
    <x v="1"/>
    <x v="5"/>
    <x v="1"/>
    <m/>
    <x v="2"/>
    <m/>
    <m/>
    <m/>
    <m/>
    <m/>
    <m/>
    <x v="1"/>
    <x v="2"/>
    <x v="1"/>
  </r>
  <r>
    <s v="key"/>
    <x v="3"/>
    <m/>
    <m/>
    <x v="16"/>
    <m/>
    <m/>
    <m/>
    <m/>
    <m/>
    <x v="1"/>
    <m/>
    <m/>
    <n v="10"/>
    <m/>
    <m/>
    <m/>
    <m/>
    <m/>
    <m/>
    <m/>
    <m/>
    <m/>
    <m/>
    <m/>
    <m/>
    <m/>
    <m/>
    <m/>
    <m/>
    <x v="1"/>
    <x v="1"/>
    <x v="3"/>
    <x v="1"/>
    <x v="6"/>
    <x v="1"/>
    <m/>
    <x v="2"/>
    <m/>
    <m/>
    <m/>
    <m/>
    <m/>
    <m/>
    <x v="1"/>
    <x v="2"/>
    <x v="1"/>
  </r>
  <r>
    <s v="key"/>
    <x v="3"/>
    <m/>
    <m/>
    <x v="10"/>
    <m/>
    <m/>
    <m/>
    <m/>
    <m/>
    <x v="1"/>
    <m/>
    <m/>
    <n v="20"/>
    <m/>
    <m/>
    <m/>
    <m/>
    <m/>
    <m/>
    <m/>
    <m/>
    <m/>
    <m/>
    <m/>
    <m/>
    <m/>
    <m/>
    <m/>
    <m/>
    <x v="1"/>
    <x v="1"/>
    <x v="3"/>
    <x v="1"/>
    <x v="2"/>
    <x v="1"/>
    <m/>
    <x v="2"/>
    <m/>
    <m/>
    <m/>
    <m/>
    <m/>
    <m/>
    <x v="1"/>
    <x v="2"/>
    <x v="1"/>
  </r>
  <r>
    <s v="key"/>
    <x v="3"/>
    <m/>
    <m/>
    <x v="12"/>
    <m/>
    <m/>
    <m/>
    <m/>
    <m/>
    <x v="1"/>
    <m/>
    <m/>
    <n v="20"/>
    <m/>
    <m/>
    <m/>
    <m/>
    <m/>
    <m/>
    <m/>
    <m/>
    <m/>
    <m/>
    <m/>
    <m/>
    <m/>
    <m/>
    <m/>
    <m/>
    <x v="1"/>
    <x v="1"/>
    <x v="3"/>
    <x v="1"/>
    <x v="3"/>
    <x v="1"/>
    <m/>
    <x v="2"/>
    <m/>
    <m/>
    <m/>
    <m/>
    <m/>
    <m/>
    <x v="1"/>
    <x v="2"/>
    <x v="1"/>
  </r>
  <r>
    <s v="key"/>
    <x v="3"/>
    <m/>
    <m/>
    <x v="13"/>
    <m/>
    <m/>
    <m/>
    <m/>
    <m/>
    <x v="1"/>
    <m/>
    <m/>
    <n v="20"/>
    <m/>
    <m/>
    <m/>
    <m/>
    <m/>
    <m/>
    <m/>
    <m/>
    <m/>
    <m/>
    <m/>
    <m/>
    <m/>
    <m/>
    <m/>
    <m/>
    <x v="1"/>
    <x v="1"/>
    <x v="3"/>
    <x v="1"/>
    <x v="4"/>
    <x v="1"/>
    <m/>
    <x v="2"/>
    <m/>
    <m/>
    <m/>
    <m/>
    <m/>
    <m/>
    <x v="1"/>
    <x v="2"/>
    <x v="1"/>
  </r>
  <r>
    <s v="key"/>
    <x v="3"/>
    <m/>
    <m/>
    <x v="14"/>
    <m/>
    <m/>
    <m/>
    <m/>
    <m/>
    <x v="1"/>
    <m/>
    <m/>
    <n v="20"/>
    <m/>
    <m/>
    <m/>
    <m/>
    <m/>
    <m/>
    <m/>
    <m/>
    <m/>
    <m/>
    <m/>
    <m/>
    <m/>
    <m/>
    <m/>
    <m/>
    <x v="1"/>
    <x v="1"/>
    <x v="3"/>
    <x v="1"/>
    <x v="5"/>
    <x v="1"/>
    <m/>
    <x v="2"/>
    <m/>
    <m/>
    <m/>
    <m/>
    <m/>
    <m/>
    <x v="1"/>
    <x v="2"/>
    <x v="1"/>
  </r>
  <r>
    <s v="key"/>
    <x v="3"/>
    <m/>
    <m/>
    <x v="16"/>
    <m/>
    <m/>
    <m/>
    <m/>
    <m/>
    <x v="1"/>
    <m/>
    <m/>
    <n v="20"/>
    <m/>
    <m/>
    <m/>
    <m/>
    <m/>
    <m/>
    <m/>
    <m/>
    <m/>
    <m/>
    <m/>
    <m/>
    <m/>
    <m/>
    <m/>
    <m/>
    <x v="1"/>
    <x v="1"/>
    <x v="3"/>
    <x v="1"/>
    <x v="6"/>
    <x v="1"/>
    <m/>
    <x v="2"/>
    <m/>
    <m/>
    <m/>
    <m/>
    <m/>
    <m/>
    <x v="1"/>
    <x v="2"/>
    <x v="1"/>
  </r>
  <r>
    <s v="key"/>
    <x v="3"/>
    <m/>
    <m/>
    <x v="10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3"/>
    <x v="1"/>
    <x v="2"/>
    <x v="1"/>
    <m/>
    <x v="2"/>
    <m/>
    <m/>
    <m/>
    <m/>
    <m/>
    <m/>
    <x v="1"/>
    <x v="2"/>
    <x v="1"/>
  </r>
  <r>
    <s v="key"/>
    <x v="3"/>
    <m/>
    <m/>
    <x v="12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3"/>
    <x v="1"/>
    <x v="3"/>
    <x v="1"/>
    <m/>
    <x v="2"/>
    <m/>
    <m/>
    <m/>
    <m/>
    <m/>
    <m/>
    <x v="1"/>
    <x v="2"/>
    <x v="1"/>
  </r>
  <r>
    <s v="key"/>
    <x v="3"/>
    <m/>
    <m/>
    <x v="13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3"/>
    <x v="1"/>
    <x v="4"/>
    <x v="1"/>
    <m/>
    <x v="2"/>
    <m/>
    <m/>
    <m/>
    <m/>
    <m/>
    <m/>
    <x v="1"/>
    <x v="2"/>
    <x v="1"/>
  </r>
  <r>
    <s v="key"/>
    <x v="3"/>
    <m/>
    <m/>
    <x v="14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3"/>
    <x v="1"/>
    <x v="5"/>
    <x v="1"/>
    <m/>
    <x v="2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3"/>
    <x v="1"/>
    <x v="6"/>
    <x v="1"/>
    <m/>
    <x v="2"/>
    <m/>
    <m/>
    <m/>
    <m/>
    <m/>
    <m/>
    <x v="1"/>
    <x v="2"/>
    <x v="1"/>
  </r>
  <r>
    <s v="key"/>
    <x v="3"/>
    <m/>
    <m/>
    <x v="10"/>
    <m/>
    <m/>
    <m/>
    <m/>
    <m/>
    <x v="1"/>
    <m/>
    <m/>
    <n v="40"/>
    <m/>
    <m/>
    <m/>
    <m/>
    <m/>
    <m/>
    <m/>
    <m/>
    <m/>
    <m/>
    <m/>
    <m/>
    <m/>
    <m/>
    <m/>
    <m/>
    <x v="1"/>
    <x v="1"/>
    <x v="3"/>
    <x v="1"/>
    <x v="2"/>
    <x v="1"/>
    <m/>
    <x v="2"/>
    <m/>
    <m/>
    <m/>
    <m/>
    <m/>
    <m/>
    <x v="1"/>
    <x v="2"/>
    <x v="1"/>
  </r>
  <r>
    <s v="key"/>
    <x v="3"/>
    <m/>
    <m/>
    <x v="12"/>
    <m/>
    <m/>
    <m/>
    <m/>
    <m/>
    <x v="1"/>
    <m/>
    <m/>
    <n v="40"/>
    <m/>
    <m/>
    <m/>
    <m/>
    <m/>
    <m/>
    <m/>
    <m/>
    <m/>
    <m/>
    <m/>
    <m/>
    <m/>
    <m/>
    <m/>
    <m/>
    <x v="1"/>
    <x v="1"/>
    <x v="3"/>
    <x v="1"/>
    <x v="3"/>
    <x v="1"/>
    <m/>
    <x v="2"/>
    <m/>
    <m/>
    <m/>
    <m/>
    <m/>
    <m/>
    <x v="1"/>
    <x v="2"/>
    <x v="1"/>
  </r>
  <r>
    <s v="key"/>
    <x v="3"/>
    <m/>
    <m/>
    <x v="13"/>
    <m/>
    <m/>
    <m/>
    <m/>
    <m/>
    <x v="1"/>
    <m/>
    <m/>
    <n v="40"/>
    <m/>
    <m/>
    <m/>
    <m/>
    <m/>
    <m/>
    <m/>
    <m/>
    <m/>
    <m/>
    <m/>
    <m/>
    <m/>
    <m/>
    <m/>
    <m/>
    <x v="1"/>
    <x v="1"/>
    <x v="3"/>
    <x v="1"/>
    <x v="4"/>
    <x v="1"/>
    <m/>
    <x v="2"/>
    <m/>
    <m/>
    <m/>
    <m/>
    <m/>
    <m/>
    <x v="1"/>
    <x v="2"/>
    <x v="1"/>
  </r>
  <r>
    <s v="key"/>
    <x v="3"/>
    <m/>
    <m/>
    <x v="14"/>
    <m/>
    <m/>
    <m/>
    <m/>
    <m/>
    <x v="1"/>
    <m/>
    <m/>
    <n v="40"/>
    <m/>
    <m/>
    <m/>
    <m/>
    <m/>
    <m/>
    <m/>
    <m/>
    <m/>
    <m/>
    <m/>
    <m/>
    <m/>
    <m/>
    <m/>
    <m/>
    <x v="1"/>
    <x v="1"/>
    <x v="3"/>
    <x v="1"/>
    <x v="5"/>
    <x v="1"/>
    <m/>
    <x v="2"/>
    <m/>
    <m/>
    <m/>
    <m/>
    <m/>
    <m/>
    <x v="1"/>
    <x v="2"/>
    <x v="1"/>
  </r>
  <r>
    <s v="key"/>
    <x v="3"/>
    <m/>
    <m/>
    <x v="16"/>
    <m/>
    <m/>
    <m/>
    <m/>
    <m/>
    <x v="1"/>
    <m/>
    <m/>
    <n v="40"/>
    <m/>
    <m/>
    <m/>
    <m/>
    <m/>
    <m/>
    <m/>
    <m/>
    <m/>
    <m/>
    <m/>
    <m/>
    <m/>
    <m/>
    <m/>
    <m/>
    <x v="1"/>
    <x v="1"/>
    <x v="3"/>
    <x v="1"/>
    <x v="6"/>
    <x v="1"/>
    <m/>
    <x v="2"/>
    <m/>
    <m/>
    <m/>
    <m/>
    <m/>
    <m/>
    <x v="1"/>
    <x v="2"/>
    <x v="1"/>
  </r>
  <r>
    <s v="key"/>
    <x v="1"/>
    <m/>
    <m/>
    <x v="1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2"/>
    <m/>
    <m/>
    <x v="1"/>
    <m/>
    <m/>
    <m/>
    <m/>
    <m/>
    <x v="1"/>
    <m/>
    <m/>
    <m/>
    <m/>
    <n v="100"/>
    <m/>
    <m/>
    <m/>
    <m/>
    <m/>
    <m/>
    <m/>
    <m/>
    <m/>
    <m/>
    <m/>
    <m/>
    <m/>
    <m/>
    <x v="1"/>
    <x v="1"/>
    <x v="3"/>
    <x v="1"/>
    <x v="1"/>
    <x v="4"/>
    <m/>
    <x v="1"/>
    <m/>
    <m/>
    <m/>
    <m/>
    <m/>
    <m/>
    <x v="1"/>
    <x v="2"/>
    <x v="1"/>
  </r>
  <r>
    <s v="key"/>
    <x v="2"/>
    <m/>
    <m/>
    <x v="1"/>
    <m/>
    <m/>
    <m/>
    <m/>
    <m/>
    <x v="1"/>
    <m/>
    <m/>
    <m/>
    <m/>
    <n v="50"/>
    <m/>
    <m/>
    <m/>
    <m/>
    <m/>
    <m/>
    <m/>
    <m/>
    <m/>
    <m/>
    <m/>
    <m/>
    <m/>
    <m/>
    <x v="1"/>
    <x v="1"/>
    <x v="3"/>
    <x v="1"/>
    <x v="1"/>
    <x v="3"/>
    <m/>
    <x v="1"/>
    <m/>
    <m/>
    <m/>
    <m/>
    <m/>
    <m/>
    <x v="1"/>
    <x v="2"/>
    <x v="1"/>
  </r>
  <r>
    <s v="key"/>
    <x v="2"/>
    <m/>
    <m/>
    <x v="1"/>
    <m/>
    <m/>
    <m/>
    <m/>
    <m/>
    <x v="1"/>
    <m/>
    <m/>
    <m/>
    <m/>
    <n v="50"/>
    <m/>
    <m/>
    <m/>
    <m/>
    <m/>
    <m/>
    <m/>
    <m/>
    <m/>
    <m/>
    <m/>
    <m/>
    <m/>
    <m/>
    <x v="1"/>
    <x v="1"/>
    <x v="3"/>
    <x v="1"/>
    <x v="1"/>
    <x v="6"/>
    <m/>
    <x v="1"/>
    <m/>
    <m/>
    <m/>
    <m/>
    <m/>
    <m/>
    <x v="1"/>
    <x v="2"/>
    <x v="1"/>
  </r>
  <r>
    <s v="key"/>
    <x v="2"/>
    <m/>
    <m/>
    <x v="1"/>
    <m/>
    <m/>
    <m/>
    <m/>
    <m/>
    <x v="1"/>
    <m/>
    <m/>
    <m/>
    <m/>
    <n v="50"/>
    <m/>
    <m/>
    <m/>
    <m/>
    <m/>
    <m/>
    <m/>
    <m/>
    <m/>
    <m/>
    <m/>
    <m/>
    <m/>
    <m/>
    <x v="1"/>
    <x v="1"/>
    <x v="3"/>
    <x v="1"/>
    <x v="1"/>
    <x v="7"/>
    <m/>
    <x v="1"/>
    <m/>
    <m/>
    <m/>
    <m/>
    <m/>
    <m/>
    <x v="1"/>
    <x v="2"/>
    <x v="1"/>
  </r>
  <r>
    <s v="key"/>
    <x v="2"/>
    <m/>
    <m/>
    <x v="1"/>
    <m/>
    <m/>
    <m/>
    <m/>
    <m/>
    <x v="1"/>
    <m/>
    <m/>
    <m/>
    <m/>
    <n v="50"/>
    <m/>
    <m/>
    <m/>
    <m/>
    <m/>
    <m/>
    <m/>
    <m/>
    <m/>
    <m/>
    <m/>
    <m/>
    <m/>
    <m/>
    <x v="1"/>
    <x v="1"/>
    <x v="3"/>
    <x v="1"/>
    <x v="1"/>
    <x v="2"/>
    <m/>
    <x v="1"/>
    <m/>
    <m/>
    <m/>
    <m/>
    <m/>
    <m/>
    <x v="1"/>
    <x v="2"/>
    <x v="1"/>
  </r>
  <r>
    <s v="key"/>
    <x v="2"/>
    <m/>
    <m/>
    <x v="16"/>
    <m/>
    <m/>
    <m/>
    <m/>
    <m/>
    <x v="1"/>
    <m/>
    <m/>
    <n v="30"/>
    <m/>
    <n v="50"/>
    <m/>
    <m/>
    <m/>
    <m/>
    <m/>
    <m/>
    <m/>
    <m/>
    <m/>
    <m/>
    <m/>
    <m/>
    <m/>
    <m/>
    <x v="1"/>
    <x v="2"/>
    <x v="3"/>
    <x v="1"/>
    <x v="1"/>
    <x v="3"/>
    <m/>
    <x v="5"/>
    <m/>
    <m/>
    <m/>
    <m/>
    <m/>
    <m/>
    <x v="1"/>
    <x v="1"/>
    <x v="1"/>
  </r>
  <r>
    <s v="key"/>
    <x v="2"/>
    <m/>
    <m/>
    <x v="16"/>
    <m/>
    <m/>
    <m/>
    <m/>
    <m/>
    <x v="1"/>
    <m/>
    <m/>
    <n v="30"/>
    <m/>
    <n v="50"/>
    <m/>
    <m/>
    <m/>
    <m/>
    <m/>
    <m/>
    <m/>
    <m/>
    <m/>
    <m/>
    <m/>
    <m/>
    <m/>
    <m/>
    <x v="1"/>
    <x v="3"/>
    <x v="3"/>
    <x v="1"/>
    <x v="1"/>
    <x v="2"/>
    <m/>
    <x v="6"/>
    <m/>
    <m/>
    <m/>
    <m/>
    <m/>
    <m/>
    <x v="1"/>
    <x v="2"/>
    <x v="1"/>
  </r>
  <r>
    <s v="key"/>
    <x v="2"/>
    <m/>
    <m/>
    <x v="16"/>
    <m/>
    <m/>
    <m/>
    <m/>
    <m/>
    <x v="1"/>
    <m/>
    <m/>
    <n v="30"/>
    <m/>
    <n v="50"/>
    <m/>
    <m/>
    <m/>
    <m/>
    <m/>
    <m/>
    <m/>
    <m/>
    <m/>
    <m/>
    <m/>
    <m/>
    <m/>
    <m/>
    <x v="1"/>
    <x v="4"/>
    <x v="3"/>
    <x v="1"/>
    <x v="1"/>
    <x v="3"/>
    <m/>
    <x v="7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5"/>
    <x v="1"/>
    <x v="1"/>
    <x v="1"/>
    <x v="1"/>
    <m/>
    <x v="8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6"/>
    <x v="1"/>
    <x v="1"/>
    <x v="1"/>
    <x v="1"/>
    <m/>
    <x v="2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7"/>
    <x v="1"/>
    <x v="1"/>
    <x v="1"/>
    <x v="1"/>
    <m/>
    <x v="5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2"/>
    <x v="1"/>
    <x v="1"/>
    <x v="1"/>
    <x v="1"/>
    <m/>
    <x v="6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3"/>
    <x v="1"/>
    <x v="1"/>
    <x v="1"/>
    <x v="1"/>
    <m/>
    <x v="7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4"/>
    <x v="1"/>
    <x v="1"/>
    <x v="1"/>
    <x v="1"/>
    <m/>
    <x v="8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5"/>
    <x v="1"/>
    <x v="1"/>
    <x v="1"/>
    <x v="1"/>
    <m/>
    <x v="2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6"/>
    <x v="1"/>
    <x v="1"/>
    <x v="1"/>
    <x v="1"/>
    <m/>
    <x v="5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7"/>
    <x v="1"/>
    <x v="1"/>
    <x v="1"/>
    <x v="1"/>
    <m/>
    <x v="6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2"/>
    <x v="1"/>
    <x v="1"/>
    <x v="1"/>
    <x v="1"/>
    <m/>
    <x v="7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3"/>
    <x v="1"/>
    <x v="1"/>
    <x v="1"/>
    <x v="1"/>
    <m/>
    <x v="8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2"/>
    <x v="1"/>
    <x v="1"/>
    <x v="1"/>
    <x v="1"/>
    <m/>
    <x v="1"/>
    <m/>
    <m/>
    <m/>
    <m/>
    <m/>
    <m/>
    <x v="1"/>
    <x v="2"/>
    <x v="1"/>
  </r>
  <r>
    <s v="key"/>
    <x v="7"/>
    <m/>
    <m/>
    <x v="46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47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48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49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50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51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52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53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54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55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56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57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58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3000000}" name="PivotTable3" cacheId="617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0:A41" firstHeaderRow="1" firstDataRow="1" firstDataCol="0" rowPageCount="3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1">
        <item x="0"/>
        <item m="1" x="8"/>
        <item m="1" x="9"/>
        <item x="1"/>
        <item m="1" x="6"/>
        <item m="1" x="7"/>
        <item m="1" x="4"/>
        <item m="1" x="5"/>
        <item x="2"/>
        <item x="3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dragToRow="0" dragToCol="0" dragToPage="0" showAll="0" defaultSubtotal="0"/>
    <pivotField dragToRow="0" dragToCol="0" dragToPage="0" showAll="0" defaultSubtotal="0"/>
  </pivotFields>
  <rowItems count="1">
    <i/>
  </rowItems>
  <colItems count="1">
    <i/>
  </colItems>
  <pageFields count="3">
    <pageField fld="32" item="9" hier="-1"/>
    <pageField fld="1" hier="-1"/>
    <pageField fld="45" item="2" hier="-1"/>
  </pageFields>
  <dataFields count="1">
    <dataField name="Sum of Epic Total Estimate" fld="15" baseField="0" baseItem="51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1000000}" name="PivotTable10" cacheId="61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54:B60" firstHeaderRow="1" firstDataRow="1" firstDataCol="1" rowPageCount="3" colPageCount="1"/>
  <pivotFields count="49">
    <pivotField subtotalTop="0" showAll="0"/>
    <pivotField axis="axisPage" subtotalTop="0" showAll="0">
      <items count="9">
        <item x="0"/>
        <item x="6"/>
        <item x="2"/>
        <item x="4"/>
        <item x="3"/>
        <item x="5"/>
        <item x="1"/>
        <item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1">
        <item x="0"/>
        <item m="1" x="8"/>
        <item m="1" x="9"/>
        <item x="1"/>
        <item m="1" x="6"/>
        <item m="1" x="7"/>
        <item m="1" x="4"/>
        <item m="1" x="5"/>
        <item x="2"/>
        <item x="3"/>
        <item t="default"/>
      </items>
    </pivotField>
    <pivotField subtotalTop="0" showAll="0"/>
    <pivotField subtotalTop="0" showAll="0"/>
    <pivotField axis="axisRow" showAll="0">
      <items count="9">
        <item x="0"/>
        <item x="3"/>
        <item x="2"/>
        <item x="4"/>
        <item x="5"/>
        <item x="6"/>
        <item x="7"/>
        <item x="1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subtotalTop="0" dragToRow="0" dragToCol="0" dragToPage="0" showAll="0" defaultSubtotal="0"/>
    <pivotField subtotalTop="0" dragToRow="0" dragToCol="0" dragToPage="0" showAll="0" defaultSubtotal="0"/>
  </pivotFields>
  <rowFields count="1">
    <field x="35"/>
  </rowFields>
  <rowItems count="6">
    <i>
      <x v="1"/>
    </i>
    <i>
      <x v="2"/>
    </i>
    <i>
      <x v="3"/>
    </i>
    <i>
      <x v="5"/>
    </i>
    <i>
      <x v="6"/>
    </i>
    <i t="grand">
      <x/>
    </i>
  </rowItems>
  <colItems count="1">
    <i/>
  </colItems>
  <pageFields count="3">
    <pageField fld="1" item="2" hier="-1"/>
    <pageField fld="32" item="9" hier="-1"/>
    <pageField fld="45" item="2" hier="-1"/>
  </pageFields>
  <dataFields count="1">
    <dataField name="Sum of Epic Total Estimate" fld="15" baseField="35" baseItem="0"/>
  </dataFields>
  <chartFormats count="2">
    <chartFormat chart="2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6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7000000}" name="PivotTable9" cacheId="617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7">
  <location ref="G29:H34" firstHeaderRow="1" firstDataRow="1" firstDataCol="1" rowPageCount="4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20">
        <item x="0"/>
        <item m="1" x="11"/>
        <item m="1" x="7"/>
        <item x="1"/>
        <item m="1" x="13"/>
        <item m="1" x="15"/>
        <item m="1" x="10"/>
        <item m="1" x="6"/>
        <item m="1" x="14"/>
        <item m="1" x="12"/>
        <item m="1" x="5"/>
        <item m="1" x="16"/>
        <item m="1" x="8"/>
        <item m="1" x="18"/>
        <item x="2"/>
        <item m="1" x="17"/>
        <item m="1" x="9"/>
        <item x="3"/>
        <item x="4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1">
        <item x="0"/>
        <item m="1" x="8"/>
        <item m="1" x="9"/>
        <item x="1"/>
        <item m="1" x="6"/>
        <item m="1" x="7"/>
        <item m="1" x="4"/>
        <item m="1" x="5"/>
        <item x="2"/>
        <item x="3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dataField="1" showAll="0"/>
    <pivotField dataField="1" showAll="0"/>
    <pivotField dataField="1" showAll="0"/>
    <pivotField subtotalTop="0" showAll="0"/>
    <pivotField subtotalTop="0" showAll="0"/>
    <pivotField showAll="0"/>
    <pivotField axis="axisPage" showAll="0">
      <items count="5">
        <item m="1" x="3"/>
        <item x="2"/>
        <item x="1"/>
        <item x="0"/>
        <item t="default"/>
      </items>
    </pivotField>
    <pivotField showAll="0"/>
    <pivotField dataField="1" dragToRow="0" dragToCol="0" dragToPage="0" showAll="0" defaultSubtotal="0"/>
    <pivotField dataField="1" dragToRow="0" dragToCol="0" dragToPage="0" showAll="0" defaultSubtotal="0"/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Items count="1">
    <i/>
  </colItems>
  <pageFields count="4">
    <pageField fld="32" item="9" hier="-1"/>
    <pageField fld="1" hier="-1"/>
    <pageField fld="10" item="17" hier="-1"/>
    <pageField fld="45" item="1" hier="-1"/>
  </pageFields>
  <dataFields count="5">
    <dataField name="Done" fld="47" baseField="0" baseItem="32"/>
    <dataField name="In Validation" fld="41" baseField="0" baseItem="32"/>
    <dataField name="In Dev" fld="40" baseField="0" baseItem="32"/>
    <dataField name="Ready" fld="39" baseField="0" baseItem="32"/>
    <dataField name="Not Decomposed" fld="48" baseField="0" baseItem="32"/>
  </dataFields>
  <chartFormats count="27"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2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3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5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3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4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5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26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7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7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8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9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10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" format="1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7" format="12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4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0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4" format="22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4" format="23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4" format="24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1" cacheId="617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outline="1" outlineData="1" multipleFieldFilters="0">
  <location ref="AL10:AP17" firstHeaderRow="1" firstDataRow="3" firstDataCol="1" rowPageCount="2" colPageCount="1"/>
  <pivotFields count="49">
    <pivotField subtotalTop="0" showAll="0"/>
    <pivotField axis="axisCol" subtotalTop="0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Row" subtotalTop="0" showAll="0">
      <items count="20">
        <item x="0"/>
        <item m="1" x="11"/>
        <item m="1" x="7"/>
        <item x="1"/>
        <item m="1" x="13"/>
        <item m="1" x="15"/>
        <item m="1" x="10"/>
        <item m="1" x="6"/>
        <item m="1" x="14"/>
        <item m="1" x="12"/>
        <item m="1" x="5"/>
        <item m="1" x="16"/>
        <item m="1" x="8"/>
        <item m="1" x="18"/>
        <item x="2"/>
        <item m="1" x="17"/>
        <item m="1" x="9"/>
        <item x="3"/>
        <item x="4"/>
        <item t="default"/>
      </items>
    </pivotField>
    <pivotField subtotalTop="0" showAll="0"/>
    <pivotField subtotalTop="0" showAll="0"/>
    <pivotField subtotalTop="0" showAll="0"/>
    <pivotField dataField="1" subtotalTop="0" showAll="0"/>
    <pivotField dataField="1"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1">
        <item x="0"/>
        <item m="1" x="8"/>
        <item m="1" x="9"/>
        <item x="1"/>
        <item m="1" x="6"/>
        <item m="1" x="7"/>
        <item m="1" x="4"/>
        <item m="1" x="5"/>
        <item x="2"/>
        <item x="3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howAll="0">
      <items count="5">
        <item m="1" x="3"/>
        <item x="2"/>
        <item x="1"/>
        <item x="0"/>
        <item t="default"/>
      </items>
    </pivotField>
    <pivotField showAll="0"/>
    <pivotField subtotalTop="0" dragToRow="0" dragToCol="0" dragToPage="0" showAll="0" defaultSubtotal="0"/>
    <pivotField subtotalTop="0" dragToRow="0" dragToCol="0" dragToPage="0" showAll="0" defaultSubtotal="0"/>
  </pivotFields>
  <rowFields count="1">
    <field x="10"/>
  </rowFields>
  <rowItems count="5">
    <i>
      <x v="3"/>
    </i>
    <i>
      <x v="14"/>
    </i>
    <i>
      <x v="17"/>
    </i>
    <i>
      <x v="18"/>
    </i>
    <i t="grand">
      <x/>
    </i>
  </rowItems>
  <colFields count="2">
    <field x="1"/>
    <field x="-2"/>
  </colFields>
  <colItems count="4">
    <i>
      <x v="2"/>
      <x/>
    </i>
    <i r="1" i="1">
      <x v="1"/>
    </i>
    <i r="1" i="2">
      <x v="2"/>
    </i>
    <i r="1" i="3">
      <x v="3"/>
    </i>
  </colItems>
  <pageFields count="2">
    <pageField fld="32" item="9" hier="-1"/>
    <pageField fld="45" item="1" hier="-1"/>
  </pageFields>
  <dataFields count="4">
    <dataField name="Sum of Epic Total Estimate" fld="15" baseField="10" baseItem="2"/>
    <dataField name="Sum of Stories Estimate" fld="14" baseField="10" baseItem="2"/>
    <dataField name="Sum of Epic Decomposed" fld="22" baseField="10" baseItem="2"/>
    <dataField name="Sum of Epic Remaining Estimate" fld="16" baseField="10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8B9FB5-5471-4500-848C-1623DA7CC3A0}" name="PivotTable4" cacheId="61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G5:H8" firstHeaderRow="1" firstDataRow="1" firstDataCol="1" rowPageCount="2" colPageCount="1"/>
  <pivotFields count="49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multipleItemSelectionAllowed="1" showAll="0"/>
    <pivotField showAll="0"/>
    <pivotField showAll="0"/>
    <pivotField showAll="0"/>
    <pivotField showAll="0"/>
    <pivotField axis="axisRow" showAll="0">
      <items count="13">
        <item x="0"/>
        <item x="7"/>
        <item x="4"/>
        <item x="6"/>
        <item x="5"/>
        <item m="1" x="10"/>
        <item m="1" x="9"/>
        <item m="1" x="11"/>
        <item x="8"/>
        <item x="3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axis="axisPage" showAll="0">
      <items count="7">
        <item m="1" x="5"/>
        <item x="3"/>
        <item x="2"/>
        <item x="1"/>
        <item x="4"/>
        <item x="0"/>
        <item t="default"/>
      </items>
    </pivotField>
    <pivotField dragToRow="0" dragToCol="0" dragToPage="0" showAll="0" defaultSubtotal="0"/>
    <pivotField dragToRow="0" dragToCol="0" dragToPage="0" showAll="0" defaultSubtotal="0"/>
  </pivotFields>
  <rowFields count="1">
    <field x="37"/>
  </rowFields>
  <rowItems count="3">
    <i>
      <x v="10"/>
    </i>
    <i>
      <x v="11"/>
    </i>
    <i t="grand">
      <x/>
    </i>
  </rowItems>
  <colItems count="1">
    <i/>
  </colItems>
  <pageFields count="2">
    <pageField fld="46" item="2" hier="-1"/>
    <pageField fld="45" item="2" hier="-1"/>
  </pageFields>
  <dataFields count="1">
    <dataField name="Sum of Story Points" fld="13" baseField="1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0000000}" name="PivotTable5" cacheId="61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3:C5" firstHeaderRow="1" firstDataRow="1" firstDataCol="1" rowPageCount="1" colPageCount="1"/>
  <pivotFields count="49">
    <pivotField subtotalTop="0" showAll="0"/>
    <pivotField axis="axisRow" subtotalTop="0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subtotalTop="0" dragToRow="0" dragToCol="0" dragToPage="0" showAll="0" defaultSubtotal="0"/>
    <pivotField dataField="1" subtotalTop="0" dragToRow="0" dragToCol="0" dragToPage="0" showAll="0" defaultSubtotal="0"/>
  </pivotFields>
  <rowFields count="1">
    <field x="1"/>
  </rowFields>
  <rowItems count="2">
    <i>
      <x v="2"/>
    </i>
    <i t="grand">
      <x/>
    </i>
  </rowItems>
  <colItems count="1">
    <i/>
  </colItems>
  <pageFields count="1">
    <pageField fld="45" item="2" hier="-1"/>
  </pageFields>
  <dataFields count="1">
    <dataField name="Sum of Epic Not Decomposed Estimate" fld="48" baseField="1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800-000000000000}" name="PivotTable1" cacheId="61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1">
  <location ref="A6:B12" firstHeaderRow="1" firstDataRow="1" firstDataCol="1" rowPageCount="4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h="1" x="2"/>
        <item x="4"/>
        <item x="3"/>
        <item x="5"/>
        <item h="1" x="1"/>
        <item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1">
        <item x="0"/>
        <item m="1" x="8"/>
        <item m="1" x="9"/>
        <item x="1"/>
        <item m="1" x="6"/>
        <item m="1" x="7"/>
        <item m="1" x="4"/>
        <item m="1" x="5"/>
        <item x="2"/>
        <item x="3"/>
        <item t="default"/>
      </items>
    </pivotField>
    <pivotField subtotalTop="0" showAll="0"/>
    <pivotField axis="axisRow" subtotalTop="0" showAll="0">
      <items count="10">
        <item h="1" x="0"/>
        <item h="1" x="7"/>
        <item x="6"/>
        <item x="5"/>
        <item x="4"/>
        <item x="3"/>
        <item x="2"/>
        <item h="1" x="8"/>
        <item h="1" x="1"/>
        <item t="default"/>
      </items>
    </pivotField>
    <pivotField showAll="0"/>
    <pivotField subtotalTop="0" showAll="0"/>
    <pivotField axis="axisPage" subtotalTop="0" showAll="0">
      <items count="13">
        <item x="0"/>
        <item x="7"/>
        <item x="4"/>
        <item x="6"/>
        <item x="5"/>
        <item m="1" x="10"/>
        <item m="1" x="9"/>
        <item m="1" x="11"/>
        <item x="8"/>
        <item x="3"/>
        <item x="1"/>
        <item x="2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subtotalTop="0" dragToRow="0" dragToCol="0" dragToPage="0" showAll="0" defaultSubtotal="0"/>
    <pivotField subtotalTop="0" dragToRow="0" dragToCol="0" dragToPage="0" showAll="0" defaultSubtotal="0"/>
  </pivotFields>
  <rowFields count="1">
    <field x="34"/>
  </rowFields>
  <rowItems count="6">
    <i>
      <x v="2"/>
    </i>
    <i>
      <x v="3"/>
    </i>
    <i>
      <x v="4"/>
    </i>
    <i>
      <x v="5"/>
    </i>
    <i>
      <x v="6"/>
    </i>
    <i t="grand">
      <x/>
    </i>
  </rowItems>
  <colItems count="1">
    <i/>
  </colItems>
  <pageFields count="4">
    <pageField fld="32" item="9" hier="-1"/>
    <pageField fld="1" hier="-1"/>
    <pageField fld="37" hier="-1"/>
    <pageField fld="45" item="2" hier="-1"/>
  </pageFields>
  <dataFields count="1">
    <dataField name="Sum of Story Points" fld="13" baseField="34" baseItem="0"/>
  </dataFields>
  <chartFormats count="7">
    <chartFormat chart="10" format="4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50">
      <pivotArea type="data" outline="0" fieldPosition="0">
        <references count="2">
          <reference field="4294967294" count="1" selected="0">
            <x v="0"/>
          </reference>
          <reference field="34" count="1" selected="0">
            <x v="6"/>
          </reference>
        </references>
      </pivotArea>
    </chartFormat>
    <chartFormat chart="10" format="51">
      <pivotArea type="data" outline="0" fieldPosition="0">
        <references count="2">
          <reference field="4294967294" count="1" selected="0">
            <x v="0"/>
          </reference>
          <reference field="34" count="1" selected="0">
            <x v="4"/>
          </reference>
        </references>
      </pivotArea>
    </chartFormat>
    <chartFormat chart="10" format="52">
      <pivotArea type="data" outline="0" fieldPosition="0">
        <references count="2">
          <reference field="4294967294" count="1" selected="0">
            <x v="0"/>
          </reference>
          <reference field="34" count="1" selected="0">
            <x v="3"/>
          </reference>
        </references>
      </pivotArea>
    </chartFormat>
    <chartFormat chart="10" format="53">
      <pivotArea type="data" outline="0" fieldPosition="0">
        <references count="2">
          <reference field="4294967294" count="1" selected="0">
            <x v="0"/>
          </reference>
          <reference field="34" count="1" selected="0">
            <x v="2"/>
          </reference>
        </references>
      </pivotArea>
    </chartFormat>
    <chartFormat chart="10" format="54">
      <pivotArea type="data" outline="0" fieldPosition="0">
        <references count="2">
          <reference field="4294967294" count="1" selected="0">
            <x v="0"/>
          </reference>
          <reference field="34" count="1" selected="0">
            <x v="5"/>
          </reference>
        </references>
      </pivotArea>
    </chartFormat>
    <chartFormat chart="10" format="55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A00-000000000000}" name="PivotTable1" cacheId="61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B5:C13" firstHeaderRow="1" firstDataRow="1" firstDataCol="1" rowPageCount="3" colPageCount="1"/>
  <pivotFields count="49">
    <pivotField subtotalTop="0" showAll="0"/>
    <pivotField axis="axisPage" subtotalTop="0" multipleItemSelectionAllowed="1" showAll="0">
      <items count="9">
        <item h="1" x="0"/>
        <item x="6"/>
        <item h="1" x="2"/>
        <item x="4"/>
        <item x="3"/>
        <item x="5"/>
        <item h="1" x="1"/>
        <item x="7"/>
        <item t="default"/>
      </items>
    </pivotField>
    <pivotField subtotalTop="0" showAll="0"/>
    <pivotField subtotalTop="0" showAll="0"/>
    <pivotField axis="axisPage" subtotalTop="0" multipleItemSelectionAllowed="1" showAll="0">
      <items count="60">
        <item h="1" x="0"/>
        <item x="41"/>
        <item h="1" x="39"/>
        <item h="1" x="43"/>
        <item h="1" x="45"/>
        <item h="1" x="36"/>
        <item h="1" x="42"/>
        <item h="1" x="38"/>
        <item h="1" x="37"/>
        <item h="1" x="40"/>
        <item h="1" x="44"/>
        <item h="1" x="8"/>
        <item h="1" x="3"/>
        <item h="1" x="9"/>
        <item h="1" x="7"/>
        <item h="1" x="6"/>
        <item h="1" x="2"/>
        <item h="1" x="5"/>
        <item h="1" x="4"/>
        <item h="1" x="22"/>
        <item h="1" x="15"/>
        <item h="1" x="18"/>
        <item x="16"/>
        <item h="1" x="13"/>
        <item h="1" x="17"/>
        <item h="1" x="10"/>
        <item h="1" x="19"/>
        <item h="1" x="12"/>
        <item h="1" x="20"/>
        <item h="1" x="11"/>
        <item h="1" x="14"/>
        <item h="1" x="21"/>
        <item h="1" x="35"/>
        <item h="1" x="28"/>
        <item h="1" x="31"/>
        <item x="29"/>
        <item h="1" x="26"/>
        <item h="1" x="30"/>
        <item h="1" x="23"/>
        <item h="1" x="32"/>
        <item h="1" x="25"/>
        <item h="1" x="33"/>
        <item h="1" x="24"/>
        <item h="1" x="27"/>
        <item h="1" x="34"/>
        <item h="1" x="1"/>
        <item h="1" x="46"/>
        <item h="1" x="47"/>
        <item h="1" x="48"/>
        <item h="1" x="49"/>
        <item h="1" x="50"/>
        <item h="1" x="51"/>
        <item x="52"/>
        <item h="1" x="53"/>
        <item h="1" x="54"/>
        <item h="1" x="55"/>
        <item h="1" x="56"/>
        <item h="1" x="57"/>
        <item h="1" x="58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Row" subtotalTop="0">
      <items count="74">
        <item h="1" m="1" x="52"/>
        <item h="1" m="1" x="46"/>
        <item h="1" m="1" x="11"/>
        <item h="1" m="1" x="66"/>
        <item h="1" m="1" x="56"/>
        <item h="1" m="1" x="47"/>
        <item h="1" m="1" x="39"/>
        <item h="1" m="1" x="24"/>
        <item h="1" m="1" x="15"/>
        <item h="1" m="1" x="70"/>
        <item h="1" m="1" x="61"/>
        <item h="1" x="1"/>
        <item h="1" m="1" x="26"/>
        <item h="1" m="1" x="27"/>
        <item h="1" m="1" x="28"/>
        <item h="1" m="1" x="30"/>
        <item h="1" m="1" x="31"/>
        <item h="1" m="1" x="38"/>
        <item h="1" m="1" x="36"/>
        <item h="1" m="1" x="35"/>
        <item h="1" m="1" x="25"/>
        <item h="1" m="1" x="16"/>
        <item h="1" m="1" x="71"/>
        <item h="1" m="1" x="62"/>
        <item h="1" m="1" x="54"/>
        <item h="1" m="1" x="44"/>
        <item h="1" m="1" x="59"/>
        <item h="1" m="1" x="51"/>
        <item h="1" m="1" x="41"/>
        <item h="1" m="1" x="32"/>
        <item h="1" m="1" x="18"/>
        <item h="1" m="1" x="10"/>
        <item h="1" m="1" x="65"/>
        <item h="1" m="1" x="43"/>
        <item h="1" m="1" x="34"/>
        <item h="1" m="1" x="19"/>
        <item h="1" m="1" x="12"/>
        <item h="1" m="1" x="67"/>
        <item h="1" m="1" x="58"/>
        <item h="1" m="1" x="49"/>
        <item h="1" m="1" x="23"/>
        <item h="1" m="1" x="50"/>
        <item h="1" m="1" x="22"/>
        <item h="1" m="1" x="14"/>
        <item h="1" m="1" x="68"/>
        <item h="1" m="1" x="60"/>
        <item h="1" m="1" x="53"/>
        <item h="1" m="1" x="42"/>
        <item h="1" m="1" x="33"/>
        <item h="1" m="1" x="9"/>
        <item h="1" m="1" x="64"/>
        <item h="1" m="1" x="55"/>
        <item h="1" m="1" x="45"/>
        <item h="1" m="1" x="37"/>
        <item h="1" m="1" x="21"/>
        <item h="1" m="1" x="13"/>
        <item h="1" m="1" x="20"/>
        <item h="1" m="1" x="69"/>
        <item h="1" m="1" x="57"/>
        <item h="1" m="1" x="48"/>
        <item h="1" m="1" x="40"/>
        <item h="1" m="1" x="29"/>
        <item h="1" m="1" x="17"/>
        <item h="1" m="1" x="72"/>
        <item h="1" m="1" x="63"/>
        <item h="1" x="0"/>
        <item x="2"/>
        <item x="3"/>
        <item x="4"/>
        <item x="5"/>
        <item x="6"/>
        <item x="7"/>
        <item x="8"/>
        <item t="default"/>
      </items>
    </pivotField>
    <pivotField subtotalTop="0" showAll="0"/>
    <pivotField subtotalTop="0" showAll="0"/>
    <pivotField subtotalTop="0" showAll="0"/>
    <pivotField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subtotalTop="0" dragToRow="0" dragToCol="0" dragToPage="0" showAll="0" defaultSubtotal="0"/>
    <pivotField subtotalTop="0" dragToRow="0" dragToCol="0" dragToPage="0" showAll="0" defaultSubtotal="0"/>
  </pivotFields>
  <rowFields count="1">
    <field x="31"/>
  </rowFields>
  <rowItems count="8">
    <i>
      <x v="66"/>
    </i>
    <i>
      <x v="67"/>
    </i>
    <i>
      <x v="68"/>
    </i>
    <i>
      <x v="69"/>
    </i>
    <i>
      <x v="70"/>
    </i>
    <i>
      <x v="71"/>
    </i>
    <i>
      <x v="72"/>
    </i>
    <i t="grand">
      <x/>
    </i>
  </rowItems>
  <colItems count="1">
    <i/>
  </colItems>
  <pageFields count="3">
    <pageField fld="1" hier="-1"/>
    <pageField fld="4" hier="-1"/>
    <pageField fld="45" item="2" hier="-1"/>
  </pageFields>
  <dataFields count="1">
    <dataField name="Sum of Story Points" fld="13" baseField="30" baseItem="12"/>
  </dataFields>
  <chartFormats count="1">
    <chartFormat chart="3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C00-000000000000}" name="PivotTable2" cacheId="61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D5:E13" firstHeaderRow="1" firstDataRow="1" firstDataCol="1" rowPageCount="3" colPageCount="1"/>
  <pivotFields count="49">
    <pivotField subtotalTop="0" showAll="0"/>
    <pivotField axis="axisPage" subtotalTop="0" multipleItemSelectionAllowed="1" showAll="0">
      <items count="9">
        <item h="1" x="0"/>
        <item x="6"/>
        <item h="1" x="2"/>
        <item x="4"/>
        <item x="3"/>
        <item x="5"/>
        <item h="1" x="1"/>
        <item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67">
        <item x="0"/>
        <item m="1" x="56"/>
        <item m="1" x="16"/>
        <item m="1" x="30"/>
        <item m="1" x="57"/>
        <item m="1" x="20"/>
        <item m="1" x="31"/>
        <item m="1" x="59"/>
        <item m="1" x="21"/>
        <item m="1" x="9"/>
        <item m="1" x="33"/>
        <item m="1" x="61"/>
        <item m="1" x="25"/>
        <item m="1" x="37"/>
        <item m="1" x="62"/>
        <item m="1" x="11"/>
        <item m="1" x="12"/>
        <item m="1" x="13"/>
        <item m="1" x="14"/>
        <item m="1" x="15"/>
        <item m="1" x="17"/>
        <item m="1" x="18"/>
        <item m="1" x="19"/>
        <item x="1"/>
        <item m="1" x="47"/>
        <item m="1" x="48"/>
        <item m="1" x="50"/>
        <item m="1" x="51"/>
        <item m="1" x="53"/>
        <item m="1" x="54"/>
        <item m="1" x="55"/>
        <item m="1" x="34"/>
        <item m="1" x="35"/>
        <item m="1" x="36"/>
        <item m="1" x="39"/>
        <item m="1" x="40"/>
        <item m="1" x="41"/>
        <item m="1" x="42"/>
        <item m="1" x="60"/>
        <item m="1" x="38"/>
        <item m="1" x="27"/>
        <item m="1" x="64"/>
        <item m="1" x="44"/>
        <item m="1" x="29"/>
        <item m="1" x="10"/>
        <item m="1" x="52"/>
        <item m="1" x="26"/>
        <item m="1" x="49"/>
        <item m="1" x="23"/>
        <item m="1" x="46"/>
        <item m="1" x="22"/>
        <item m="1" x="45"/>
        <item m="1" x="58"/>
        <item m="1" x="32"/>
        <item m="1" x="24"/>
        <item m="1" x="63"/>
        <item m="1" x="43"/>
        <item m="1" x="28"/>
        <item m="1" x="65"/>
        <item x="2"/>
        <item x="3"/>
        <item x="4"/>
        <item x="5"/>
        <item x="6"/>
        <item x="7"/>
        <item x="8"/>
        <item t="default"/>
      </items>
    </pivotField>
    <pivotField showAll="0"/>
    <pivotField subtotalTop="0" showAll="0"/>
    <pivotField subtotalTop="0" showAll="0"/>
    <pivotField axis="axisRow" subtotalTop="0" showAll="0">
      <items count="10">
        <item x="0"/>
        <item x="6"/>
        <item x="5"/>
        <item x="4"/>
        <item x="3"/>
        <item x="2"/>
        <item x="7"/>
        <item x="8"/>
        <item x="1"/>
        <item t="default"/>
      </items>
    </pivotField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dragToRow="0" dragToCol="0" dragToPage="0" showAll="0" defaultSubtotal="0"/>
    <pivotField dragToRow="0" dragToCol="0" dragToPage="0" showAll="0" defaultSubtotal="0"/>
  </pivotFields>
  <rowFields count="1">
    <field x="34"/>
  </rowFields>
  <rowItems count="8">
    <i>
      <x v="1"/>
    </i>
    <i>
      <x v="2"/>
    </i>
    <i>
      <x v="3"/>
    </i>
    <i>
      <x v="4"/>
    </i>
    <i>
      <x v="5"/>
    </i>
    <i>
      <x v="6"/>
    </i>
    <i>
      <x v="8"/>
    </i>
    <i t="grand">
      <x/>
    </i>
  </rowItems>
  <colItems count="1">
    <i/>
  </colItems>
  <pageFields count="3">
    <pageField fld="1" hier="-1"/>
    <pageField fld="30" item="59" hier="-1"/>
    <pageField fld="45" item="2" hier="-1"/>
  </pageFields>
  <dataFields count="1">
    <dataField name="Sum of Story Points" fld="13" baseField="33" baseItem="0"/>
  </dataFields>
  <chartFormats count="10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34" count="1" selected="0">
            <x v="6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34" count="1" selected="0">
            <x v="1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34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34" count="1" selected="0">
            <x v="5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34" count="1" selected="0">
            <x v="7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34" count="1" selected="0">
            <x v="2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34" count="1" selected="0">
            <x v="8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34" count="1" selected="0">
            <x v="4"/>
          </reference>
        </references>
      </pivotArea>
    </chartFormat>
    <chartFormat chart="0" format="10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E00-000002000000}" name="PivotTable3" cacheId="61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B29:C37" firstHeaderRow="1" firstDataRow="1" firstDataCol="1" rowPageCount="4" colPageCount="1"/>
  <pivotFields count="49">
    <pivotField dataField="1" subtotalTop="0" showAll="0"/>
    <pivotField axis="axisPage" subtotalTop="0" showAll="0">
      <items count="9">
        <item x="0"/>
        <item x="6"/>
        <item x="2"/>
        <item x="4"/>
        <item x="3"/>
        <item x="5"/>
        <item x="1"/>
        <item x="7"/>
        <item t="default"/>
      </items>
    </pivotField>
    <pivotField subtotalTop="0" showAll="0"/>
    <pivotField subtotalTop="0" showAll="0"/>
    <pivotField axis="axisPage" subtotalTop="0" showAll="0">
      <items count="60">
        <item x="0"/>
        <item x="41"/>
        <item x="39"/>
        <item x="43"/>
        <item x="45"/>
        <item x="36"/>
        <item x="42"/>
        <item x="38"/>
        <item x="37"/>
        <item x="40"/>
        <item x="44"/>
        <item x="8"/>
        <item x="3"/>
        <item x="9"/>
        <item x="7"/>
        <item x="6"/>
        <item x="2"/>
        <item x="5"/>
        <item x="4"/>
        <item x="22"/>
        <item x="15"/>
        <item x="18"/>
        <item x="16"/>
        <item x="13"/>
        <item x="17"/>
        <item x="10"/>
        <item x="19"/>
        <item x="12"/>
        <item x="20"/>
        <item x="11"/>
        <item x="14"/>
        <item x="21"/>
        <item x="35"/>
        <item x="28"/>
        <item x="31"/>
        <item x="29"/>
        <item x="26"/>
        <item x="30"/>
        <item x="23"/>
        <item x="32"/>
        <item x="25"/>
        <item x="33"/>
        <item x="24"/>
        <item x="27"/>
        <item x="34"/>
        <item x="1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Row">
      <items count="74">
        <item h="1" m="1" x="52"/>
        <item h="1" m="1" x="11"/>
        <item h="1" m="1" x="66"/>
        <item h="1" m="1" x="56"/>
        <item h="1" m="1" x="47"/>
        <item h="1" m="1" x="39"/>
        <item h="1" m="1" x="24"/>
        <item h="1" m="1" x="15"/>
        <item h="1" m="1" x="70"/>
        <item h="1" m="1" x="61"/>
        <item h="1" x="1"/>
        <item h="1" m="1" x="26"/>
        <item h="1" m="1" x="27"/>
        <item h="1" m="1" x="28"/>
        <item h="1" m="1" x="30"/>
        <item h="1" m="1" x="31"/>
        <item h="1" m="1" x="46"/>
        <item h="1" m="1" x="38"/>
        <item h="1" m="1" x="36"/>
        <item h="1" m="1" x="35"/>
        <item h="1" m="1" x="25"/>
        <item h="1" m="1" x="16"/>
        <item h="1" m="1" x="71"/>
        <item h="1" m="1" x="62"/>
        <item h="1" m="1" x="54"/>
        <item h="1" m="1" x="44"/>
        <item h="1" m="1" x="59"/>
        <item h="1" m="1" x="51"/>
        <item h="1" m="1" x="41"/>
        <item h="1" m="1" x="32"/>
        <item h="1" m="1" x="18"/>
        <item h="1" m="1" x="10"/>
        <item h="1" m="1" x="65"/>
        <item h="1" m="1" x="43"/>
        <item h="1" m="1" x="34"/>
        <item h="1" m="1" x="19"/>
        <item h="1" m="1" x="12"/>
        <item h="1" m="1" x="67"/>
        <item h="1" m="1" x="58"/>
        <item h="1" m="1" x="49"/>
        <item h="1" m="1" x="23"/>
        <item h="1" m="1" x="50"/>
        <item h="1" m="1" x="22"/>
        <item h="1" m="1" x="14"/>
        <item h="1" m="1" x="68"/>
        <item h="1" m="1" x="60"/>
        <item h="1" m="1" x="53"/>
        <item h="1" m="1" x="42"/>
        <item h="1" m="1" x="33"/>
        <item h="1" m="1" x="9"/>
        <item h="1" m="1" x="64"/>
        <item h="1" m="1" x="55"/>
        <item h="1" m="1" x="45"/>
        <item h="1" m="1" x="37"/>
        <item h="1" m="1" x="21"/>
        <item h="1" m="1" x="13"/>
        <item h="1" m="1" x="20"/>
        <item h="1" m="1" x="69"/>
        <item h="1" m="1" x="57"/>
        <item h="1" m="1" x="48"/>
        <item h="1" m="1" x="40"/>
        <item h="1" m="1" x="29"/>
        <item h="1" m="1" x="17"/>
        <item h="1" m="1" x="72"/>
        <item h="1" m="1" x="63"/>
        <item h="1" x="0"/>
        <item x="2"/>
        <item x="3"/>
        <item x="4"/>
        <item x="5"/>
        <item x="6"/>
        <item x="7"/>
        <item x="8"/>
        <item t="default"/>
      </items>
    </pivotField>
    <pivotField axis="axisPage" subtotalTop="0" showAll="0">
      <items count="11">
        <item x="0"/>
        <item m="1" x="8"/>
        <item m="1" x="9"/>
        <item x="1"/>
        <item m="1" x="6"/>
        <item m="1" x="7"/>
        <item m="1" x="4"/>
        <item m="1" x="5"/>
        <item x="2"/>
        <item x="3"/>
        <item t="default"/>
      </items>
    </pivotField>
    <pivotField subtotalTop="0" showAll="0"/>
    <pivotField subtotalTop="0" showAll="0"/>
    <pivotField showAll="0"/>
    <pivotField subtotalTop="0" showAll="0"/>
    <pivotField axis="axisPage" subtotalTop="0" multipleItemSelectionAllowed="1" showAll="0">
      <items count="13">
        <item x="0"/>
        <item x="7"/>
        <item x="4"/>
        <item x="6"/>
        <item x="5"/>
        <item m="1" x="10"/>
        <item m="1" x="9"/>
        <item h="1" m="1" x="11"/>
        <item x="8"/>
        <item x="3"/>
        <item x="1"/>
        <item x="2"/>
        <item t="default"/>
      </items>
    </pivotField>
    <pivotField subtotalTop="0" showAll="0"/>
    <pivotField showAll="0"/>
    <pivotField showAll="0"/>
    <pivotField showAll="0"/>
    <pivotField subtotalTop="0" showAll="0"/>
    <pivotField subtotalTop="0"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Fields count="1">
    <field x="31"/>
  </rowFields>
  <rowItems count="8">
    <i>
      <x v="66"/>
    </i>
    <i>
      <x v="67"/>
    </i>
    <i>
      <x v="68"/>
    </i>
    <i>
      <x v="69"/>
    </i>
    <i>
      <x v="70"/>
    </i>
    <i>
      <x v="71"/>
    </i>
    <i>
      <x v="72"/>
    </i>
    <i t="grand">
      <x/>
    </i>
  </rowItems>
  <colItems count="1">
    <i/>
  </colItems>
  <pageFields count="4">
    <pageField fld="32" item="9" hier="-1"/>
    <pageField fld="1" item="1" hier="-1"/>
    <pageField fld="37" hier="-1"/>
    <pageField fld="4" item="1" hier="-1"/>
  </pageFields>
  <dataFields count="1">
    <dataField name="Count of Key" fld="0" subtotal="count" baseField="0" baseItem="0"/>
  </dataFields>
  <chartFormats count="2"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31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E00-000000000000}" name="PivotTable1" cacheId="61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B9:C15" firstHeaderRow="1" firstDataRow="1" firstDataCol="1" rowPageCount="4" colPageCount="1"/>
  <pivotFields count="49">
    <pivotField dataField="1" subtotalTop="0" showAll="0"/>
    <pivotField axis="axisPage" subtotalTop="0" showAll="0">
      <items count="9">
        <item x="0"/>
        <item x="6"/>
        <item x="2"/>
        <item x="4"/>
        <item x="3"/>
        <item x="5"/>
        <item x="1"/>
        <item x="7"/>
        <item t="default"/>
      </items>
    </pivotField>
    <pivotField subtotalTop="0" showAll="0"/>
    <pivotField subtotalTop="0" showAll="0"/>
    <pivotField axis="axisPage" subtotalTop="0" multipleItemSelectionAllowed="1" showAll="0">
      <items count="60">
        <item h="1" x="0"/>
        <item h="1" x="41"/>
        <item x="39"/>
        <item x="43"/>
        <item x="45"/>
        <item x="36"/>
        <item x="42"/>
        <item x="38"/>
        <item x="37"/>
        <item x="40"/>
        <item x="44"/>
        <item h="1" x="8"/>
        <item h="1" x="3"/>
        <item h="1" x="9"/>
        <item h="1" x="7"/>
        <item h="1" x="6"/>
        <item h="1" x="2"/>
        <item h="1" x="5"/>
        <item h="1" x="4"/>
        <item h="1" x="22"/>
        <item h="1" x="15"/>
        <item h="1" x="18"/>
        <item h="1" x="16"/>
        <item h="1" x="13"/>
        <item h="1" x="17"/>
        <item h="1" x="10"/>
        <item h="1" x="19"/>
        <item h="1" x="12"/>
        <item h="1" x="20"/>
        <item h="1" x="11"/>
        <item h="1" x="14"/>
        <item h="1" x="21"/>
        <item h="1" x="35"/>
        <item h="1" x="28"/>
        <item h="1" x="31"/>
        <item h="1" x="29"/>
        <item h="1" x="26"/>
        <item h="1" x="30"/>
        <item h="1" x="23"/>
        <item h="1" x="32"/>
        <item h="1" x="25"/>
        <item h="1" x="33"/>
        <item h="1" x="24"/>
        <item h="1" x="27"/>
        <item h="1" x="34"/>
        <item h="1" x="1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ubtotalTop="0" showAll="0">
      <items count="11">
        <item x="0"/>
        <item m="1" x="8"/>
        <item m="1" x="9"/>
        <item x="1"/>
        <item m="1" x="6"/>
        <item m="1" x="7"/>
        <item m="1" x="4"/>
        <item m="1" x="5"/>
        <item x="2"/>
        <item x="3"/>
        <item t="default"/>
      </items>
    </pivotField>
    <pivotField axis="axisRow" subtotalTop="0">
      <items count="8">
        <item h="1" x="0"/>
        <item h="1" x="1"/>
        <item x="2"/>
        <item x="3"/>
        <item x="4"/>
        <item x="5"/>
        <item x="6"/>
        <item t="default"/>
      </items>
    </pivotField>
    <pivotField subtotalTop="0" showAll="0"/>
    <pivotField showAll="0"/>
    <pivotField subtotalTop="0" showAll="0"/>
    <pivotField axis="axisPage" subtotalTop="0" multipleItemSelectionAllowed="1" showAll="0">
      <items count="13">
        <item x="0"/>
        <item x="7"/>
        <item x="4"/>
        <item x="6"/>
        <item x="5"/>
        <item m="1" x="10"/>
        <item m="1" x="9"/>
        <item h="1" m="1" x="11"/>
        <item x="8"/>
        <item x="3"/>
        <item x="1"/>
        <item x="2"/>
        <item t="default"/>
      </items>
    </pivotField>
    <pivotField subtotalTop="0" showAll="0"/>
    <pivotField showAll="0"/>
    <pivotField showAll="0"/>
    <pivotField showAll="0"/>
    <pivotField subtotalTop="0" showAll="0"/>
    <pivotField subtotalTop="0"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Fields count="1">
    <field x="33"/>
  </rowFields>
  <rowItems count="6">
    <i>
      <x v="2"/>
    </i>
    <i>
      <x v="3"/>
    </i>
    <i>
      <x v="4"/>
    </i>
    <i>
      <x v="5"/>
    </i>
    <i>
      <x v="6"/>
    </i>
    <i t="grand">
      <x/>
    </i>
  </rowItems>
  <colItems count="1">
    <i/>
  </colItems>
  <pageFields count="4">
    <pageField fld="32" item="9" hier="-1"/>
    <pageField fld="1" item="1" hier="-1"/>
    <pageField fld="37" hier="-1"/>
    <pageField fld="4" hier="-1"/>
  </pageFields>
  <dataFields count="1">
    <dataField name="Count of Key" fld="0" subtotal="count" baseField="0" baseItem="0"/>
  </dataFields>
  <chartFormats count="18">
    <chartFormat chart="2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3">
      <pivotArea type="data" outline="0" fieldPosition="0">
        <references count="2">
          <reference field="4294967294" count="1" selected="0">
            <x v="0"/>
          </reference>
          <reference field="33" count="1" selected="0">
            <x v="2"/>
          </reference>
        </references>
      </pivotArea>
    </chartFormat>
    <chartFormat chart="2" format="14">
      <pivotArea type="data" outline="0" fieldPosition="0">
        <references count="2">
          <reference field="4294967294" count="1" selected="0">
            <x v="0"/>
          </reference>
          <reference field="33" count="1" selected="0">
            <x v="3"/>
          </reference>
        </references>
      </pivotArea>
    </chartFormat>
    <chartFormat chart="2" format="15">
      <pivotArea type="data" outline="0" fieldPosition="0">
        <references count="2">
          <reference field="4294967294" count="1" selected="0">
            <x v="0"/>
          </reference>
          <reference field="33" count="1" selected="0">
            <x v="4"/>
          </reference>
        </references>
      </pivotArea>
    </chartFormat>
    <chartFormat chart="2" format="16">
      <pivotArea type="data" outline="0" fieldPosition="0">
        <references count="2">
          <reference field="4294967294" count="1" selected="0">
            <x v="0"/>
          </reference>
          <reference field="33" count="1" selected="0">
            <x v="5"/>
          </reference>
        </references>
      </pivotArea>
    </chartFormat>
    <chartFormat chart="2" format="17">
      <pivotArea type="data" outline="0" fieldPosition="0">
        <references count="2">
          <reference field="4294967294" count="1" selected="0">
            <x v="0"/>
          </reference>
          <reference field="33" count="1" selected="0">
            <x v="6"/>
          </reference>
        </references>
      </pivotArea>
    </chartFormat>
    <chartFormat chart="3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9">
      <pivotArea type="data" outline="0" fieldPosition="0">
        <references count="2">
          <reference field="4294967294" count="1" selected="0">
            <x v="0"/>
          </reference>
          <reference field="33" count="1" selected="0">
            <x v="2"/>
          </reference>
        </references>
      </pivotArea>
    </chartFormat>
    <chartFormat chart="3" format="20">
      <pivotArea type="data" outline="0" fieldPosition="0">
        <references count="2">
          <reference field="4294967294" count="1" selected="0">
            <x v="0"/>
          </reference>
          <reference field="33" count="1" selected="0">
            <x v="3"/>
          </reference>
        </references>
      </pivotArea>
    </chartFormat>
    <chartFormat chart="3" format="21">
      <pivotArea type="data" outline="0" fieldPosition="0">
        <references count="2">
          <reference field="4294967294" count="1" selected="0">
            <x v="0"/>
          </reference>
          <reference field="33" count="1" selected="0">
            <x v="4"/>
          </reference>
        </references>
      </pivotArea>
    </chartFormat>
    <chartFormat chart="3" format="22">
      <pivotArea type="data" outline="0" fieldPosition="0">
        <references count="2">
          <reference field="4294967294" count="1" selected="0">
            <x v="0"/>
          </reference>
          <reference field="33" count="1" selected="0">
            <x v="5"/>
          </reference>
        </references>
      </pivotArea>
    </chartFormat>
    <chartFormat chart="3" format="23">
      <pivotArea type="data" outline="0" fieldPosition="0">
        <references count="2">
          <reference field="4294967294" count="1" selected="0">
            <x v="0"/>
          </reference>
          <reference field="33" count="1" selected="0">
            <x v="6"/>
          </reference>
        </references>
      </pivotArea>
    </chartFormat>
    <chartFormat chart="4" format="2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5">
      <pivotArea type="data" outline="0" fieldPosition="0">
        <references count="2">
          <reference field="4294967294" count="1" selected="0">
            <x v="0"/>
          </reference>
          <reference field="33" count="1" selected="0">
            <x v="2"/>
          </reference>
        </references>
      </pivotArea>
    </chartFormat>
    <chartFormat chart="4" format="26">
      <pivotArea type="data" outline="0" fieldPosition="0">
        <references count="2">
          <reference field="4294967294" count="1" selected="0">
            <x v="0"/>
          </reference>
          <reference field="33" count="1" selected="0">
            <x v="3"/>
          </reference>
        </references>
      </pivotArea>
    </chartFormat>
    <chartFormat chart="4" format="27">
      <pivotArea type="data" outline="0" fieldPosition="0">
        <references count="2">
          <reference field="4294967294" count="1" selected="0">
            <x v="0"/>
          </reference>
          <reference field="33" count="1" selected="0">
            <x v="4"/>
          </reference>
        </references>
      </pivotArea>
    </chartFormat>
    <chartFormat chart="4" format="28">
      <pivotArea type="data" outline="0" fieldPosition="0">
        <references count="2">
          <reference field="4294967294" count="1" selected="0">
            <x v="0"/>
          </reference>
          <reference field="33" count="1" selected="0">
            <x v="5"/>
          </reference>
        </references>
      </pivotArea>
    </chartFormat>
    <chartFormat chart="4" format="29">
      <pivotArea type="data" outline="0" fieldPosition="0">
        <references count="2">
          <reference field="4294967294" count="1" selected="0">
            <x v="0"/>
          </reference>
          <reference field="33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4000000}" name="PivotTable4" cacheId="617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4">
  <location ref="D29:E34" firstHeaderRow="1" firstDataRow="1" firstDataCol="1" rowPageCount="4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20">
        <item x="0"/>
        <item m="1" x="11"/>
        <item m="1" x="7"/>
        <item x="1"/>
        <item m="1" x="13"/>
        <item m="1" x="15"/>
        <item m="1" x="10"/>
        <item m="1" x="6"/>
        <item m="1" x="14"/>
        <item m="1" x="12"/>
        <item m="1" x="5"/>
        <item m="1" x="16"/>
        <item m="1" x="8"/>
        <item m="1" x="18"/>
        <item x="2"/>
        <item m="1" x="17"/>
        <item m="1" x="9"/>
        <item x="3"/>
        <item x="4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1">
        <item x="0"/>
        <item m="1" x="8"/>
        <item m="1" x="9"/>
        <item x="1"/>
        <item m="1" x="6"/>
        <item m="1" x="7"/>
        <item m="1" x="4"/>
        <item m="1" x="5"/>
        <item x="2"/>
        <item x="3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dataField="1" showAll="0"/>
    <pivotField dataField="1" showAll="0"/>
    <pivotField dataField="1" showAll="0"/>
    <pivotField subtotalTop="0" showAll="0"/>
    <pivotField subtotalTop="0" showAll="0"/>
    <pivotField showAll="0"/>
    <pivotField axis="axisPage" showAll="0">
      <items count="5">
        <item m="1" x="3"/>
        <item x="2"/>
        <item x="1"/>
        <item x="0"/>
        <item t="default"/>
      </items>
    </pivotField>
    <pivotField showAll="0"/>
    <pivotField dataField="1" dragToRow="0" dragToCol="0" dragToPage="0" showAll="0" defaultSubtotal="0"/>
    <pivotField dataField="1" dragToRow="0" dragToCol="0" dragToPage="0" showAll="0" defaultSubtotal="0"/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Items count="1">
    <i/>
  </colItems>
  <pageFields count="4">
    <pageField fld="32" item="9" hier="-1"/>
    <pageField fld="1" hier="-1"/>
    <pageField fld="10" item="14" hier="-1"/>
    <pageField fld="45" item="1" hier="-1"/>
  </pageFields>
  <dataFields count="5">
    <dataField name="Done" fld="47" baseField="0" baseItem="32"/>
    <dataField name="In Validation" fld="41" baseField="0" baseItem="32"/>
    <dataField name="In Dev" fld="40" baseField="0" baseItem="32"/>
    <dataField name="Ready" fld="39" baseField="0" baseItem="32"/>
    <dataField name="Not Decomposed" fld="48" baseField="0" baseItem="32"/>
  </dataFields>
  <chartFormats count="21"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2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3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5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3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4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5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26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7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9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0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22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9" format="23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9" format="24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1" cacheId="61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B5:AD10" firstHeaderRow="0" firstDataRow="1" firstDataCol="1" rowPageCount="3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Row" subtotalTop="0" showAll="0">
      <items count="20">
        <item x="0"/>
        <item x="1"/>
        <item m="1" x="11"/>
        <item m="1" x="7"/>
        <item m="1" x="13"/>
        <item m="1" x="15"/>
        <item m="1" x="10"/>
        <item m="1" x="6"/>
        <item m="1" x="14"/>
        <item m="1" x="12"/>
        <item m="1" x="5"/>
        <item m="1" x="16"/>
        <item m="1" x="8"/>
        <item m="1" x="18"/>
        <item x="2"/>
        <item m="1" x="17"/>
        <item m="1" x="9"/>
        <item x="3"/>
        <item x="4"/>
        <item t="default"/>
      </items>
    </pivotField>
    <pivotField subtotalTop="0" showAll="0"/>
    <pivotField subtotalTop="0" showAll="0"/>
    <pivotField subtotalTop="0" showAll="0"/>
    <pivotField subtotalTop="0" showAll="0"/>
    <pivotField dataField="1"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showAll="0"/>
    <pivotField axis="axisPage" subtotalTop="0" multipleItemSelectionAllowed="1" showAll="0">
      <items count="11">
        <item h="1" x="0"/>
        <item m="1" x="8"/>
        <item m="1" x="9"/>
        <item h="1" x="1"/>
        <item m="1" x="6"/>
        <item m="1" x="7"/>
        <item h="1" m="1" x="4"/>
        <item h="1" m="1" x="5"/>
        <item h="1" x="2"/>
        <item x="3"/>
        <item t="default"/>
      </items>
    </pivotField>
    <pivotField subtotalTop="0" showAll="0"/>
    <pivotField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axis="axisPage" showAll="0">
      <items count="5">
        <item m="1" x="3"/>
        <item x="2"/>
        <item x="1"/>
        <item x="0"/>
        <item t="default"/>
      </items>
    </pivotField>
    <pivotField showAll="0"/>
    <pivotField dragToRow="0" dragToCol="0" dragToPage="0" showAll="0" defaultSubtotal="0"/>
    <pivotField dragToRow="0" dragToCol="0" dragToPage="0" showAll="0" defaultSubtotal="0"/>
  </pivotFields>
  <rowFields count="1">
    <field x="10"/>
  </rowFields>
  <rowItems count="5">
    <i>
      <x v="1"/>
    </i>
    <i>
      <x v="14"/>
    </i>
    <i>
      <x v="17"/>
    </i>
    <i>
      <x v="18"/>
    </i>
    <i t="grand">
      <x/>
    </i>
  </rowItems>
  <colFields count="1">
    <field x="-2"/>
  </colFields>
  <colItems count="2">
    <i>
      <x/>
    </i>
    <i i="1">
      <x v="1"/>
    </i>
  </colItems>
  <pageFields count="3">
    <pageField fld="32" hier="-1"/>
    <pageField fld="1" hier="-1"/>
    <pageField fld="45" item="1" hier="-1"/>
  </pageFields>
  <dataFields count="2">
    <dataField name="Sum of Epic Total Estimate" fld="15" baseField="10" baseItem="0"/>
    <dataField name="Sum of Epic Remaining Estimate" fld="16" baseField="1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EE7328-E767-497A-8049-35A88773E794}" name="PivotTable7" cacheId="617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J41:J42" firstHeaderRow="1" firstDataRow="1" firstDataCol="0" rowPageCount="3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20">
        <item x="0"/>
        <item m="1" x="11"/>
        <item m="1" x="7"/>
        <item x="1"/>
        <item m="1" x="13"/>
        <item m="1" x="15"/>
        <item m="1" x="10"/>
        <item m="1" x="6"/>
        <item m="1" x="14"/>
        <item m="1" x="12"/>
        <item m="1" x="5"/>
        <item m="1" x="16"/>
        <item m="1" x="8"/>
        <item m="1" x="18"/>
        <item x="2"/>
        <item m="1" x="17"/>
        <item m="1" x="9"/>
        <item x="3"/>
        <item x="4"/>
        <item t="default"/>
      </items>
    </pivotField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1">
        <item x="0"/>
        <item m="1" x="8"/>
        <item m="1" x="9"/>
        <item x="1"/>
        <item m="1" x="6"/>
        <item m="1" x="7"/>
        <item m="1" x="4"/>
        <item m="1" x="5"/>
        <item x="2"/>
        <item x="3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Items count="1">
    <i/>
  </rowItems>
  <colItems count="1">
    <i/>
  </colItems>
  <pageFields count="3">
    <pageField fld="32" item="9" hier="-1"/>
    <pageField fld="1" hier="-1"/>
    <pageField fld="10" item="18" hier="-1"/>
  </pageFields>
  <dataFields count="1">
    <dataField name="Sum of Epic Total Estimate" fld="15" baseField="0" baseItem="51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6000000}" name="PivotTable8" cacheId="617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G41:G42" firstHeaderRow="1" firstDataRow="1" firstDataCol="0" rowPageCount="3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20">
        <item x="0"/>
        <item m="1" x="11"/>
        <item m="1" x="7"/>
        <item x="1"/>
        <item m="1" x="13"/>
        <item m="1" x="15"/>
        <item m="1" x="10"/>
        <item m="1" x="6"/>
        <item m="1" x="14"/>
        <item m="1" x="12"/>
        <item m="1" x="5"/>
        <item m="1" x="16"/>
        <item m="1" x="8"/>
        <item m="1" x="18"/>
        <item x="2"/>
        <item m="1" x="17"/>
        <item m="1" x="9"/>
        <item x="3"/>
        <item x="4"/>
        <item t="default"/>
      </items>
    </pivotField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1">
        <item x="0"/>
        <item m="1" x="8"/>
        <item m="1" x="9"/>
        <item x="1"/>
        <item m="1" x="6"/>
        <item m="1" x="7"/>
        <item m="1" x="4"/>
        <item m="1" x="5"/>
        <item x="2"/>
        <item x="3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Items count="1">
    <i/>
  </rowItems>
  <colItems count="1">
    <i/>
  </colItems>
  <pageFields count="3">
    <pageField fld="32" item="9" hier="-1"/>
    <pageField fld="1" hier="-1"/>
    <pageField fld="10" item="17" hier="-1"/>
  </pageFields>
  <dataFields count="1">
    <dataField name="Sum of Epic Total Estimate" fld="15" baseField="0" baseItem="51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5000000}" name="PivotTable5" cacheId="617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D41:D42" firstHeaderRow="1" firstDataRow="1" firstDataCol="0" rowPageCount="3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20">
        <item x="0"/>
        <item m="1" x="11"/>
        <item m="1" x="7"/>
        <item x="1"/>
        <item m="1" x="13"/>
        <item m="1" x="15"/>
        <item m="1" x="10"/>
        <item m="1" x="6"/>
        <item m="1" x="14"/>
        <item m="1" x="12"/>
        <item m="1" x="5"/>
        <item m="1" x="16"/>
        <item m="1" x="8"/>
        <item m="1" x="18"/>
        <item x="2"/>
        <item m="1" x="17"/>
        <item m="1" x="9"/>
        <item x="3"/>
        <item x="4"/>
        <item t="default"/>
      </items>
    </pivotField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1">
        <item x="0"/>
        <item m="1" x="8"/>
        <item m="1" x="9"/>
        <item x="1"/>
        <item m="1" x="6"/>
        <item m="1" x="7"/>
        <item m="1" x="4"/>
        <item m="1" x="5"/>
        <item x="2"/>
        <item x="3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Items count="1">
    <i/>
  </rowItems>
  <colItems count="1">
    <i/>
  </colItems>
  <pageFields count="3">
    <pageField fld="32" item="9" hier="-1"/>
    <pageField fld="1" hier="-1"/>
    <pageField fld="10" item="14" hier="-1"/>
  </pageFields>
  <dataFields count="1">
    <dataField name="Sum of Epic Total Estimate" fld="15" baseField="0" baseItem="51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FCE1EF-625E-43F6-9928-8FD8FD0AC1EA}" name="PivotTable11" cacheId="61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E51:F60" firstHeaderRow="1" firstDataRow="1" firstDataCol="1" rowPageCount="1" colPageCount="1"/>
  <pivotFields count="49">
    <pivotField showAll="0"/>
    <pivotField axis="axisPage" showAll="0">
      <items count="9">
        <item x="0"/>
        <item x="6"/>
        <item x="7"/>
        <item x="2"/>
        <item x="4"/>
        <item x="3"/>
        <item x="5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0">
        <item x="0"/>
        <item x="2"/>
        <item x="4"/>
        <item x="5"/>
        <item x="6"/>
        <item x="7"/>
        <item x="3"/>
        <item x="8"/>
        <item x="1"/>
        <item t="default"/>
      </items>
    </pivotField>
    <pivotField showAll="0"/>
    <pivotField showAll="0"/>
    <pivotField dragToRow="0" dragToCol="0" dragToPage="0" showAll="0" defaultSubtotal="0"/>
    <pivotField dragToRow="0" dragToCol="0" dragToPage="0" showAll="0" defaultSubtotal="0"/>
  </pivotFields>
  <rowFields count="1">
    <field x="44"/>
  </rowFields>
  <rowItems count="9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pageFields count="1">
    <pageField fld="1" item="2" hier="-1"/>
  </pageFields>
  <dataFields count="1">
    <dataField name="Sum of Story Points" fld="13" baseField="44" baseItem="0"/>
  </dataFields>
  <chartFormats count="18"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44" count="1" selected="0">
            <x v="1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44" count="1" selected="0">
            <x v="2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44" count="1" selected="0">
            <x v="3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44" count="1" selected="0">
            <x v="4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44" count="1" selected="0">
            <x v="5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44" count="1" selected="0">
            <x v="6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44" count="1" selected="0">
            <x v="7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44" count="1" selected="0">
            <x v="8"/>
          </reference>
        </references>
      </pivotArea>
    </chartFormat>
    <chartFormat chart="3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1">
      <pivotArea type="data" outline="0" fieldPosition="0">
        <references count="2">
          <reference field="4294967294" count="1" selected="0">
            <x v="0"/>
          </reference>
          <reference field="44" count="1" selected="0">
            <x v="1"/>
          </reference>
        </references>
      </pivotArea>
    </chartFormat>
    <chartFormat chart="3" format="12">
      <pivotArea type="data" outline="0" fieldPosition="0">
        <references count="2">
          <reference field="4294967294" count="1" selected="0">
            <x v="0"/>
          </reference>
          <reference field="44" count="1" selected="0">
            <x v="2"/>
          </reference>
        </references>
      </pivotArea>
    </chartFormat>
    <chartFormat chart="3" format="13">
      <pivotArea type="data" outline="0" fieldPosition="0">
        <references count="2">
          <reference field="4294967294" count="1" selected="0">
            <x v="0"/>
          </reference>
          <reference field="44" count="1" selected="0">
            <x v="3"/>
          </reference>
        </references>
      </pivotArea>
    </chartFormat>
    <chartFormat chart="3" format="14">
      <pivotArea type="data" outline="0" fieldPosition="0">
        <references count="2">
          <reference field="4294967294" count="1" selected="0">
            <x v="0"/>
          </reference>
          <reference field="44" count="1" selected="0">
            <x v="4"/>
          </reference>
        </references>
      </pivotArea>
    </chartFormat>
    <chartFormat chart="3" format="15">
      <pivotArea type="data" outline="0" fieldPosition="0">
        <references count="2">
          <reference field="4294967294" count="1" selected="0">
            <x v="0"/>
          </reference>
          <reference field="44" count="1" selected="0">
            <x v="5"/>
          </reference>
        </references>
      </pivotArea>
    </chartFormat>
    <chartFormat chart="3" format="16">
      <pivotArea type="data" outline="0" fieldPosition="0">
        <references count="2">
          <reference field="4294967294" count="1" selected="0">
            <x v="0"/>
          </reference>
          <reference field="44" count="1" selected="0">
            <x v="6"/>
          </reference>
        </references>
      </pivotArea>
    </chartFormat>
    <chartFormat chart="3" format="17">
      <pivotArea type="data" outline="0" fieldPosition="0">
        <references count="2">
          <reference field="4294967294" count="1" selected="0">
            <x v="0"/>
          </reference>
          <reference field="44" count="1" selected="0">
            <x v="7"/>
          </reference>
        </references>
      </pivotArea>
    </chartFormat>
    <chartFormat chart="3" format="18">
      <pivotArea type="data" outline="0" fieldPosition="0">
        <references count="2">
          <reference field="4294967294" count="1" selected="0">
            <x v="0"/>
          </reference>
          <reference field="44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2000000}" name="PivotTable2" cacheId="617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9">
  <location ref="A29:B34" firstHeaderRow="1" firstDataRow="1" firstDataCol="1" rowPageCount="3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1">
        <item x="0"/>
        <item m="1" x="8"/>
        <item m="1" x="9"/>
        <item x="1"/>
        <item m="1" x="6"/>
        <item m="1" x="7"/>
        <item m="1" x="4"/>
        <item m="1" x="5"/>
        <item x="2"/>
        <item x="3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dataField="1" showAll="0"/>
    <pivotField dataField="1" showAll="0"/>
    <pivotField dataField="1" showAll="0"/>
    <pivotField subtotalTop="0" showAll="0"/>
    <pivotField subtotalTop="0" showAll="0"/>
    <pivotField showAll="0"/>
    <pivotField axis="axisPage" showAll="0">
      <items count="5">
        <item m="1" x="3"/>
        <item x="2"/>
        <item x="1"/>
        <item x="0"/>
        <item t="default"/>
      </items>
    </pivotField>
    <pivotField showAll="0"/>
    <pivotField dataField="1" dragToRow="0" dragToCol="0" dragToPage="0" showAll="0" defaultSubtotal="0"/>
    <pivotField dataField="1" dragToRow="0" dragToCol="0" dragToPage="0" showAll="0" defaultSubtotal="0"/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Items count="1">
    <i/>
  </colItems>
  <pageFields count="3">
    <pageField fld="32" item="9" hier="-1"/>
    <pageField fld="1" hier="-1"/>
    <pageField fld="45" item="1" hier="-1"/>
  </pageFields>
  <dataFields count="5">
    <dataField name="Done" fld="47" baseField="0" baseItem="32"/>
    <dataField name="In Validation" fld="41" baseField="0" baseItem="32"/>
    <dataField name="In Dev" fld="40" baseField="0" baseItem="32"/>
    <dataField name="Ready" fld="39" baseField="0" baseItem="32"/>
    <dataField name="Not Decomposed" fld="48" baseField="0" baseItem="32"/>
  </dataFields>
  <chartFormats count="15"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2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3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5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3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4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5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26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7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E64A30-B41F-4AE4-94E0-976FA0DF52E6}" name="PivotTable6" cacheId="617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9">
  <location ref="J29:K34" firstHeaderRow="1" firstDataRow="1" firstDataCol="1" rowPageCount="4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20">
        <item x="0"/>
        <item m="1" x="11"/>
        <item m="1" x="7"/>
        <item x="1"/>
        <item m="1" x="13"/>
        <item m="1" x="15"/>
        <item m="1" x="10"/>
        <item m="1" x="6"/>
        <item m="1" x="14"/>
        <item m="1" x="12"/>
        <item m="1" x="5"/>
        <item m="1" x="16"/>
        <item m="1" x="8"/>
        <item m="1" x="18"/>
        <item x="2"/>
        <item m="1" x="17"/>
        <item m="1" x="9"/>
        <item x="3"/>
        <item x="4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1">
        <item x="0"/>
        <item m="1" x="8"/>
        <item m="1" x="9"/>
        <item x="1"/>
        <item m="1" x="6"/>
        <item m="1" x="7"/>
        <item m="1" x="4"/>
        <item m="1" x="5"/>
        <item x="2"/>
        <item x="3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dataField="1" showAll="0"/>
    <pivotField dataField="1" showAll="0"/>
    <pivotField dataField="1" showAll="0"/>
    <pivotField subtotalTop="0" showAll="0"/>
    <pivotField subtotalTop="0" showAll="0"/>
    <pivotField showAll="0"/>
    <pivotField axis="axisPage" showAll="0">
      <items count="5">
        <item m="1" x="3"/>
        <item x="2"/>
        <item x="1"/>
        <item x="0"/>
        <item t="default"/>
      </items>
    </pivotField>
    <pivotField showAll="0"/>
    <pivotField dataField="1" dragToRow="0" dragToCol="0" dragToPage="0" showAll="0" defaultSubtotal="0"/>
    <pivotField dataField="1" dragToRow="0" dragToCol="0" dragToPage="0" showAll="0" defaultSubtotal="0"/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Items count="1">
    <i/>
  </colItems>
  <pageFields count="4">
    <pageField fld="32" item="9" hier="-1"/>
    <pageField fld="1" hier="-1"/>
    <pageField fld="10" item="18" hier="-1"/>
    <pageField fld="45" item="1" hier="-1"/>
  </pageFields>
  <dataFields count="5">
    <dataField name="Done" fld="47" baseField="0" baseItem="32"/>
    <dataField name="In Validation" fld="41" baseField="0" baseItem="32"/>
    <dataField name="In Dev" fld="40" baseField="0" baseItem="32"/>
    <dataField name="Ready" fld="39" baseField="0" baseItem="32"/>
    <dataField name="Not Decomposed" fld="48" baseField="0" baseItem="32"/>
  </dataFields>
  <chartFormats count="33"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2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3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5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3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4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5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26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7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7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8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9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10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" format="1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7" format="12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4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0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4" format="22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4" format="23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4" format="2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8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8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9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8" format="10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8" format="1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8" format="12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D2:E4" totalsRowShown="0" headerRowDxfId="11" dataDxfId="9" headerRowBorderDxfId="10" tableBorderDxfId="8" totalsRowBorderDxfId="7">
  <autoFilter ref="D2:E4" xr:uid="{00000000-0009-0000-0100-000002000000}">
    <filterColumn colId="0" hiddenButton="1"/>
    <filterColumn colId="1" hiddenButton="1"/>
  </autoFilter>
  <tableColumns count="2">
    <tableColumn id="1" xr3:uid="{00000000-0010-0000-0000-000001000000}" name="Start Date" dataDxfId="6"/>
    <tableColumn id="2" xr3:uid="{00000000-0010-0000-0000-000002000000}" name="End Date" dataDxfId="5"/>
  </tableColumns>
  <tableStyleInfo name="TableStyleLight1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le15" displayName="Table15" ref="Z2:Z9" totalsRowShown="0" headerRowDxfId="4">
  <autoFilter ref="Z2:Z9" xr:uid="{00000000-0009-0000-0100-000004000000}">
    <filterColumn colId="0" hiddenButton="1"/>
  </autoFilter>
  <tableColumns count="1">
    <tableColumn id="1" xr3:uid="{00000000-0010-0000-0100-000001000000}" name="Stabilization and Holidays" dataDxfId="3"/>
  </tableColumns>
  <tableStyleInfo name="TableStyleLight1"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66E46EC-C033-4B28-951E-77ADACF80BD5}" name="Table6" displayName="Table6" ref="P24:Q28" totalsRowShown="0">
  <autoFilter ref="P24:Q28" xr:uid="{194AD53B-D427-4E24-B2F1-E1BDCB94D883}">
    <filterColumn colId="0" hiddenButton="1"/>
    <filterColumn colId="1" hiddenButton="1"/>
  </autoFilter>
  <tableColumns count="2">
    <tableColumn id="1" xr3:uid="{113E3810-F961-47D9-A95E-9E06FDBD93EB}" name="Feature"/>
    <tableColumn id="2" xr3:uid="{8C1EB301-11F9-4891-8377-B4D31569F7F1}" name="Cost"/>
  </tableColumns>
  <tableStyleInfo name="TableStyleLight1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e5" displayName="Table5" ref="B15:D22" totalsRowShown="0">
  <autoFilter ref="B15:D22" xr:uid="{00000000-0009-0000-0100-000005000000}">
    <filterColumn colId="0" hiddenButton="1"/>
    <filterColumn colId="1" hiddenButton="1"/>
    <filterColumn colId="2" hiddenButton="1"/>
  </autoFilter>
  <tableColumns count="3">
    <tableColumn id="1" xr3:uid="{00000000-0010-0000-0200-000001000000}" name="Sprint"/>
    <tableColumn id="2" xr3:uid="{00000000-0010-0000-0200-000002000000}" name="Epics New" dataDxfId="2">
      <calculatedColumnFormula>GETPIVOTDATA("Epic Not Decomposed Estimate",$B$3)</calculatedColumnFormula>
    </tableColumn>
    <tableColumn id="3" xr3:uid="{00000000-0010-0000-0200-000003000000}" name="Stories Ready" dataDxfId="1">
      <calculatedColumnFormula>GETPIVOTDATA("Story Points",#REF!)</calculatedColumnFormula>
    </tableColumn>
  </tableColumns>
  <tableStyleInfo name="TableStyleLight1" showFirstColumn="1" showLastColumn="0" showRowStripes="0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3000000}" name="Table1" displayName="Table1" ref="K6:M14" totalsRowCount="1">
  <autoFilter ref="K6:M13" xr:uid="{00000000-0009-0000-0100-000001000000}">
    <filterColumn colId="0" hiddenButton="1"/>
    <filterColumn colId="1" hiddenButton="1"/>
    <filterColumn colId="2" hiddenButton="1"/>
  </autoFilter>
  <tableColumns count="3">
    <tableColumn id="1" xr3:uid="{00000000-0010-0000-0300-000001000000}" name="Sprint" totalsRowLabel="Total"/>
    <tableColumn id="2" xr3:uid="{00000000-0010-0000-0300-000002000000}" name="R&amp;D" totalsRowFunction="sum"/>
    <tableColumn id="7" xr3:uid="{00000000-0010-0000-0300-000007000000}" name="Total" totalsRowFunction="sum" dataDxfId="0"/>
  </tableColumns>
  <tableStyleInfo name="TableStyleLight1" showFirstColumn="1" showLastColumn="1" showRowStripes="0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4000000}" name="Table3" displayName="Table3" ref="A1:B1" headerRowCount="0" totalsRowShown="0">
  <tableColumns count="2">
    <tableColumn id="1" xr3:uid="{00000000-0010-0000-0400-000001000000}" name="Column1" dataCellStyle="Output"/>
    <tableColumn id="2" xr3:uid="{00000000-0010-0000-0400-000002000000}" name="Column2">
      <calculatedColumnFormula>$E$2</calculatedColumnFormula>
    </tableColumn>
  </tableColumns>
  <tableStyleInfo name="TableStyleMedium1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ivotTable" Target="../pivotTables/pivotTable1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ivotTable" Target="../pivotTables/pivotTable17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ivotTable" Target="../pivotTables/pivotTable19.xml"/><Relationship Id="rId1" Type="http://schemas.openxmlformats.org/officeDocument/2006/relationships/pivotTable" Target="../pivotTables/pivotTable18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table" Target="../tables/table1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5" Type="http://schemas.openxmlformats.org/officeDocument/2006/relationships/table" Target="../tables/table3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pivotTable" Target="../pivotTables/pivotTable14.xml"/><Relationship Id="rId1" Type="http://schemas.openxmlformats.org/officeDocument/2006/relationships/pivotTable" Target="../pivotTables/pivotTable1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6:B9"/>
  <sheetViews>
    <sheetView showGridLines="0" tabSelected="1" zoomScaleNormal="100" workbookViewId="0">
      <selection activeCell="B3" sqref="B3"/>
    </sheetView>
  </sheetViews>
  <sheetFormatPr defaultRowHeight="14.4" x14ac:dyDescent="0.3"/>
  <sheetData>
    <row r="6" spans="1:2" x14ac:dyDescent="0.3">
      <c r="A6" s="21"/>
      <c r="B6" s="21"/>
    </row>
    <row r="7" spans="1:2" x14ac:dyDescent="0.3">
      <c r="B7" s="21"/>
    </row>
    <row r="8" spans="1:2" x14ac:dyDescent="0.3">
      <c r="A8" s="21"/>
    </row>
    <row r="9" spans="1:2" x14ac:dyDescent="0.3">
      <c r="A9" s="21"/>
      <c r="B9" s="21"/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13"/>
  <sheetViews>
    <sheetView workbookViewId="0"/>
  </sheetViews>
  <sheetFormatPr defaultRowHeight="14.4" x14ac:dyDescent="0.3"/>
  <cols>
    <col min="1" max="1" width="13.109375" bestFit="1" customWidth="1"/>
    <col min="2" max="2" width="17.77734375" bestFit="1" customWidth="1"/>
    <col min="3" max="3" width="9.33203125" customWidth="1"/>
    <col min="4" max="4" width="8.6640625" customWidth="1"/>
    <col min="5" max="5" width="10.21875" bestFit="1" customWidth="1"/>
  </cols>
  <sheetData>
    <row r="1" spans="1:2" x14ac:dyDescent="0.3">
      <c r="A1" s="16" t="s">
        <v>135</v>
      </c>
      <c r="B1" t="s">
        <v>262</v>
      </c>
    </row>
    <row r="2" spans="1:2" x14ac:dyDescent="0.3">
      <c r="A2" s="16" t="s">
        <v>9</v>
      </c>
      <c r="B2" t="s">
        <v>153</v>
      </c>
    </row>
    <row r="3" spans="1:2" x14ac:dyDescent="0.3">
      <c r="A3" s="16" t="s">
        <v>113</v>
      </c>
      <c r="B3" t="s">
        <v>177</v>
      </c>
    </row>
    <row r="4" spans="1:2" x14ac:dyDescent="0.3">
      <c r="A4" s="16" t="s">
        <v>247</v>
      </c>
      <c r="B4" t="s">
        <v>218</v>
      </c>
    </row>
    <row r="6" spans="1:2" x14ac:dyDescent="0.3">
      <c r="A6" s="16" t="s">
        <v>140</v>
      </c>
      <c r="B6" t="s">
        <v>144</v>
      </c>
    </row>
    <row r="7" spans="1:2" x14ac:dyDescent="0.3">
      <c r="A7" s="17" t="s">
        <v>151</v>
      </c>
      <c r="B7" s="20">
        <v>100</v>
      </c>
    </row>
    <row r="8" spans="1:2" x14ac:dyDescent="0.3">
      <c r="A8" s="17" t="s">
        <v>149</v>
      </c>
      <c r="B8" s="20">
        <v>100</v>
      </c>
    </row>
    <row r="9" spans="1:2" x14ac:dyDescent="0.3">
      <c r="A9" s="17" t="s">
        <v>148</v>
      </c>
      <c r="B9" s="20">
        <v>100</v>
      </c>
    </row>
    <row r="10" spans="1:2" x14ac:dyDescent="0.3">
      <c r="A10" s="17" t="s">
        <v>175</v>
      </c>
      <c r="B10" s="20">
        <v>100</v>
      </c>
    </row>
    <row r="11" spans="1:2" x14ac:dyDescent="0.3">
      <c r="A11" s="17" t="s">
        <v>147</v>
      </c>
      <c r="B11" s="20">
        <v>90</v>
      </c>
    </row>
    <row r="12" spans="1:2" x14ac:dyDescent="0.3">
      <c r="A12" s="17" t="s">
        <v>50</v>
      </c>
      <c r="B12" s="20">
        <v>490</v>
      </c>
    </row>
    <row r="13" spans="1:2" x14ac:dyDescent="0.3">
      <c r="A13" s="17" t="s">
        <v>50</v>
      </c>
      <c r="B13">
        <f>GETPIVOTDATA("Story Points", $A$6)</f>
        <v>490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showGridLines="0" workbookViewId="0">
      <selection activeCell="B3" sqref="B3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M14"/>
  <sheetViews>
    <sheetView workbookViewId="0"/>
  </sheetViews>
  <sheetFormatPr defaultRowHeight="14.4" x14ac:dyDescent="0.3"/>
  <cols>
    <col min="2" max="2" width="12.5546875" bestFit="1" customWidth="1"/>
    <col min="3" max="3" width="17.77734375" bestFit="1" customWidth="1"/>
    <col min="4" max="4" width="6.77734375" bestFit="1" customWidth="1"/>
    <col min="5" max="5" width="3.77734375" bestFit="1" customWidth="1"/>
    <col min="6" max="6" width="4.77734375" bestFit="1" customWidth="1"/>
    <col min="7" max="9" width="10.21875" bestFit="1" customWidth="1"/>
    <col min="11" max="13" width="9.88671875" customWidth="1"/>
  </cols>
  <sheetData>
    <row r="1" spans="2:13" x14ac:dyDescent="0.3">
      <c r="B1" s="16" t="s">
        <v>9</v>
      </c>
      <c r="C1" t="s">
        <v>153</v>
      </c>
    </row>
    <row r="2" spans="2:13" x14ac:dyDescent="0.3">
      <c r="B2" s="16" t="s">
        <v>0</v>
      </c>
      <c r="C2" t="s">
        <v>153</v>
      </c>
    </row>
    <row r="3" spans="2:13" x14ac:dyDescent="0.3">
      <c r="B3" s="16" t="s">
        <v>247</v>
      </c>
      <c r="C3" t="s">
        <v>218</v>
      </c>
    </row>
    <row r="5" spans="2:13" x14ac:dyDescent="0.3">
      <c r="B5" s="16" t="s">
        <v>140</v>
      </c>
      <c r="C5" t="s">
        <v>144</v>
      </c>
      <c r="K5" s="39" t="s">
        <v>189</v>
      </c>
    </row>
    <row r="6" spans="2:13" x14ac:dyDescent="0.3">
      <c r="B6" s="17" t="s">
        <v>263</v>
      </c>
      <c r="C6" s="20">
        <v>100</v>
      </c>
      <c r="K6" t="s">
        <v>188</v>
      </c>
      <c r="L6" t="s">
        <v>237</v>
      </c>
      <c r="M6" t="s">
        <v>187</v>
      </c>
    </row>
    <row r="7" spans="2:13" x14ac:dyDescent="0.3">
      <c r="B7" s="17" t="s">
        <v>264</v>
      </c>
      <c r="C7" s="20">
        <v>60</v>
      </c>
      <c r="K7" t="s">
        <v>263</v>
      </c>
    </row>
    <row r="8" spans="2:13" x14ac:dyDescent="0.3">
      <c r="B8" s="17" t="s">
        <v>265</v>
      </c>
      <c r="C8" s="20">
        <v>30</v>
      </c>
      <c r="K8" t="s">
        <v>264</v>
      </c>
    </row>
    <row r="9" spans="2:13" x14ac:dyDescent="0.3">
      <c r="B9" s="17" t="s">
        <v>266</v>
      </c>
      <c r="C9" s="20">
        <v>60</v>
      </c>
      <c r="K9" t="s">
        <v>265</v>
      </c>
    </row>
    <row r="10" spans="2:13" x14ac:dyDescent="0.3">
      <c r="B10" s="17" t="s">
        <v>267</v>
      </c>
      <c r="C10" s="20">
        <v>60</v>
      </c>
      <c r="K10" t="s">
        <v>266</v>
      </c>
    </row>
    <row r="11" spans="2:13" x14ac:dyDescent="0.3">
      <c r="B11" s="17" t="s">
        <v>268</v>
      </c>
      <c r="C11" s="20">
        <v>60</v>
      </c>
      <c r="K11" t="s">
        <v>267</v>
      </c>
    </row>
    <row r="12" spans="2:13" x14ac:dyDescent="0.3">
      <c r="B12" s="17" t="s">
        <v>269</v>
      </c>
      <c r="C12" s="20"/>
      <c r="K12" t="s">
        <v>268</v>
      </c>
    </row>
    <row r="13" spans="2:13" x14ac:dyDescent="0.3">
      <c r="B13" s="17" t="s">
        <v>50</v>
      </c>
      <c r="C13" s="20">
        <v>370</v>
      </c>
      <c r="K13" t="s">
        <v>269</v>
      </c>
      <c r="M13" s="20"/>
    </row>
    <row r="14" spans="2:13" x14ac:dyDescent="0.3">
      <c r="K14" t="s">
        <v>187</v>
      </c>
      <c r="L14">
        <f>SUBTOTAL(109,Table1[R&amp;D])</f>
        <v>0</v>
      </c>
      <c r="M14">
        <f>SUBTOTAL(109,Table1[Total])</f>
        <v>0</v>
      </c>
    </row>
  </sheetData>
  <pageMargins left="0.7" right="0.7" top="0.75" bottom="0.75" header="0.3" footer="0.3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showGridLines="0" workbookViewId="0">
      <selection activeCell="B3" sqref="B3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16"/>
  <sheetViews>
    <sheetView workbookViewId="0"/>
  </sheetViews>
  <sheetFormatPr defaultRowHeight="14.4" x14ac:dyDescent="0.3"/>
  <cols>
    <col min="1" max="1" width="11.5546875" customWidth="1"/>
    <col min="2" max="2" width="11.44140625" customWidth="1"/>
    <col min="4" max="4" width="12.5546875" bestFit="1" customWidth="1"/>
    <col min="5" max="5" width="17.77734375" bestFit="1" customWidth="1"/>
  </cols>
  <sheetData>
    <row r="1" spans="1:5" x14ac:dyDescent="0.3">
      <c r="A1" s="31" t="s">
        <v>143</v>
      </c>
      <c r="B1" t="str">
        <f>$E$2</f>
        <v>Wavelength1</v>
      </c>
      <c r="D1" s="16" t="s">
        <v>9</v>
      </c>
      <c r="E1" t="s">
        <v>153</v>
      </c>
    </row>
    <row r="2" spans="1:5" x14ac:dyDescent="0.3">
      <c r="D2" s="16" t="s">
        <v>141</v>
      </c>
      <c r="E2" t="s">
        <v>271</v>
      </c>
    </row>
    <row r="3" spans="1:5" x14ac:dyDescent="0.3">
      <c r="D3" s="16" t="s">
        <v>247</v>
      </c>
      <c r="E3" t="s">
        <v>218</v>
      </c>
    </row>
    <row r="5" spans="1:5" x14ac:dyDescent="0.3">
      <c r="D5" s="16" t="s">
        <v>140</v>
      </c>
      <c r="E5" t="s">
        <v>144</v>
      </c>
    </row>
    <row r="6" spans="1:5" x14ac:dyDescent="0.3">
      <c r="D6" s="17" t="s">
        <v>151</v>
      </c>
      <c r="E6" s="20">
        <v>1</v>
      </c>
    </row>
    <row r="7" spans="1:5" x14ac:dyDescent="0.3">
      <c r="D7" s="17" t="s">
        <v>149</v>
      </c>
      <c r="E7" s="20">
        <v>1</v>
      </c>
    </row>
    <row r="8" spans="1:5" x14ac:dyDescent="0.3">
      <c r="D8" s="17" t="s">
        <v>148</v>
      </c>
      <c r="E8" s="20">
        <v>1</v>
      </c>
    </row>
    <row r="9" spans="1:5" x14ac:dyDescent="0.3">
      <c r="D9" s="17" t="s">
        <v>175</v>
      </c>
      <c r="E9" s="20">
        <v>1</v>
      </c>
    </row>
    <row r="10" spans="1:5" x14ac:dyDescent="0.3">
      <c r="D10" s="17" t="s">
        <v>147</v>
      </c>
      <c r="E10" s="20">
        <v>1</v>
      </c>
    </row>
    <row r="11" spans="1:5" x14ac:dyDescent="0.3">
      <c r="D11" s="17" t="s">
        <v>150</v>
      </c>
      <c r="E11" s="20">
        <v>1</v>
      </c>
    </row>
    <row r="12" spans="1:5" x14ac:dyDescent="0.3">
      <c r="D12" s="17" t="s">
        <v>184</v>
      </c>
      <c r="E12" s="20">
        <v>20</v>
      </c>
    </row>
    <row r="13" spans="1:5" x14ac:dyDescent="0.3">
      <c r="D13" s="17" t="s">
        <v>50</v>
      </c>
      <c r="E13" s="20">
        <v>26</v>
      </c>
    </row>
    <row r="15" spans="1:5" x14ac:dyDescent="0.3">
      <c r="D15" t="s">
        <v>50</v>
      </c>
      <c r="E15">
        <f>GETPIVOTDATA("Story Points", $D$5)</f>
        <v>26</v>
      </c>
    </row>
    <row r="16" spans="1:5" x14ac:dyDescent="0.3">
      <c r="D16" t="s">
        <v>252</v>
      </c>
      <c r="E16" t="str">
        <f>"Sprint " &amp; SUBSTITUTE($B$1,"Venus", "") &amp; " Progress"</f>
        <v>Sprint Wavelength1 Progress</v>
      </c>
    </row>
  </sheetData>
  <pageMargins left="0.7" right="0.7" top="0.75" bottom="0.75" header="0.3" footer="0.3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"/>
  <sheetViews>
    <sheetView showGridLines="0" workbookViewId="0">
      <selection activeCell="B5" sqref="B5"/>
    </sheetView>
  </sheetViews>
  <sheetFormatPr defaultRowHeight="14.4" x14ac:dyDescent="0.3"/>
  <cols>
    <col min="9" max="9" width="12.109375" bestFit="1" customWidth="1"/>
    <col min="10" max="10" width="15.6640625" bestFit="1" customWidth="1"/>
    <col min="11" max="11" width="4.44140625" bestFit="1" customWidth="1"/>
    <col min="12" max="12" width="7.5546875" bestFit="1" customWidth="1"/>
    <col min="13" max="13" width="4.109375" bestFit="1" customWidth="1"/>
    <col min="14" max="14" width="6.5546875" bestFit="1" customWidth="1"/>
    <col min="15" max="15" width="10.21875" bestFit="1" customWidth="1"/>
  </cols>
  <sheetData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37"/>
  <sheetViews>
    <sheetView workbookViewId="0"/>
  </sheetViews>
  <sheetFormatPr defaultRowHeight="14.4" x14ac:dyDescent="0.3"/>
  <cols>
    <col min="2" max="2" width="13.109375" bestFit="1" customWidth="1"/>
    <col min="3" max="3" width="16.109375" bestFit="1" customWidth="1"/>
    <col min="5" max="5" width="12.109375" bestFit="1" customWidth="1"/>
    <col min="6" max="6" width="8" customWidth="1"/>
    <col min="7" max="7" width="10.21875" bestFit="1" customWidth="1"/>
  </cols>
  <sheetData>
    <row r="1" spans="1:7" x14ac:dyDescent="0.3">
      <c r="A1" t="s">
        <v>154</v>
      </c>
    </row>
    <row r="2" spans="1:7" x14ac:dyDescent="0.3">
      <c r="A2" t="s">
        <v>161</v>
      </c>
      <c r="G2" t="s">
        <v>251</v>
      </c>
    </row>
    <row r="3" spans="1:7" x14ac:dyDescent="0.3">
      <c r="G3" t="s">
        <v>249</v>
      </c>
    </row>
    <row r="4" spans="1:7" x14ac:dyDescent="0.3">
      <c r="B4" s="16" t="s">
        <v>135</v>
      </c>
      <c r="C4" t="s">
        <v>262</v>
      </c>
    </row>
    <row r="5" spans="1:7" x14ac:dyDescent="0.3">
      <c r="B5" s="16" t="s">
        <v>9</v>
      </c>
      <c r="C5" t="s">
        <v>66</v>
      </c>
    </row>
    <row r="6" spans="1:7" x14ac:dyDescent="0.3">
      <c r="B6" s="16" t="s">
        <v>113</v>
      </c>
      <c r="C6" t="s">
        <v>177</v>
      </c>
    </row>
    <row r="7" spans="1:7" x14ac:dyDescent="0.3">
      <c r="B7" s="16" t="s">
        <v>0</v>
      </c>
      <c r="C7" t="s">
        <v>153</v>
      </c>
    </row>
    <row r="9" spans="1:7" x14ac:dyDescent="0.3">
      <c r="B9" s="16" t="s">
        <v>140</v>
      </c>
      <c r="C9" t="s">
        <v>160</v>
      </c>
    </row>
    <row r="10" spans="1:7" x14ac:dyDescent="0.3">
      <c r="B10" s="17" t="s">
        <v>155</v>
      </c>
      <c r="C10" s="20">
        <v>1</v>
      </c>
    </row>
    <row r="11" spans="1:7" x14ac:dyDescent="0.3">
      <c r="B11" s="17" t="s">
        <v>156</v>
      </c>
      <c r="C11" s="20">
        <v>1</v>
      </c>
    </row>
    <row r="12" spans="1:7" x14ac:dyDescent="0.3">
      <c r="B12" s="17" t="s">
        <v>157</v>
      </c>
      <c r="C12" s="20">
        <v>1</v>
      </c>
    </row>
    <row r="13" spans="1:7" x14ac:dyDescent="0.3">
      <c r="B13" s="17" t="s">
        <v>158</v>
      </c>
      <c r="C13" s="20">
        <v>1</v>
      </c>
    </row>
    <row r="14" spans="1:7" x14ac:dyDescent="0.3">
      <c r="B14" s="17" t="s">
        <v>159</v>
      </c>
      <c r="C14" s="20">
        <v>1</v>
      </c>
    </row>
    <row r="15" spans="1:7" x14ac:dyDescent="0.3">
      <c r="B15" s="17" t="s">
        <v>50</v>
      </c>
      <c r="C15" s="20">
        <v>5</v>
      </c>
    </row>
    <row r="18" spans="2:3" x14ac:dyDescent="0.3">
      <c r="B18" s="17" t="s">
        <v>50</v>
      </c>
      <c r="C18">
        <f>GETPIVOTDATA("Key", $B$9)</f>
        <v>5</v>
      </c>
    </row>
    <row r="24" spans="2:3" x14ac:dyDescent="0.3">
      <c r="B24" s="16" t="s">
        <v>135</v>
      </c>
      <c r="C24" t="s">
        <v>262</v>
      </c>
    </row>
    <row r="25" spans="2:3" x14ac:dyDescent="0.3">
      <c r="B25" s="16" t="s">
        <v>9</v>
      </c>
      <c r="C25" t="s">
        <v>66</v>
      </c>
    </row>
    <row r="26" spans="2:3" x14ac:dyDescent="0.3">
      <c r="B26" s="16" t="s">
        <v>113</v>
      </c>
      <c r="C26" t="s">
        <v>177</v>
      </c>
    </row>
    <row r="27" spans="2:3" x14ac:dyDescent="0.3">
      <c r="B27" s="16" t="s">
        <v>0</v>
      </c>
      <c r="C27" t="s">
        <v>81</v>
      </c>
    </row>
    <row r="29" spans="2:3" x14ac:dyDescent="0.3">
      <c r="B29" s="16" t="s">
        <v>140</v>
      </c>
      <c r="C29" t="s">
        <v>160</v>
      </c>
    </row>
    <row r="30" spans="2:3" x14ac:dyDescent="0.3">
      <c r="B30" s="17" t="s">
        <v>263</v>
      </c>
      <c r="C30" s="20">
        <v>1</v>
      </c>
    </row>
    <row r="31" spans="2:3" x14ac:dyDescent="0.3">
      <c r="B31" s="17" t="s">
        <v>264</v>
      </c>
      <c r="C31" s="20"/>
    </row>
    <row r="32" spans="2:3" x14ac:dyDescent="0.3">
      <c r="B32" s="17" t="s">
        <v>265</v>
      </c>
      <c r="C32" s="20"/>
    </row>
    <row r="33" spans="2:3" x14ac:dyDescent="0.3">
      <c r="B33" s="17" t="s">
        <v>266</v>
      </c>
      <c r="C33" s="20">
        <v>1</v>
      </c>
    </row>
    <row r="34" spans="2:3" x14ac:dyDescent="0.3">
      <c r="B34" s="17" t="s">
        <v>267</v>
      </c>
      <c r="C34" s="20"/>
    </row>
    <row r="35" spans="2:3" x14ac:dyDescent="0.3">
      <c r="B35" s="17" t="s">
        <v>268</v>
      </c>
      <c r="C35" s="20"/>
    </row>
    <row r="36" spans="2:3" x14ac:dyDescent="0.3">
      <c r="B36" s="17" t="s">
        <v>269</v>
      </c>
      <c r="C36" s="20"/>
    </row>
    <row r="37" spans="2:3" x14ac:dyDescent="0.3">
      <c r="B37" s="17" t="s">
        <v>50</v>
      </c>
      <c r="C37" s="20">
        <v>2</v>
      </c>
    </row>
  </sheetData>
  <pageMargins left="0.7" right="0.7" top="0.75" bottom="0.75" header="0.3" footer="0.3"/>
  <pageSetup orientation="portrait"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7"/>
  <dimension ref="A1:AV105"/>
  <sheetViews>
    <sheetView zoomScale="90" zoomScaleNormal="90" workbookViewId="0">
      <pane ySplit="1" topLeftCell="A2" activePane="bottomLeft" state="frozen"/>
      <selection activeCell="C3" sqref="C3"/>
      <selection pane="bottomLeft"/>
    </sheetView>
  </sheetViews>
  <sheetFormatPr defaultColWidth="9.109375" defaultRowHeight="14.4" x14ac:dyDescent="0.3"/>
  <cols>
    <col min="1" max="1" width="11.21875" style="3" customWidth="1"/>
    <col min="2" max="2" width="9.77734375" style="3" customWidth="1"/>
    <col min="3" max="3" width="38.5546875" style="4" customWidth="1"/>
    <col min="4" max="4" width="23.44140625" style="4" customWidth="1"/>
    <col min="5" max="5" width="18.88671875" style="3" customWidth="1"/>
    <col min="6" max="6" width="18.88671875" style="5" customWidth="1"/>
    <col min="7" max="7" width="24.109375" style="3" customWidth="1"/>
    <col min="8" max="8" width="23.77734375" style="5" customWidth="1"/>
    <col min="9" max="9" width="20.88671875" style="5" customWidth="1"/>
    <col min="10" max="10" width="17.77734375" style="3" customWidth="1"/>
    <col min="11" max="11" width="17.77734375" style="5" customWidth="1"/>
    <col min="12" max="12" width="18.88671875" style="5" customWidth="1"/>
    <col min="13" max="13" width="16.88671875" style="3" customWidth="1"/>
    <col min="14" max="14" width="16.88671875" style="5" customWidth="1"/>
    <col min="15" max="15" width="16.21875" style="5" customWidth="1"/>
    <col min="16" max="16" width="16.88671875" style="5" customWidth="1"/>
    <col min="17" max="17" width="21.109375" style="5" customWidth="1"/>
    <col min="18" max="18" width="19.88671875" style="5" customWidth="1"/>
    <col min="19" max="19" width="19.21875" style="5" customWidth="1"/>
    <col min="20" max="20" width="12.88671875" style="5" customWidth="1"/>
    <col min="21" max="21" width="27.77734375" style="5" customWidth="1"/>
    <col min="22" max="22" width="13.21875" style="5" customWidth="1"/>
    <col min="23" max="23" width="17.21875" style="5" customWidth="1"/>
    <col min="24" max="24" width="13.21875" style="5" customWidth="1"/>
    <col min="25" max="25" width="18.109375" style="5" customWidth="1"/>
    <col min="26" max="26" width="16.88671875" style="5" customWidth="1"/>
    <col min="27" max="27" width="23.6640625" style="5" customWidth="1"/>
    <col min="28" max="28" width="29.21875" style="5" customWidth="1"/>
    <col min="29" max="29" width="20.44140625" style="5" customWidth="1"/>
    <col min="30" max="30" width="22.109375" style="5" customWidth="1"/>
    <col min="31" max="31" width="14.109375" style="5" customWidth="1"/>
    <col min="32" max="32" width="12.44140625" style="5" customWidth="1"/>
    <col min="33" max="33" width="22.109375" style="5" customWidth="1"/>
    <col min="34" max="34" width="13.5546875" style="5" customWidth="1"/>
    <col min="35" max="35" width="12.109375" style="5" customWidth="1"/>
    <col min="36" max="36" width="20.21875" style="5" customWidth="1"/>
    <col min="37" max="38" width="16.77734375" style="5" customWidth="1"/>
    <col min="39" max="39" width="18.88671875" style="5" customWidth="1"/>
    <col min="40" max="40" width="17.77734375" style="5" customWidth="1"/>
    <col min="41" max="41" width="18.33203125" style="5" customWidth="1"/>
    <col min="42" max="42" width="21.5546875" style="5" customWidth="1"/>
    <col min="43" max="43" width="19.88671875" style="5" customWidth="1"/>
    <col min="44" max="44" width="18.77734375" style="5" customWidth="1"/>
    <col min="45" max="45" width="20.6640625" style="5" customWidth="1"/>
    <col min="46" max="46" width="11.88671875" style="5" customWidth="1"/>
    <col min="47" max="47" width="13.77734375" style="5" customWidth="1"/>
    <col min="48" max="16384" width="9.109375" style="3"/>
  </cols>
  <sheetData>
    <row r="1" spans="1:48" x14ac:dyDescent="0.3">
      <c r="A1" s="1" t="s">
        <v>7</v>
      </c>
      <c r="B1" s="1" t="s">
        <v>9</v>
      </c>
      <c r="C1" s="7" t="s">
        <v>2</v>
      </c>
      <c r="D1" s="7" t="s">
        <v>45</v>
      </c>
      <c r="E1" s="2" t="s">
        <v>0</v>
      </c>
      <c r="F1" s="2" t="s">
        <v>14</v>
      </c>
      <c r="G1" s="2" t="s">
        <v>1</v>
      </c>
      <c r="H1" s="2" t="s">
        <v>12</v>
      </c>
      <c r="I1" s="2" t="s">
        <v>25</v>
      </c>
      <c r="J1" s="2" t="s">
        <v>5</v>
      </c>
      <c r="K1" s="2" t="s">
        <v>20</v>
      </c>
      <c r="L1" s="2" t="s">
        <v>16</v>
      </c>
      <c r="M1" s="2" t="s">
        <v>8</v>
      </c>
      <c r="N1" s="1" t="s">
        <v>22</v>
      </c>
      <c r="O1" s="1" t="s">
        <v>27</v>
      </c>
      <c r="P1" s="1" t="s">
        <v>28</v>
      </c>
      <c r="Q1" s="1" t="s">
        <v>29</v>
      </c>
      <c r="R1" s="1" t="s">
        <v>39</v>
      </c>
      <c r="S1" s="1" t="s">
        <v>38</v>
      </c>
      <c r="T1" s="1" t="s">
        <v>37</v>
      </c>
      <c r="U1" s="1" t="s">
        <v>34</v>
      </c>
      <c r="V1" s="1" t="s">
        <v>33</v>
      </c>
      <c r="W1" s="1" t="s">
        <v>117</v>
      </c>
      <c r="X1" s="1" t="s">
        <v>21</v>
      </c>
      <c r="Y1" s="1" t="s">
        <v>120</v>
      </c>
      <c r="Z1" s="1" t="s">
        <v>126</v>
      </c>
      <c r="AA1" s="1" t="s">
        <v>128</v>
      </c>
      <c r="AB1" s="1" t="s">
        <v>130</v>
      </c>
      <c r="AC1" s="1" t="s">
        <v>132</v>
      </c>
      <c r="AD1" s="1" t="s">
        <v>134</v>
      </c>
      <c r="AE1" s="1" t="s">
        <v>141</v>
      </c>
      <c r="AF1" s="1" t="s">
        <v>163</v>
      </c>
      <c r="AG1" s="1" t="s">
        <v>135</v>
      </c>
      <c r="AH1" s="1" t="s">
        <v>43</v>
      </c>
      <c r="AI1" s="1" t="s">
        <v>145</v>
      </c>
      <c r="AJ1" s="1" t="s">
        <v>282</v>
      </c>
      <c r="AK1" s="1" t="s">
        <v>44</v>
      </c>
      <c r="AL1" s="1" t="s">
        <v>113</v>
      </c>
      <c r="AM1" s="1" t="s">
        <v>114</v>
      </c>
      <c r="AN1" s="1" t="s">
        <v>170</v>
      </c>
      <c r="AO1" s="1" t="s">
        <v>169</v>
      </c>
      <c r="AP1" s="1" t="s">
        <v>171</v>
      </c>
      <c r="AQ1" s="1" t="s">
        <v>122</v>
      </c>
      <c r="AR1" s="1" t="s">
        <v>48</v>
      </c>
      <c r="AS1" s="1" t="s">
        <v>238</v>
      </c>
      <c r="AT1" s="1" t="s">
        <v>247</v>
      </c>
      <c r="AU1" s="1" t="s">
        <v>217</v>
      </c>
      <c r="AV1" s="3" t="s">
        <v>258</v>
      </c>
    </row>
    <row r="2" spans="1:48" s="5" customFormat="1" ht="86.4" x14ac:dyDescent="0.3">
      <c r="A2" s="6" t="s">
        <v>61</v>
      </c>
      <c r="B2" s="5" t="s">
        <v>60</v>
      </c>
      <c r="C2" s="8" t="s">
        <v>10</v>
      </c>
      <c r="D2" s="5" t="s">
        <v>24</v>
      </c>
      <c r="E2" s="5" t="s">
        <v>4</v>
      </c>
      <c r="F2" s="4" t="s">
        <v>15</v>
      </c>
      <c r="G2" s="5" t="s">
        <v>3</v>
      </c>
      <c r="H2" s="5" t="s">
        <v>13</v>
      </c>
      <c r="I2" s="5" t="s">
        <v>26</v>
      </c>
      <c r="J2" s="9" t="s">
        <v>6</v>
      </c>
      <c r="K2" s="9" t="s">
        <v>19</v>
      </c>
      <c r="L2" s="4" t="s">
        <v>17</v>
      </c>
      <c r="M2" s="5" t="s">
        <v>18</v>
      </c>
      <c r="N2" s="5" t="s">
        <v>23</v>
      </c>
      <c r="O2" s="11" t="s">
        <v>32</v>
      </c>
      <c r="P2" s="5" t="s">
        <v>31</v>
      </c>
      <c r="Q2" s="5" t="s">
        <v>30</v>
      </c>
      <c r="R2" s="13" t="s">
        <v>40</v>
      </c>
      <c r="S2" s="13" t="s">
        <v>41</v>
      </c>
      <c r="T2" s="13" t="s">
        <v>36</v>
      </c>
      <c r="U2" s="12" t="s">
        <v>47</v>
      </c>
      <c r="V2" s="5" t="s">
        <v>35</v>
      </c>
      <c r="W2" s="11" t="s">
        <v>118</v>
      </c>
      <c r="X2" s="10" t="s">
        <v>42</v>
      </c>
      <c r="Y2" s="10" t="s">
        <v>121</v>
      </c>
      <c r="Z2" s="11" t="s">
        <v>127</v>
      </c>
      <c r="AA2" s="11" t="s">
        <v>129</v>
      </c>
      <c r="AB2" s="11" t="s">
        <v>131</v>
      </c>
      <c r="AC2" s="15" t="s">
        <v>133</v>
      </c>
      <c r="AD2" s="15" t="s">
        <v>121</v>
      </c>
      <c r="AE2" s="15" t="s">
        <v>142</v>
      </c>
      <c r="AF2" s="15" t="s">
        <v>270</v>
      </c>
      <c r="AG2" s="15" t="s">
        <v>136</v>
      </c>
      <c r="AH2" s="10" t="s">
        <v>46</v>
      </c>
      <c r="AI2" s="10" t="s">
        <v>146</v>
      </c>
      <c r="AJ2" s="10" t="s">
        <v>259</v>
      </c>
      <c r="AK2" s="14" t="s">
        <v>49</v>
      </c>
      <c r="AL2" s="14" t="s">
        <v>116</v>
      </c>
      <c r="AM2" s="14" t="s">
        <v>115</v>
      </c>
      <c r="AN2" s="11" t="s">
        <v>164</v>
      </c>
      <c r="AO2" s="11" t="s">
        <v>165</v>
      </c>
      <c r="AP2" s="11" t="s">
        <v>166</v>
      </c>
      <c r="AQ2" s="15" t="s">
        <v>123</v>
      </c>
      <c r="AR2" s="15" t="s">
        <v>216</v>
      </c>
      <c r="AS2" s="15" t="s">
        <v>239</v>
      </c>
      <c r="AT2" s="15" t="s">
        <v>248</v>
      </c>
      <c r="AU2" s="15" t="s">
        <v>220</v>
      </c>
      <c r="AV2" s="5" t="s">
        <v>11</v>
      </c>
    </row>
    <row r="3" spans="1:48" x14ac:dyDescent="0.3">
      <c r="A3" s="3" t="s">
        <v>54</v>
      </c>
    </row>
    <row r="4" spans="1:48" x14ac:dyDescent="0.3">
      <c r="A4" s="5" t="s">
        <v>51</v>
      </c>
      <c r="B4" s="3" t="s">
        <v>62</v>
      </c>
      <c r="D4" s="4" t="s">
        <v>223</v>
      </c>
      <c r="E4" s="19" t="s">
        <v>86</v>
      </c>
      <c r="V4" s="4" t="s">
        <v>223</v>
      </c>
      <c r="W4" s="4"/>
      <c r="AE4" s="5" t="s">
        <v>271</v>
      </c>
      <c r="AG4" s="5" t="s">
        <v>257</v>
      </c>
      <c r="AI4" s="5" t="s">
        <v>147</v>
      </c>
      <c r="AJ4" s="10" t="s">
        <v>260</v>
      </c>
      <c r="AL4" s="4" t="s">
        <v>223</v>
      </c>
      <c r="AM4" s="4" t="s">
        <v>223</v>
      </c>
      <c r="AN4" s="4"/>
      <c r="AO4" s="4"/>
      <c r="AP4" s="4"/>
      <c r="AQ4" s="4"/>
      <c r="AT4" s="5" t="s">
        <v>218</v>
      </c>
    </row>
    <row r="5" spans="1:48" ht="27.6" x14ac:dyDescent="0.3">
      <c r="A5" s="5" t="s">
        <v>51</v>
      </c>
      <c r="B5" s="5" t="s">
        <v>65</v>
      </c>
      <c r="D5" s="4" t="s">
        <v>223</v>
      </c>
      <c r="E5" s="19" t="s">
        <v>87</v>
      </c>
      <c r="G5" s="5"/>
      <c r="J5" s="5"/>
      <c r="N5" s="5">
        <v>5</v>
      </c>
      <c r="V5" s="4" t="s">
        <v>223</v>
      </c>
      <c r="W5" s="4"/>
      <c r="AE5" s="5" t="s">
        <v>272</v>
      </c>
      <c r="AI5" s="5" t="s">
        <v>175</v>
      </c>
      <c r="AJ5" s="10" t="s">
        <v>255</v>
      </c>
      <c r="AL5" s="4" t="s">
        <v>223</v>
      </c>
      <c r="AM5" s="4" t="s">
        <v>223</v>
      </c>
      <c r="AN5" s="4"/>
      <c r="AO5" s="4"/>
      <c r="AP5" s="4"/>
      <c r="AQ5" s="4"/>
      <c r="AT5" s="5" t="s">
        <v>218</v>
      </c>
      <c r="AU5" s="5" t="s">
        <v>218</v>
      </c>
    </row>
    <row r="6" spans="1:48" x14ac:dyDescent="0.3">
      <c r="A6" s="3" t="s">
        <v>51</v>
      </c>
      <c r="B6" s="5" t="s">
        <v>63</v>
      </c>
      <c r="C6" s="18" t="s">
        <v>59</v>
      </c>
      <c r="D6" s="4" t="s">
        <v>223</v>
      </c>
      <c r="E6" s="19" t="s">
        <v>88</v>
      </c>
      <c r="N6" s="5">
        <v>10</v>
      </c>
      <c r="V6" s="4" t="s">
        <v>223</v>
      </c>
      <c r="W6" s="4"/>
      <c r="AE6" s="5" t="s">
        <v>273</v>
      </c>
      <c r="AI6" s="5" t="s">
        <v>148</v>
      </c>
      <c r="AJ6" s="5" t="s">
        <v>261</v>
      </c>
      <c r="AL6" s="4" t="s">
        <v>223</v>
      </c>
      <c r="AM6" s="4" t="s">
        <v>223</v>
      </c>
      <c r="AN6" s="4"/>
      <c r="AO6" s="4"/>
      <c r="AP6" s="4"/>
      <c r="AQ6" s="4"/>
      <c r="AT6" s="5" t="s">
        <v>218</v>
      </c>
      <c r="AU6" s="5" t="s">
        <v>218</v>
      </c>
    </row>
    <row r="7" spans="1:48" x14ac:dyDescent="0.3">
      <c r="A7" s="5" t="s">
        <v>51</v>
      </c>
      <c r="B7" s="5" t="s">
        <v>64</v>
      </c>
      <c r="D7" s="4" t="s">
        <v>223</v>
      </c>
      <c r="E7" s="19" t="s">
        <v>89</v>
      </c>
      <c r="N7" s="5">
        <v>20</v>
      </c>
      <c r="V7" s="4" t="s">
        <v>223</v>
      </c>
      <c r="W7" s="4"/>
      <c r="AE7" s="5" t="s">
        <v>274</v>
      </c>
      <c r="AI7" s="5" t="s">
        <v>149</v>
      </c>
      <c r="AJ7" s="5" t="s">
        <v>58</v>
      </c>
      <c r="AL7" s="4" t="s">
        <v>223</v>
      </c>
      <c r="AM7" s="4" t="s">
        <v>223</v>
      </c>
      <c r="AN7" s="4"/>
      <c r="AO7" s="4"/>
      <c r="AP7" s="4"/>
      <c r="AQ7" s="4"/>
      <c r="AU7" s="5" t="s">
        <v>218</v>
      </c>
    </row>
    <row r="8" spans="1:48" ht="27.6" x14ac:dyDescent="0.3">
      <c r="A8" s="5" t="s">
        <v>51</v>
      </c>
      <c r="B8" s="5" t="s">
        <v>66</v>
      </c>
      <c r="D8" s="4" t="s">
        <v>223</v>
      </c>
      <c r="E8" s="19" t="s">
        <v>90</v>
      </c>
      <c r="V8" s="4" t="s">
        <v>223</v>
      </c>
      <c r="W8" s="4"/>
      <c r="AE8" s="5" t="s">
        <v>275</v>
      </c>
      <c r="AI8" s="5" t="s">
        <v>151</v>
      </c>
      <c r="AJ8" s="10" t="s">
        <v>185</v>
      </c>
      <c r="AL8" s="4" t="s">
        <v>223</v>
      </c>
      <c r="AM8" s="4" t="s">
        <v>223</v>
      </c>
      <c r="AN8" s="4"/>
      <c r="AO8" s="4"/>
      <c r="AP8" s="4"/>
      <c r="AQ8" s="4"/>
      <c r="AT8" s="5" t="s">
        <v>218</v>
      </c>
      <c r="AU8" s="5" t="s">
        <v>219</v>
      </c>
    </row>
    <row r="9" spans="1:48" x14ac:dyDescent="0.3">
      <c r="A9" s="5" t="s">
        <v>51</v>
      </c>
      <c r="B9" s="5" t="s">
        <v>58</v>
      </c>
      <c r="D9" s="4" t="s">
        <v>57</v>
      </c>
      <c r="E9" s="19" t="s">
        <v>91</v>
      </c>
      <c r="V9" s="4" t="s">
        <v>57</v>
      </c>
      <c r="W9" s="4"/>
      <c r="AE9" s="5" t="s">
        <v>276</v>
      </c>
      <c r="AI9" s="5" t="s">
        <v>150</v>
      </c>
      <c r="AJ9" s="10" t="s">
        <v>186</v>
      </c>
      <c r="AL9" s="4" t="s">
        <v>57</v>
      </c>
      <c r="AM9" s="4" t="s">
        <v>57</v>
      </c>
      <c r="AN9" s="4"/>
      <c r="AO9" s="4"/>
      <c r="AP9" s="4"/>
      <c r="AQ9" s="4"/>
      <c r="AT9" s="5" t="s">
        <v>218</v>
      </c>
      <c r="AU9" s="5" t="s">
        <v>219</v>
      </c>
    </row>
    <row r="10" spans="1:48" x14ac:dyDescent="0.3">
      <c r="A10" s="5" t="s">
        <v>51</v>
      </c>
      <c r="B10" s="5" t="s">
        <v>58</v>
      </c>
      <c r="D10" s="4" t="s">
        <v>223</v>
      </c>
      <c r="E10" s="19" t="s">
        <v>92</v>
      </c>
      <c r="V10" s="4" t="s">
        <v>223</v>
      </c>
      <c r="W10" s="4"/>
      <c r="AE10" s="5" t="s">
        <v>277</v>
      </c>
      <c r="AI10" s="5" t="s">
        <v>152</v>
      </c>
      <c r="AL10" s="4" t="s">
        <v>223</v>
      </c>
      <c r="AM10" s="4" t="s">
        <v>223</v>
      </c>
      <c r="AN10" s="4"/>
      <c r="AO10" s="4"/>
      <c r="AP10" s="4"/>
      <c r="AQ10" s="4"/>
      <c r="AT10" s="5" t="s">
        <v>218</v>
      </c>
      <c r="AU10" s="5" t="s">
        <v>219</v>
      </c>
    </row>
    <row r="11" spans="1:48" x14ac:dyDescent="0.3">
      <c r="A11" s="5" t="s">
        <v>51</v>
      </c>
      <c r="B11" s="5" t="s">
        <v>58</v>
      </c>
      <c r="D11" s="4" t="s">
        <v>223</v>
      </c>
      <c r="E11" s="19" t="s">
        <v>93</v>
      </c>
      <c r="V11" s="4" t="s">
        <v>223</v>
      </c>
      <c r="W11" s="4"/>
      <c r="AE11" s="5" t="s">
        <v>272</v>
      </c>
      <c r="AL11" s="4" t="s">
        <v>223</v>
      </c>
      <c r="AM11" s="4" t="s">
        <v>223</v>
      </c>
      <c r="AN11" s="4"/>
      <c r="AO11" s="4"/>
      <c r="AP11" s="4"/>
      <c r="AQ11" s="4"/>
      <c r="AT11" s="5" t="s">
        <v>218</v>
      </c>
    </row>
    <row r="12" spans="1:48" x14ac:dyDescent="0.3">
      <c r="A12" s="5" t="s">
        <v>51</v>
      </c>
      <c r="B12" s="5" t="s">
        <v>58</v>
      </c>
      <c r="D12" s="4" t="s">
        <v>58</v>
      </c>
      <c r="E12" s="19" t="s">
        <v>94</v>
      </c>
      <c r="V12" s="4" t="s">
        <v>58</v>
      </c>
      <c r="W12" s="4"/>
      <c r="AE12" s="5" t="s">
        <v>273</v>
      </c>
      <c r="AF12" s="5" t="s">
        <v>263</v>
      </c>
      <c r="AL12" s="4" t="s">
        <v>58</v>
      </c>
      <c r="AM12" s="4" t="s">
        <v>58</v>
      </c>
      <c r="AN12" s="4"/>
      <c r="AO12" s="4"/>
      <c r="AP12" s="4"/>
      <c r="AQ12" s="4"/>
      <c r="AT12" s="5" t="s">
        <v>218</v>
      </c>
    </row>
    <row r="13" spans="1:48" x14ac:dyDescent="0.3">
      <c r="A13" s="5" t="s">
        <v>51</v>
      </c>
      <c r="B13" s="5"/>
      <c r="D13" s="4" t="s">
        <v>223</v>
      </c>
      <c r="E13" s="19" t="s">
        <v>95</v>
      </c>
      <c r="V13" s="4" t="s">
        <v>223</v>
      </c>
      <c r="W13" s="4"/>
      <c r="AE13" s="5" t="s">
        <v>274</v>
      </c>
      <c r="AF13" s="5" t="s">
        <v>264</v>
      </c>
      <c r="AL13" s="4"/>
      <c r="AM13" s="4"/>
      <c r="AN13" s="4"/>
      <c r="AO13" s="4"/>
      <c r="AP13" s="4"/>
      <c r="AQ13" s="4"/>
      <c r="AT13" s="5" t="s">
        <v>218</v>
      </c>
    </row>
    <row r="14" spans="1:48" x14ac:dyDescent="0.3">
      <c r="A14" s="5" t="s">
        <v>51</v>
      </c>
      <c r="B14" s="5" t="s">
        <v>65</v>
      </c>
      <c r="D14" s="4" t="s">
        <v>223</v>
      </c>
      <c r="E14" s="19" t="s">
        <v>96</v>
      </c>
      <c r="N14" s="5">
        <v>20</v>
      </c>
      <c r="V14" s="4" t="s">
        <v>223</v>
      </c>
      <c r="W14" s="4"/>
      <c r="AE14" s="5" t="s">
        <v>275</v>
      </c>
      <c r="AF14" s="5" t="s">
        <v>265</v>
      </c>
      <c r="AL14" s="4"/>
      <c r="AM14" s="4"/>
      <c r="AN14" s="4"/>
      <c r="AO14" s="4"/>
      <c r="AP14" s="4"/>
      <c r="AQ14" s="4"/>
      <c r="AT14" s="5" t="s">
        <v>218</v>
      </c>
      <c r="AU14" s="5" t="s">
        <v>218</v>
      </c>
    </row>
    <row r="15" spans="1:48" ht="27.6" x14ac:dyDescent="0.3">
      <c r="A15" s="5" t="s">
        <v>51</v>
      </c>
      <c r="B15" s="5"/>
      <c r="D15" s="4" t="s">
        <v>223</v>
      </c>
      <c r="E15" s="19" t="s">
        <v>97</v>
      </c>
      <c r="V15" s="4" t="s">
        <v>223</v>
      </c>
      <c r="W15" s="4"/>
      <c r="AE15" s="5" t="s">
        <v>276</v>
      </c>
      <c r="AF15" s="5" t="s">
        <v>266</v>
      </c>
      <c r="AL15" s="4"/>
      <c r="AM15" s="4"/>
      <c r="AN15" s="4"/>
      <c r="AO15" s="4"/>
      <c r="AP15" s="4"/>
      <c r="AQ15" s="4"/>
      <c r="AT15" s="5" t="s">
        <v>218</v>
      </c>
    </row>
    <row r="16" spans="1:48" x14ac:dyDescent="0.3">
      <c r="A16" s="5" t="s">
        <v>51</v>
      </c>
      <c r="B16" s="5" t="s">
        <v>58</v>
      </c>
      <c r="E16" s="19" t="s">
        <v>98</v>
      </c>
      <c r="N16" s="3">
        <v>10</v>
      </c>
      <c r="AE16" s="5" t="s">
        <v>271</v>
      </c>
      <c r="AF16" s="5" t="s">
        <v>267</v>
      </c>
      <c r="AS16" s="5" t="s">
        <v>240</v>
      </c>
      <c r="AT16" s="5" t="s">
        <v>218</v>
      </c>
    </row>
    <row r="17" spans="1:46" ht="27.6" x14ac:dyDescent="0.3">
      <c r="A17" s="5" t="s">
        <v>51</v>
      </c>
      <c r="B17" s="5" t="s">
        <v>58</v>
      </c>
      <c r="E17" s="19" t="s">
        <v>99</v>
      </c>
      <c r="N17" s="5">
        <v>10</v>
      </c>
      <c r="AE17" s="5" t="s">
        <v>277</v>
      </c>
      <c r="AF17" s="5" t="s">
        <v>268</v>
      </c>
      <c r="AS17" s="5" t="s">
        <v>241</v>
      </c>
      <c r="AT17" s="5" t="s">
        <v>218</v>
      </c>
    </row>
    <row r="18" spans="1:46" x14ac:dyDescent="0.3">
      <c r="A18" s="5" t="s">
        <v>51</v>
      </c>
      <c r="B18" s="5" t="s">
        <v>58</v>
      </c>
      <c r="E18" s="19" t="s">
        <v>100</v>
      </c>
      <c r="N18" s="5">
        <v>10</v>
      </c>
      <c r="AE18" s="5" t="s">
        <v>273</v>
      </c>
      <c r="AF18" s="5" t="s">
        <v>263</v>
      </c>
      <c r="AS18" s="5" t="s">
        <v>242</v>
      </c>
      <c r="AT18" s="5" t="s">
        <v>218</v>
      </c>
    </row>
    <row r="19" spans="1:46" ht="41.4" x14ac:dyDescent="0.3">
      <c r="A19" s="5" t="s">
        <v>51</v>
      </c>
      <c r="B19" s="5" t="s">
        <v>58</v>
      </c>
      <c r="E19" s="19" t="s">
        <v>101</v>
      </c>
      <c r="N19" s="5">
        <v>10</v>
      </c>
      <c r="AE19" s="5" t="s">
        <v>274</v>
      </c>
      <c r="AF19" s="5" t="s">
        <v>264</v>
      </c>
      <c r="AS19" s="5" t="s">
        <v>243</v>
      </c>
      <c r="AT19" s="5" t="s">
        <v>218</v>
      </c>
    </row>
    <row r="20" spans="1:46" ht="41.4" x14ac:dyDescent="0.3">
      <c r="A20" s="5" t="s">
        <v>51</v>
      </c>
      <c r="B20" s="5" t="s">
        <v>58</v>
      </c>
      <c r="E20" s="19" t="s">
        <v>102</v>
      </c>
      <c r="N20" s="5">
        <v>10</v>
      </c>
      <c r="AE20" s="5" t="s">
        <v>275</v>
      </c>
      <c r="AF20" s="5" t="s">
        <v>265</v>
      </c>
      <c r="AS20" s="5" t="s">
        <v>244</v>
      </c>
      <c r="AT20" s="5" t="s">
        <v>218</v>
      </c>
    </row>
    <row r="21" spans="1:46" ht="27.6" x14ac:dyDescent="0.3">
      <c r="A21" s="5" t="s">
        <v>51</v>
      </c>
      <c r="B21" s="5" t="s">
        <v>58</v>
      </c>
      <c r="E21" s="19" t="s">
        <v>103</v>
      </c>
      <c r="N21" s="5">
        <v>10</v>
      </c>
      <c r="AE21" s="5" t="s">
        <v>276</v>
      </c>
      <c r="AF21" s="5" t="s">
        <v>266</v>
      </c>
      <c r="AS21" s="5" t="s">
        <v>245</v>
      </c>
      <c r="AT21" s="5" t="s">
        <v>218</v>
      </c>
    </row>
    <row r="22" spans="1:46" ht="27.6" x14ac:dyDescent="0.3">
      <c r="A22" s="5" t="s">
        <v>51</v>
      </c>
      <c r="B22" s="3" t="s">
        <v>58</v>
      </c>
      <c r="E22" s="19" t="s">
        <v>104</v>
      </c>
      <c r="N22" s="5">
        <v>10</v>
      </c>
      <c r="AE22" s="5" t="s">
        <v>271</v>
      </c>
      <c r="AF22" s="5" t="s">
        <v>267</v>
      </c>
      <c r="AS22" s="5" t="s">
        <v>246</v>
      </c>
      <c r="AT22" s="5" t="s">
        <v>218</v>
      </c>
    </row>
    <row r="23" spans="1:46" ht="27.6" x14ac:dyDescent="0.3">
      <c r="A23" s="5" t="s">
        <v>51</v>
      </c>
      <c r="E23" s="19" t="s">
        <v>105</v>
      </c>
      <c r="AE23" s="5" t="s">
        <v>272</v>
      </c>
      <c r="AF23" s="5" t="s">
        <v>268</v>
      </c>
      <c r="AT23" s="5" t="s">
        <v>218</v>
      </c>
    </row>
    <row r="24" spans="1:46" x14ac:dyDescent="0.3">
      <c r="A24" s="5" t="s">
        <v>51</v>
      </c>
      <c r="E24" s="19" t="s">
        <v>106</v>
      </c>
      <c r="AE24" s="5" t="s">
        <v>277</v>
      </c>
      <c r="AF24" s="5" t="s">
        <v>263</v>
      </c>
      <c r="AT24" s="5" t="s">
        <v>218</v>
      </c>
    </row>
    <row r="25" spans="1:46" x14ac:dyDescent="0.3">
      <c r="A25" s="5" t="s">
        <v>51</v>
      </c>
      <c r="E25" s="19" t="s">
        <v>107</v>
      </c>
      <c r="AE25" s="5" t="s">
        <v>274</v>
      </c>
      <c r="AF25" s="5" t="s">
        <v>263</v>
      </c>
      <c r="AT25" s="5" t="s">
        <v>218</v>
      </c>
    </row>
    <row r="26" spans="1:46" x14ac:dyDescent="0.3">
      <c r="A26" s="5" t="s">
        <v>51</v>
      </c>
      <c r="E26" s="19" t="s">
        <v>108</v>
      </c>
      <c r="AT26" s="5" t="s">
        <v>218</v>
      </c>
    </row>
    <row r="27" spans="1:46" x14ac:dyDescent="0.3">
      <c r="A27" s="5" t="s">
        <v>51</v>
      </c>
      <c r="B27" s="5" t="s">
        <v>64</v>
      </c>
      <c r="E27" s="19" t="s">
        <v>109</v>
      </c>
      <c r="N27" s="5">
        <v>30</v>
      </c>
      <c r="AT27" s="5" t="s">
        <v>218</v>
      </c>
    </row>
    <row r="28" spans="1:46" ht="27.6" x14ac:dyDescent="0.3">
      <c r="A28" s="5" t="s">
        <v>51</v>
      </c>
      <c r="E28" s="19" t="s">
        <v>110</v>
      </c>
      <c r="AG28" s="5" t="s">
        <v>257</v>
      </c>
      <c r="AT28" s="5" t="s">
        <v>218</v>
      </c>
    </row>
    <row r="29" spans="1:46" ht="27.6" x14ac:dyDescent="0.3">
      <c r="A29" s="5" t="s">
        <v>51</v>
      </c>
      <c r="E29" s="19" t="s">
        <v>67</v>
      </c>
      <c r="AT29" s="5" t="s">
        <v>218</v>
      </c>
    </row>
    <row r="30" spans="1:46" ht="27.6" x14ac:dyDescent="0.3">
      <c r="A30" s="5" t="s">
        <v>51</v>
      </c>
      <c r="B30" s="5" t="s">
        <v>65</v>
      </c>
      <c r="E30" s="19" t="s">
        <v>68</v>
      </c>
      <c r="N30" s="5">
        <v>1</v>
      </c>
      <c r="AE30" s="5" t="str">
        <f>_ActiveSprintData!$B$1</f>
        <v>Wavelength1</v>
      </c>
      <c r="AI30" s="5" t="s">
        <v>147</v>
      </c>
      <c r="AT30" s="5" t="s">
        <v>218</v>
      </c>
    </row>
    <row r="31" spans="1:46" x14ac:dyDescent="0.3">
      <c r="A31" s="5" t="s">
        <v>51</v>
      </c>
      <c r="B31" s="5" t="s">
        <v>65</v>
      </c>
      <c r="E31" s="19" t="s">
        <v>69</v>
      </c>
      <c r="N31" s="5">
        <v>1</v>
      </c>
      <c r="AE31" s="5" t="str">
        <f>_ActiveSprintData!$B$1</f>
        <v>Wavelength1</v>
      </c>
      <c r="AI31" s="5" t="s">
        <v>175</v>
      </c>
      <c r="AT31" s="5" t="s">
        <v>218</v>
      </c>
    </row>
    <row r="32" spans="1:46" ht="41.4" x14ac:dyDescent="0.3">
      <c r="A32" s="5" t="s">
        <v>51</v>
      </c>
      <c r="B32" s="5" t="s">
        <v>65</v>
      </c>
      <c r="E32" s="19" t="s">
        <v>70</v>
      </c>
      <c r="N32" s="5">
        <v>1</v>
      </c>
      <c r="AE32" s="5" t="str">
        <f>_ActiveSprintData!$B$1</f>
        <v>Wavelength1</v>
      </c>
      <c r="AI32" s="5" t="s">
        <v>148</v>
      </c>
      <c r="AT32" s="5" t="s">
        <v>218</v>
      </c>
    </row>
    <row r="33" spans="1:46" ht="41.4" x14ac:dyDescent="0.3">
      <c r="A33" s="5" t="s">
        <v>51</v>
      </c>
      <c r="B33" s="5" t="s">
        <v>65</v>
      </c>
      <c r="E33" s="19" t="s">
        <v>71</v>
      </c>
      <c r="N33" s="5">
        <v>1</v>
      </c>
      <c r="AE33" s="5" t="str">
        <f>_ActiveSprintData!$B$1</f>
        <v>Wavelength1</v>
      </c>
      <c r="AI33" s="5" t="s">
        <v>149</v>
      </c>
      <c r="AT33" s="5" t="s">
        <v>218</v>
      </c>
    </row>
    <row r="34" spans="1:46" ht="27.6" x14ac:dyDescent="0.3">
      <c r="A34" s="5" t="s">
        <v>51</v>
      </c>
      <c r="B34" s="5" t="s">
        <v>65</v>
      </c>
      <c r="E34" s="19" t="s">
        <v>72</v>
      </c>
      <c r="N34" s="5">
        <v>1</v>
      </c>
      <c r="AE34" s="5" t="str">
        <f>_ActiveSprintData!$B$1</f>
        <v>Wavelength1</v>
      </c>
      <c r="AI34" s="5" t="s">
        <v>151</v>
      </c>
      <c r="AT34" s="5" t="s">
        <v>218</v>
      </c>
    </row>
    <row r="35" spans="1:46" ht="27.6" x14ac:dyDescent="0.3">
      <c r="A35" s="5" t="s">
        <v>51</v>
      </c>
      <c r="B35" s="5" t="s">
        <v>65</v>
      </c>
      <c r="E35" s="19" t="s">
        <v>73</v>
      </c>
      <c r="N35" s="5">
        <v>1</v>
      </c>
      <c r="AE35" s="5" t="str">
        <f>_ActiveSprintData!$B$1</f>
        <v>Wavelength1</v>
      </c>
      <c r="AI35" s="5" t="s">
        <v>150</v>
      </c>
      <c r="AT35" s="5" t="s">
        <v>218</v>
      </c>
    </row>
    <row r="36" spans="1:46" ht="41.4" x14ac:dyDescent="0.3">
      <c r="A36" s="5" t="s">
        <v>51</v>
      </c>
      <c r="E36" s="19" t="s">
        <v>74</v>
      </c>
      <c r="N36" s="5">
        <v>1</v>
      </c>
      <c r="AE36" s="5" t="str">
        <f>_ActiveSprintData!$B$1</f>
        <v>Wavelength1</v>
      </c>
      <c r="AI36" s="5" t="s">
        <v>152</v>
      </c>
      <c r="AT36" s="5" t="s">
        <v>218</v>
      </c>
    </row>
    <row r="37" spans="1:46" ht="27.6" x14ac:dyDescent="0.3">
      <c r="A37" s="5" t="s">
        <v>51</v>
      </c>
      <c r="E37" s="19" t="s">
        <v>75</v>
      </c>
      <c r="AE37" s="5" t="s">
        <v>271</v>
      </c>
      <c r="AT37" s="5" t="s">
        <v>218</v>
      </c>
    </row>
    <row r="38" spans="1:46" x14ac:dyDescent="0.3">
      <c r="A38" s="5" t="s">
        <v>51</v>
      </c>
      <c r="E38" s="19" t="s">
        <v>76</v>
      </c>
      <c r="AT38" s="5" t="s">
        <v>218</v>
      </c>
    </row>
    <row r="39" spans="1:46" x14ac:dyDescent="0.3">
      <c r="A39" s="5" t="s">
        <v>51</v>
      </c>
      <c r="E39" s="19" t="s">
        <v>77</v>
      </c>
      <c r="AT39" s="5" t="s">
        <v>218</v>
      </c>
    </row>
    <row r="40" spans="1:46" x14ac:dyDescent="0.3">
      <c r="A40" s="5" t="s">
        <v>51</v>
      </c>
      <c r="B40" s="3" t="s">
        <v>66</v>
      </c>
      <c r="E40" s="19" t="s">
        <v>78</v>
      </c>
      <c r="AF40" s="5" t="s">
        <v>263</v>
      </c>
      <c r="AG40" s="5" t="s">
        <v>262</v>
      </c>
      <c r="AH40" s="5" t="s">
        <v>155</v>
      </c>
      <c r="AL40" s="4" t="s">
        <v>223</v>
      </c>
      <c r="AT40" s="5" t="s">
        <v>218</v>
      </c>
    </row>
    <row r="41" spans="1:46" ht="27.6" x14ac:dyDescent="0.3">
      <c r="A41" s="5" t="s">
        <v>51</v>
      </c>
      <c r="B41" s="5" t="s">
        <v>66</v>
      </c>
      <c r="E41" s="19" t="s">
        <v>79</v>
      </c>
      <c r="AF41" s="5" t="s">
        <v>264</v>
      </c>
      <c r="AG41" s="5" t="s">
        <v>262</v>
      </c>
      <c r="AH41" s="5" t="s">
        <v>156</v>
      </c>
      <c r="AL41" s="4" t="s">
        <v>223</v>
      </c>
      <c r="AT41" s="5" t="s">
        <v>218</v>
      </c>
    </row>
    <row r="42" spans="1:46" x14ac:dyDescent="0.3">
      <c r="A42" s="5" t="s">
        <v>51</v>
      </c>
      <c r="B42" s="5" t="s">
        <v>66</v>
      </c>
      <c r="E42" s="19" t="s">
        <v>80</v>
      </c>
      <c r="AF42" s="5" t="s">
        <v>265</v>
      </c>
      <c r="AG42" s="5" t="s">
        <v>262</v>
      </c>
      <c r="AH42" s="5" t="s">
        <v>157</v>
      </c>
      <c r="AL42" s="4" t="s">
        <v>223</v>
      </c>
      <c r="AT42" s="5" t="s">
        <v>218</v>
      </c>
    </row>
    <row r="43" spans="1:46" x14ac:dyDescent="0.3">
      <c r="A43" s="5" t="s">
        <v>51</v>
      </c>
      <c r="B43" s="5" t="s">
        <v>66</v>
      </c>
      <c r="E43" s="19" t="s">
        <v>81</v>
      </c>
      <c r="AF43" s="5" t="s">
        <v>266</v>
      </c>
      <c r="AG43" s="5" t="s">
        <v>262</v>
      </c>
      <c r="AH43" s="5" t="s">
        <v>158</v>
      </c>
      <c r="AL43" s="4" t="s">
        <v>223</v>
      </c>
      <c r="AT43" s="5" t="s">
        <v>218</v>
      </c>
    </row>
    <row r="44" spans="1:46" ht="27.6" x14ac:dyDescent="0.3">
      <c r="A44" s="5" t="s">
        <v>51</v>
      </c>
      <c r="B44" s="5" t="s">
        <v>66</v>
      </c>
      <c r="E44" s="19" t="s">
        <v>82</v>
      </c>
      <c r="AF44" s="5" t="s">
        <v>267</v>
      </c>
      <c r="AG44" s="5" t="s">
        <v>262</v>
      </c>
      <c r="AH44" s="5" t="s">
        <v>159</v>
      </c>
      <c r="AL44" s="4" t="s">
        <v>223</v>
      </c>
      <c r="AT44" s="5" t="s">
        <v>218</v>
      </c>
    </row>
    <row r="45" spans="1:46" ht="41.4" x14ac:dyDescent="0.3">
      <c r="A45" s="5" t="s">
        <v>51</v>
      </c>
      <c r="B45" s="5" t="s">
        <v>66</v>
      </c>
      <c r="E45" s="19" t="s">
        <v>83</v>
      </c>
      <c r="AF45" s="5" t="s">
        <v>268</v>
      </c>
      <c r="AG45" s="5" t="s">
        <v>262</v>
      </c>
      <c r="AH45" s="5" t="s">
        <v>158</v>
      </c>
      <c r="AL45" s="4" t="s">
        <v>223</v>
      </c>
      <c r="AT45" s="5" t="s">
        <v>218</v>
      </c>
    </row>
    <row r="46" spans="1:46" ht="27.6" x14ac:dyDescent="0.3">
      <c r="A46" s="5" t="s">
        <v>51</v>
      </c>
      <c r="B46" s="3" t="s">
        <v>250</v>
      </c>
      <c r="E46" s="19" t="s">
        <v>84</v>
      </c>
      <c r="AF46" s="5" t="s">
        <v>269</v>
      </c>
      <c r="AG46" s="5" t="s">
        <v>262</v>
      </c>
      <c r="AT46" s="5" t="s">
        <v>218</v>
      </c>
    </row>
    <row r="47" spans="1:46" x14ac:dyDescent="0.3">
      <c r="A47" s="5" t="s">
        <v>51</v>
      </c>
      <c r="E47" s="19" t="s">
        <v>85</v>
      </c>
      <c r="AT47" s="5" t="s">
        <v>218</v>
      </c>
    </row>
    <row r="48" spans="1:46" x14ac:dyDescent="0.3">
      <c r="A48" s="3" t="s">
        <v>51</v>
      </c>
      <c r="AT48" s="5" t="s">
        <v>218</v>
      </c>
    </row>
    <row r="49" spans="1:46" x14ac:dyDescent="0.3">
      <c r="A49" s="3" t="s">
        <v>51</v>
      </c>
      <c r="B49" s="3" t="s">
        <v>66</v>
      </c>
      <c r="E49" s="19" t="s">
        <v>81</v>
      </c>
      <c r="AF49" s="5" t="s">
        <v>263</v>
      </c>
      <c r="AG49" s="5" t="s">
        <v>262</v>
      </c>
      <c r="AH49" s="5" t="s">
        <v>155</v>
      </c>
      <c r="AL49" s="4" t="s">
        <v>223</v>
      </c>
      <c r="AT49" s="5" t="s">
        <v>218</v>
      </c>
    </row>
    <row r="50" spans="1:46" x14ac:dyDescent="0.3">
      <c r="A50" s="5" t="s">
        <v>51</v>
      </c>
      <c r="B50" s="5" t="s">
        <v>62</v>
      </c>
      <c r="K50" s="5" t="s">
        <v>255</v>
      </c>
      <c r="P50" s="5">
        <v>100</v>
      </c>
      <c r="Q50" s="5">
        <v>150</v>
      </c>
      <c r="W50" s="5">
        <v>180</v>
      </c>
      <c r="AG50" s="5" t="s">
        <v>262</v>
      </c>
      <c r="AJ50" s="5" t="s">
        <v>255</v>
      </c>
      <c r="AL50" s="4" t="s">
        <v>223</v>
      </c>
      <c r="AN50" s="5">
        <v>30</v>
      </c>
      <c r="AO50" s="5">
        <v>60</v>
      </c>
      <c r="AP50" s="5">
        <v>40</v>
      </c>
      <c r="AT50" s="5" t="s">
        <v>218</v>
      </c>
    </row>
    <row r="51" spans="1:46" x14ac:dyDescent="0.3">
      <c r="A51" s="3" t="s">
        <v>51</v>
      </c>
      <c r="B51" s="3" t="s">
        <v>62</v>
      </c>
      <c r="K51" s="5" t="s">
        <v>279</v>
      </c>
      <c r="P51" s="5">
        <v>50</v>
      </c>
      <c r="Q51" s="5">
        <v>150</v>
      </c>
      <c r="W51" s="5">
        <v>180</v>
      </c>
      <c r="AG51" s="5" t="s">
        <v>262</v>
      </c>
      <c r="AJ51" s="10" t="s">
        <v>255</v>
      </c>
      <c r="AL51" s="4" t="s">
        <v>223</v>
      </c>
      <c r="AN51" s="5">
        <v>30</v>
      </c>
      <c r="AO51" s="5">
        <v>60</v>
      </c>
      <c r="AP51" s="5">
        <v>40</v>
      </c>
      <c r="AT51" s="5" t="s">
        <v>218</v>
      </c>
    </row>
    <row r="52" spans="1:46" s="5" customFormat="1" x14ac:dyDescent="0.3">
      <c r="A52" s="5" t="s">
        <v>51</v>
      </c>
      <c r="B52" s="5" t="s">
        <v>62</v>
      </c>
      <c r="C52" s="4"/>
      <c r="D52" s="4"/>
      <c r="E52" s="19" t="s">
        <v>94</v>
      </c>
      <c r="K52" s="5" t="s">
        <v>280</v>
      </c>
      <c r="N52" s="5">
        <v>10</v>
      </c>
      <c r="P52" s="5">
        <v>50</v>
      </c>
      <c r="Q52" s="5">
        <v>150</v>
      </c>
      <c r="W52" s="5">
        <v>180</v>
      </c>
      <c r="AG52" s="5" t="s">
        <v>262</v>
      </c>
      <c r="AI52" s="5" t="s">
        <v>147</v>
      </c>
      <c r="AJ52" s="5" t="s">
        <v>261</v>
      </c>
      <c r="AL52" s="4" t="s">
        <v>223</v>
      </c>
      <c r="AN52" s="5">
        <v>30</v>
      </c>
      <c r="AO52" s="5">
        <v>60</v>
      </c>
      <c r="AP52" s="5">
        <v>40</v>
      </c>
      <c r="AT52" s="5" t="s">
        <v>218</v>
      </c>
    </row>
    <row r="53" spans="1:46" x14ac:dyDescent="0.3">
      <c r="A53" s="5" t="s">
        <v>51</v>
      </c>
      <c r="B53" s="5" t="s">
        <v>65</v>
      </c>
      <c r="E53" s="19" t="s">
        <v>96</v>
      </c>
      <c r="K53" s="5" t="s">
        <v>280</v>
      </c>
      <c r="N53" s="5">
        <v>10</v>
      </c>
      <c r="P53" s="5">
        <v>50</v>
      </c>
      <c r="Q53" s="5">
        <v>150</v>
      </c>
      <c r="AG53" s="5" t="s">
        <v>262</v>
      </c>
      <c r="AI53" s="5" t="s">
        <v>175</v>
      </c>
      <c r="AL53" s="4" t="s">
        <v>223</v>
      </c>
      <c r="AT53" s="5" t="s">
        <v>218</v>
      </c>
    </row>
    <row r="54" spans="1:46" ht="27.6" x14ac:dyDescent="0.3">
      <c r="A54" s="5" t="s">
        <v>51</v>
      </c>
      <c r="B54" s="5" t="s">
        <v>65</v>
      </c>
      <c r="E54" s="19" t="s">
        <v>97</v>
      </c>
      <c r="K54" s="5" t="s">
        <v>280</v>
      </c>
      <c r="N54" s="5">
        <v>10</v>
      </c>
      <c r="P54" s="5">
        <v>750</v>
      </c>
      <c r="Q54" s="5">
        <v>150</v>
      </c>
      <c r="AG54" s="5" t="s">
        <v>262</v>
      </c>
      <c r="AI54" s="5" t="s">
        <v>148</v>
      </c>
      <c r="AL54" s="4" t="s">
        <v>223</v>
      </c>
      <c r="AT54" s="5" t="s">
        <v>218</v>
      </c>
    </row>
    <row r="55" spans="1:46" x14ac:dyDescent="0.3">
      <c r="A55" s="5" t="s">
        <v>51</v>
      </c>
      <c r="B55" s="5" t="s">
        <v>65</v>
      </c>
      <c r="E55" s="19" t="s">
        <v>98</v>
      </c>
      <c r="N55" s="5">
        <v>10</v>
      </c>
      <c r="AG55" s="5" t="s">
        <v>262</v>
      </c>
      <c r="AI55" s="5" t="s">
        <v>149</v>
      </c>
      <c r="AL55" s="4" t="s">
        <v>223</v>
      </c>
      <c r="AT55" s="5" t="s">
        <v>218</v>
      </c>
    </row>
    <row r="56" spans="1:46" x14ac:dyDescent="0.3">
      <c r="A56" s="5" t="s">
        <v>51</v>
      </c>
      <c r="B56" s="5" t="s">
        <v>65</v>
      </c>
      <c r="E56" s="19" t="s">
        <v>100</v>
      </c>
      <c r="N56" s="5">
        <v>10</v>
      </c>
      <c r="AG56" s="5" t="s">
        <v>262</v>
      </c>
      <c r="AI56" s="5" t="s">
        <v>151</v>
      </c>
      <c r="AL56" s="4" t="s">
        <v>223</v>
      </c>
      <c r="AT56" s="5" t="s">
        <v>218</v>
      </c>
    </row>
    <row r="57" spans="1:46" s="5" customFormat="1" x14ac:dyDescent="0.3">
      <c r="A57" s="5" t="s">
        <v>51</v>
      </c>
      <c r="B57" s="5" t="s">
        <v>65</v>
      </c>
      <c r="C57" s="4"/>
      <c r="D57" s="4"/>
      <c r="E57" s="19" t="s">
        <v>94</v>
      </c>
      <c r="N57" s="5">
        <v>20</v>
      </c>
      <c r="AG57" s="5" t="s">
        <v>262</v>
      </c>
      <c r="AI57" s="5" t="s">
        <v>147</v>
      </c>
      <c r="AL57" s="4" t="s">
        <v>223</v>
      </c>
      <c r="AT57" s="5" t="s">
        <v>218</v>
      </c>
    </row>
    <row r="58" spans="1:46" s="5" customFormat="1" x14ac:dyDescent="0.3">
      <c r="A58" s="5" t="s">
        <v>51</v>
      </c>
      <c r="B58" s="5" t="s">
        <v>65</v>
      </c>
      <c r="C58" s="4"/>
      <c r="D58" s="4"/>
      <c r="E58" s="19" t="s">
        <v>96</v>
      </c>
      <c r="N58" s="5">
        <v>20</v>
      </c>
      <c r="AG58" s="5" t="s">
        <v>262</v>
      </c>
      <c r="AI58" s="5" t="s">
        <v>175</v>
      </c>
      <c r="AL58" s="4" t="s">
        <v>223</v>
      </c>
      <c r="AT58" s="5" t="s">
        <v>218</v>
      </c>
    </row>
    <row r="59" spans="1:46" s="5" customFormat="1" ht="27.6" x14ac:dyDescent="0.3">
      <c r="A59" s="5" t="s">
        <v>51</v>
      </c>
      <c r="B59" s="5" t="s">
        <v>65</v>
      </c>
      <c r="C59" s="4"/>
      <c r="D59" s="4"/>
      <c r="E59" s="19" t="s">
        <v>97</v>
      </c>
      <c r="N59" s="5">
        <v>20</v>
      </c>
      <c r="AG59" s="5" t="s">
        <v>262</v>
      </c>
      <c r="AI59" s="5" t="s">
        <v>148</v>
      </c>
      <c r="AL59" s="4" t="s">
        <v>223</v>
      </c>
      <c r="AT59" s="5" t="s">
        <v>218</v>
      </c>
    </row>
    <row r="60" spans="1:46" s="5" customFormat="1" x14ac:dyDescent="0.3">
      <c r="A60" s="5" t="s">
        <v>51</v>
      </c>
      <c r="B60" s="5" t="s">
        <v>65</v>
      </c>
      <c r="C60" s="4"/>
      <c r="D60" s="4"/>
      <c r="E60" s="19" t="s">
        <v>98</v>
      </c>
      <c r="N60" s="5">
        <v>20</v>
      </c>
      <c r="AG60" s="5" t="s">
        <v>262</v>
      </c>
      <c r="AI60" s="5" t="s">
        <v>149</v>
      </c>
      <c r="AL60" s="4" t="s">
        <v>223</v>
      </c>
      <c r="AT60" s="5" t="s">
        <v>218</v>
      </c>
    </row>
    <row r="61" spans="1:46" s="5" customFormat="1" x14ac:dyDescent="0.3">
      <c r="A61" s="5" t="s">
        <v>51</v>
      </c>
      <c r="B61" s="5" t="s">
        <v>65</v>
      </c>
      <c r="C61" s="4"/>
      <c r="D61" s="4"/>
      <c r="E61" s="19" t="s">
        <v>100</v>
      </c>
      <c r="N61" s="5">
        <v>20</v>
      </c>
      <c r="AG61" s="5" t="s">
        <v>262</v>
      </c>
      <c r="AI61" s="5" t="s">
        <v>151</v>
      </c>
      <c r="AL61" s="4" t="s">
        <v>223</v>
      </c>
      <c r="AT61" s="5" t="s">
        <v>218</v>
      </c>
    </row>
    <row r="62" spans="1:46" s="5" customFormat="1" x14ac:dyDescent="0.3">
      <c r="A62" s="5" t="s">
        <v>51</v>
      </c>
      <c r="B62" s="5" t="s">
        <v>65</v>
      </c>
      <c r="C62" s="4"/>
      <c r="D62" s="4"/>
      <c r="E62" s="19" t="s">
        <v>94</v>
      </c>
      <c r="N62" s="5">
        <v>30</v>
      </c>
      <c r="AG62" s="5" t="s">
        <v>262</v>
      </c>
      <c r="AI62" s="5" t="s">
        <v>147</v>
      </c>
      <c r="AL62" s="4" t="s">
        <v>223</v>
      </c>
      <c r="AT62" s="5" t="s">
        <v>218</v>
      </c>
    </row>
    <row r="63" spans="1:46" s="5" customFormat="1" x14ac:dyDescent="0.3">
      <c r="A63" s="5" t="s">
        <v>51</v>
      </c>
      <c r="B63" s="5" t="s">
        <v>65</v>
      </c>
      <c r="C63" s="4"/>
      <c r="D63" s="4"/>
      <c r="E63" s="19" t="s">
        <v>96</v>
      </c>
      <c r="N63" s="5">
        <v>30</v>
      </c>
      <c r="AG63" s="5" t="s">
        <v>262</v>
      </c>
      <c r="AI63" s="5" t="s">
        <v>175</v>
      </c>
      <c r="AL63" s="4" t="s">
        <v>223</v>
      </c>
      <c r="AT63" s="5" t="s">
        <v>218</v>
      </c>
    </row>
    <row r="64" spans="1:46" s="5" customFormat="1" ht="27.6" x14ac:dyDescent="0.3">
      <c r="A64" s="5" t="s">
        <v>51</v>
      </c>
      <c r="B64" s="5" t="s">
        <v>65</v>
      </c>
      <c r="C64" s="4"/>
      <c r="D64" s="4"/>
      <c r="E64" s="19" t="s">
        <v>97</v>
      </c>
      <c r="N64" s="5">
        <v>30</v>
      </c>
      <c r="AG64" s="5" t="s">
        <v>262</v>
      </c>
      <c r="AI64" s="5" t="s">
        <v>148</v>
      </c>
      <c r="AL64" s="4" t="s">
        <v>223</v>
      </c>
      <c r="AT64" s="5" t="s">
        <v>218</v>
      </c>
    </row>
    <row r="65" spans="1:46" s="5" customFormat="1" x14ac:dyDescent="0.3">
      <c r="A65" s="5" t="s">
        <v>51</v>
      </c>
      <c r="B65" s="5" t="s">
        <v>65</v>
      </c>
      <c r="C65" s="4"/>
      <c r="D65" s="4"/>
      <c r="E65" s="19" t="s">
        <v>98</v>
      </c>
      <c r="N65" s="5">
        <v>30</v>
      </c>
      <c r="AG65" s="5" t="s">
        <v>262</v>
      </c>
      <c r="AI65" s="5" t="s">
        <v>149</v>
      </c>
      <c r="AL65" s="4" t="s">
        <v>223</v>
      </c>
      <c r="AT65" s="5" t="s">
        <v>218</v>
      </c>
    </row>
    <row r="66" spans="1:46" s="5" customFormat="1" x14ac:dyDescent="0.3">
      <c r="A66" s="5" t="s">
        <v>51</v>
      </c>
      <c r="B66" s="5" t="s">
        <v>65</v>
      </c>
      <c r="C66" s="4"/>
      <c r="D66" s="4"/>
      <c r="E66" s="19" t="s">
        <v>100</v>
      </c>
      <c r="N66" s="5">
        <v>30</v>
      </c>
      <c r="AG66" s="5" t="s">
        <v>262</v>
      </c>
      <c r="AI66" s="5" t="s">
        <v>151</v>
      </c>
      <c r="AL66" s="4" t="s">
        <v>223</v>
      </c>
      <c r="AT66" s="5" t="s">
        <v>218</v>
      </c>
    </row>
    <row r="67" spans="1:46" s="5" customFormat="1" x14ac:dyDescent="0.3">
      <c r="A67" s="5" t="s">
        <v>51</v>
      </c>
      <c r="B67" s="5" t="s">
        <v>65</v>
      </c>
      <c r="C67" s="4"/>
      <c r="D67" s="4"/>
      <c r="E67" s="19" t="s">
        <v>94</v>
      </c>
      <c r="N67" s="5">
        <v>40</v>
      </c>
      <c r="AG67" s="5" t="s">
        <v>262</v>
      </c>
      <c r="AI67" s="5" t="s">
        <v>147</v>
      </c>
      <c r="AL67" s="4" t="s">
        <v>223</v>
      </c>
      <c r="AT67" s="5" t="s">
        <v>218</v>
      </c>
    </row>
    <row r="68" spans="1:46" s="5" customFormat="1" x14ac:dyDescent="0.3">
      <c r="A68" s="5" t="s">
        <v>51</v>
      </c>
      <c r="B68" s="5" t="s">
        <v>65</v>
      </c>
      <c r="C68" s="4"/>
      <c r="D68" s="4"/>
      <c r="E68" s="19" t="s">
        <v>96</v>
      </c>
      <c r="N68" s="5">
        <v>40</v>
      </c>
      <c r="AG68" s="5" t="s">
        <v>262</v>
      </c>
      <c r="AI68" s="5" t="s">
        <v>175</v>
      </c>
      <c r="AL68" s="4" t="s">
        <v>223</v>
      </c>
      <c r="AT68" s="5" t="s">
        <v>218</v>
      </c>
    </row>
    <row r="69" spans="1:46" s="5" customFormat="1" ht="27.6" x14ac:dyDescent="0.3">
      <c r="A69" s="5" t="s">
        <v>51</v>
      </c>
      <c r="B69" s="5" t="s">
        <v>65</v>
      </c>
      <c r="C69" s="4"/>
      <c r="D69" s="4"/>
      <c r="E69" s="19" t="s">
        <v>97</v>
      </c>
      <c r="N69" s="5">
        <v>40</v>
      </c>
      <c r="AG69" s="5" t="s">
        <v>262</v>
      </c>
      <c r="AI69" s="5" t="s">
        <v>148</v>
      </c>
      <c r="AL69" s="4" t="s">
        <v>223</v>
      </c>
      <c r="AT69" s="5" t="s">
        <v>218</v>
      </c>
    </row>
    <row r="70" spans="1:46" s="5" customFormat="1" x14ac:dyDescent="0.3">
      <c r="A70" s="5" t="s">
        <v>51</v>
      </c>
      <c r="B70" s="5" t="s">
        <v>65</v>
      </c>
      <c r="C70" s="4"/>
      <c r="D70" s="4"/>
      <c r="E70" s="19" t="s">
        <v>98</v>
      </c>
      <c r="N70" s="5">
        <v>40</v>
      </c>
      <c r="AG70" s="5" t="s">
        <v>262</v>
      </c>
      <c r="AI70" s="5" t="s">
        <v>149</v>
      </c>
      <c r="AL70" s="4" t="s">
        <v>223</v>
      </c>
      <c r="AT70" s="5" t="s">
        <v>218</v>
      </c>
    </row>
    <row r="71" spans="1:46" s="5" customFormat="1" x14ac:dyDescent="0.3">
      <c r="A71" s="5" t="s">
        <v>51</v>
      </c>
      <c r="B71" s="5" t="s">
        <v>65</v>
      </c>
      <c r="C71" s="4"/>
      <c r="D71" s="4"/>
      <c r="E71" s="19" t="s">
        <v>100</v>
      </c>
      <c r="N71" s="5">
        <v>40</v>
      </c>
      <c r="AG71" s="5" t="s">
        <v>262</v>
      </c>
      <c r="AI71" s="5" t="s">
        <v>151</v>
      </c>
      <c r="AL71" s="4" t="s">
        <v>223</v>
      </c>
      <c r="AT71" s="5" t="s">
        <v>218</v>
      </c>
    </row>
    <row r="72" spans="1:46" x14ac:dyDescent="0.3">
      <c r="A72" s="5" t="s">
        <v>51</v>
      </c>
      <c r="AT72" s="5" t="s">
        <v>218</v>
      </c>
    </row>
    <row r="73" spans="1:46" x14ac:dyDescent="0.3">
      <c r="A73" s="5" t="s">
        <v>51</v>
      </c>
      <c r="B73" s="5" t="s">
        <v>62</v>
      </c>
      <c r="P73" s="5">
        <v>100</v>
      </c>
      <c r="AG73" s="5" t="s">
        <v>262</v>
      </c>
      <c r="AJ73" s="5" t="s">
        <v>261</v>
      </c>
      <c r="AT73" s="5" t="s">
        <v>218</v>
      </c>
    </row>
    <row r="74" spans="1:46" x14ac:dyDescent="0.3">
      <c r="A74" s="5" t="s">
        <v>51</v>
      </c>
      <c r="B74" s="5" t="s">
        <v>62</v>
      </c>
      <c r="P74" s="5">
        <v>50</v>
      </c>
      <c r="AG74" s="5" t="s">
        <v>262</v>
      </c>
      <c r="AJ74" s="10" t="s">
        <v>255</v>
      </c>
      <c r="AT74" s="5" t="s">
        <v>218</v>
      </c>
    </row>
    <row r="75" spans="1:46" s="5" customFormat="1" x14ac:dyDescent="0.3">
      <c r="A75" s="5" t="s">
        <v>51</v>
      </c>
      <c r="B75" s="5" t="s">
        <v>62</v>
      </c>
      <c r="C75" s="4"/>
      <c r="D75" s="4"/>
      <c r="P75" s="5">
        <v>50</v>
      </c>
      <c r="AG75" s="5" t="s">
        <v>262</v>
      </c>
      <c r="AJ75" s="10" t="s">
        <v>185</v>
      </c>
      <c r="AT75" s="5" t="s">
        <v>218</v>
      </c>
    </row>
    <row r="76" spans="1:46" x14ac:dyDescent="0.3">
      <c r="A76" s="5" t="s">
        <v>51</v>
      </c>
      <c r="B76" s="5" t="s">
        <v>62</v>
      </c>
      <c r="P76" s="5">
        <v>50</v>
      </c>
      <c r="AG76" s="5" t="s">
        <v>262</v>
      </c>
      <c r="AJ76" s="10" t="s">
        <v>186</v>
      </c>
      <c r="AT76" s="5" t="s">
        <v>218</v>
      </c>
    </row>
    <row r="77" spans="1:46" x14ac:dyDescent="0.3">
      <c r="A77" s="5" t="s">
        <v>51</v>
      </c>
      <c r="B77" s="5" t="s">
        <v>62</v>
      </c>
      <c r="P77" s="5">
        <v>50</v>
      </c>
      <c r="AG77" s="5" t="s">
        <v>262</v>
      </c>
      <c r="AJ77" s="10" t="s">
        <v>260</v>
      </c>
      <c r="AL77" s="4"/>
      <c r="AT77" s="5" t="s">
        <v>218</v>
      </c>
    </row>
    <row r="78" spans="1:46" x14ac:dyDescent="0.3">
      <c r="A78" s="5" t="s">
        <v>51</v>
      </c>
      <c r="B78" s="5" t="s">
        <v>62</v>
      </c>
      <c r="E78" s="19" t="s">
        <v>100</v>
      </c>
      <c r="N78" s="5">
        <v>30</v>
      </c>
      <c r="P78" s="5">
        <v>50</v>
      </c>
      <c r="AF78" s="5" t="s">
        <v>263</v>
      </c>
      <c r="AG78" s="5" t="s">
        <v>262</v>
      </c>
      <c r="AJ78" s="5" t="s">
        <v>255</v>
      </c>
      <c r="AL78" s="4" t="s">
        <v>53</v>
      </c>
    </row>
    <row r="79" spans="1:46" x14ac:dyDescent="0.3">
      <c r="A79" s="5" t="s">
        <v>51</v>
      </c>
      <c r="B79" s="5" t="s">
        <v>62</v>
      </c>
      <c r="E79" s="19" t="s">
        <v>100</v>
      </c>
      <c r="N79" s="5">
        <v>30</v>
      </c>
      <c r="P79" s="5">
        <v>50</v>
      </c>
      <c r="AF79" s="5" t="s">
        <v>264</v>
      </c>
      <c r="AG79" s="5" t="s">
        <v>262</v>
      </c>
      <c r="AJ79" s="10" t="s">
        <v>260</v>
      </c>
      <c r="AL79" s="4" t="s">
        <v>55</v>
      </c>
      <c r="AT79" s="5" t="s">
        <v>218</v>
      </c>
    </row>
    <row r="80" spans="1:46" x14ac:dyDescent="0.3">
      <c r="A80" s="5" t="s">
        <v>51</v>
      </c>
      <c r="B80" s="5" t="s">
        <v>62</v>
      </c>
      <c r="E80" s="19" t="s">
        <v>100</v>
      </c>
      <c r="N80" s="5">
        <v>30</v>
      </c>
      <c r="P80" s="5">
        <v>50</v>
      </c>
      <c r="AF80" s="5" t="s">
        <v>265</v>
      </c>
      <c r="AG80" s="5" t="s">
        <v>262</v>
      </c>
      <c r="AJ80" s="10" t="s">
        <v>255</v>
      </c>
      <c r="AL80" s="4" t="s">
        <v>56</v>
      </c>
      <c r="AT80" s="5" t="s">
        <v>218</v>
      </c>
    </row>
    <row r="81" spans="1:46" x14ac:dyDescent="0.3">
      <c r="A81" s="5" t="s">
        <v>51</v>
      </c>
      <c r="B81" s="5" t="s">
        <v>65</v>
      </c>
      <c r="E81" s="19" t="s">
        <v>100</v>
      </c>
      <c r="N81" s="5">
        <v>30</v>
      </c>
      <c r="AF81" s="5" t="s">
        <v>266</v>
      </c>
      <c r="AL81" s="4" t="s">
        <v>52</v>
      </c>
      <c r="AT81" s="5" t="s">
        <v>218</v>
      </c>
    </row>
    <row r="82" spans="1:46" x14ac:dyDescent="0.3">
      <c r="A82" s="5" t="s">
        <v>51</v>
      </c>
      <c r="B82" s="5" t="s">
        <v>65</v>
      </c>
      <c r="E82" s="19" t="s">
        <v>100</v>
      </c>
      <c r="N82" s="5">
        <v>30</v>
      </c>
      <c r="AF82" s="5" t="s">
        <v>267</v>
      </c>
      <c r="AL82" s="4" t="s">
        <v>223</v>
      </c>
      <c r="AT82" s="5" t="s">
        <v>218</v>
      </c>
    </row>
    <row r="83" spans="1:46" x14ac:dyDescent="0.3">
      <c r="A83" s="5" t="s">
        <v>51</v>
      </c>
      <c r="B83" s="5" t="s">
        <v>65</v>
      </c>
      <c r="E83" s="19" t="s">
        <v>100</v>
      </c>
      <c r="N83" s="5">
        <v>30</v>
      </c>
      <c r="AF83" s="5" t="s">
        <v>268</v>
      </c>
      <c r="AL83" s="4" t="s">
        <v>53</v>
      </c>
      <c r="AT83" s="5" t="s">
        <v>218</v>
      </c>
    </row>
    <row r="84" spans="1:46" x14ac:dyDescent="0.3">
      <c r="A84" s="5" t="s">
        <v>51</v>
      </c>
      <c r="B84" s="5" t="s">
        <v>65</v>
      </c>
      <c r="E84" s="19" t="s">
        <v>100</v>
      </c>
      <c r="N84" s="5">
        <v>30</v>
      </c>
      <c r="AF84" s="5" t="s">
        <v>263</v>
      </c>
      <c r="AL84" s="4" t="s">
        <v>55</v>
      </c>
      <c r="AT84" s="5" t="s">
        <v>218</v>
      </c>
    </row>
    <row r="85" spans="1:46" x14ac:dyDescent="0.3">
      <c r="A85" s="5" t="s">
        <v>51</v>
      </c>
      <c r="B85" s="5" t="s">
        <v>65</v>
      </c>
      <c r="E85" s="19" t="s">
        <v>100</v>
      </c>
      <c r="N85" s="5">
        <v>30</v>
      </c>
      <c r="AF85" s="5" t="s">
        <v>264</v>
      </c>
      <c r="AL85" s="4" t="s">
        <v>56</v>
      </c>
      <c r="AT85" s="5" t="s">
        <v>218</v>
      </c>
    </row>
    <row r="86" spans="1:46" x14ac:dyDescent="0.3">
      <c r="A86" s="5" t="s">
        <v>51</v>
      </c>
      <c r="B86" s="5" t="s">
        <v>65</v>
      </c>
      <c r="E86" s="19" t="s">
        <v>100</v>
      </c>
      <c r="N86" s="5">
        <v>30</v>
      </c>
      <c r="AF86" s="5" t="s">
        <v>265</v>
      </c>
      <c r="AL86" s="4" t="s">
        <v>52</v>
      </c>
      <c r="AT86" s="5" t="s">
        <v>218</v>
      </c>
    </row>
    <row r="87" spans="1:46" x14ac:dyDescent="0.3">
      <c r="A87" s="5" t="s">
        <v>51</v>
      </c>
      <c r="B87" s="5" t="s">
        <v>65</v>
      </c>
      <c r="E87" s="19" t="s">
        <v>100</v>
      </c>
      <c r="N87" s="5">
        <v>30</v>
      </c>
      <c r="AF87" s="5" t="s">
        <v>266</v>
      </c>
      <c r="AL87" s="4" t="s">
        <v>223</v>
      </c>
      <c r="AT87" s="5" t="s">
        <v>218</v>
      </c>
    </row>
    <row r="88" spans="1:46" x14ac:dyDescent="0.3">
      <c r="A88" s="5" t="s">
        <v>51</v>
      </c>
      <c r="B88" s="5" t="s">
        <v>65</v>
      </c>
      <c r="E88" s="19" t="s">
        <v>100</v>
      </c>
      <c r="N88" s="5">
        <v>30</v>
      </c>
      <c r="AF88" s="5" t="s">
        <v>267</v>
      </c>
      <c r="AL88" s="4" t="s">
        <v>53</v>
      </c>
      <c r="AT88" s="5" t="s">
        <v>218</v>
      </c>
    </row>
    <row r="89" spans="1:46" x14ac:dyDescent="0.3">
      <c r="A89" s="5" t="s">
        <v>51</v>
      </c>
      <c r="B89" s="5" t="s">
        <v>65</v>
      </c>
      <c r="E89" s="19" t="s">
        <v>100</v>
      </c>
      <c r="N89" s="5">
        <v>30</v>
      </c>
      <c r="AF89" s="5" t="s">
        <v>268</v>
      </c>
      <c r="AL89" s="4" t="s">
        <v>55</v>
      </c>
      <c r="AT89" s="5" t="s">
        <v>218</v>
      </c>
    </row>
    <row r="90" spans="1:46" x14ac:dyDescent="0.3">
      <c r="A90" s="5" t="s">
        <v>51</v>
      </c>
      <c r="B90" s="5" t="s">
        <v>65</v>
      </c>
      <c r="E90" s="19" t="s">
        <v>100</v>
      </c>
      <c r="N90" s="5">
        <v>30</v>
      </c>
      <c r="AF90" s="5" t="s">
        <v>263</v>
      </c>
      <c r="AL90" s="4" t="s">
        <v>56</v>
      </c>
      <c r="AT90" s="5" t="s">
        <v>218</v>
      </c>
    </row>
    <row r="91" spans="1:46" x14ac:dyDescent="0.3">
      <c r="A91" s="5" t="s">
        <v>51</v>
      </c>
      <c r="B91" s="5" t="s">
        <v>65</v>
      </c>
      <c r="E91" s="19" t="s">
        <v>100</v>
      </c>
      <c r="N91" s="5">
        <v>30</v>
      </c>
      <c r="AF91" s="5" t="s">
        <v>264</v>
      </c>
      <c r="AL91" s="4" t="s">
        <v>52</v>
      </c>
      <c r="AT91" s="5" t="s">
        <v>218</v>
      </c>
    </row>
    <row r="92" spans="1:46" x14ac:dyDescent="0.3">
      <c r="A92" s="5" t="s">
        <v>51</v>
      </c>
      <c r="B92" s="5" t="s">
        <v>65</v>
      </c>
      <c r="E92" s="19" t="s">
        <v>100</v>
      </c>
      <c r="N92" s="5">
        <v>30</v>
      </c>
      <c r="AF92" s="5" t="s">
        <v>263</v>
      </c>
      <c r="AT92" s="5" t="s">
        <v>218</v>
      </c>
    </row>
    <row r="93" spans="1:46" x14ac:dyDescent="0.3">
      <c r="A93" s="5" t="s">
        <v>51</v>
      </c>
      <c r="B93" s="5" t="s">
        <v>58</v>
      </c>
      <c r="E93" s="19" t="s">
        <v>224</v>
      </c>
      <c r="AT93" s="5" t="s">
        <v>218</v>
      </c>
    </row>
    <row r="94" spans="1:46" x14ac:dyDescent="0.3">
      <c r="A94" s="5" t="s">
        <v>51</v>
      </c>
      <c r="B94" s="5" t="s">
        <v>58</v>
      </c>
      <c r="E94" s="19" t="s">
        <v>225</v>
      </c>
      <c r="AT94" s="5" t="s">
        <v>218</v>
      </c>
    </row>
    <row r="95" spans="1:46" x14ac:dyDescent="0.3">
      <c r="A95" s="5" t="s">
        <v>51</v>
      </c>
      <c r="B95" s="5" t="s">
        <v>58</v>
      </c>
      <c r="E95" s="19" t="s">
        <v>226</v>
      </c>
      <c r="AT95" s="5" t="s">
        <v>218</v>
      </c>
    </row>
    <row r="96" spans="1:46" ht="27.6" x14ac:dyDescent="0.3">
      <c r="A96" s="5" t="s">
        <v>51</v>
      </c>
      <c r="B96" s="5" t="s">
        <v>58</v>
      </c>
      <c r="E96" s="19" t="s">
        <v>227</v>
      </c>
      <c r="AT96" s="5" t="s">
        <v>218</v>
      </c>
    </row>
    <row r="97" spans="1:47" x14ac:dyDescent="0.3">
      <c r="A97" s="5" t="s">
        <v>51</v>
      </c>
      <c r="B97" s="5" t="s">
        <v>58</v>
      </c>
      <c r="E97" s="19" t="s">
        <v>228</v>
      </c>
      <c r="AT97" s="5" t="s">
        <v>218</v>
      </c>
    </row>
    <row r="98" spans="1:47" ht="27.6" x14ac:dyDescent="0.3">
      <c r="A98" s="5" t="s">
        <v>51</v>
      </c>
      <c r="B98" s="5" t="s">
        <v>58</v>
      </c>
      <c r="E98" s="19" t="s">
        <v>229</v>
      </c>
      <c r="AT98" s="5" t="s">
        <v>218</v>
      </c>
    </row>
    <row r="99" spans="1:47" x14ac:dyDescent="0.3">
      <c r="A99" s="5" t="s">
        <v>51</v>
      </c>
      <c r="B99" s="5" t="s">
        <v>58</v>
      </c>
      <c r="E99" s="19" t="s">
        <v>230</v>
      </c>
      <c r="AT99" s="5" t="s">
        <v>218</v>
      </c>
    </row>
    <row r="100" spans="1:47" ht="41.4" x14ac:dyDescent="0.3">
      <c r="A100" s="5" t="s">
        <v>51</v>
      </c>
      <c r="B100" s="5" t="s">
        <v>58</v>
      </c>
      <c r="E100" s="19" t="s">
        <v>231</v>
      </c>
      <c r="AT100" s="5" t="s">
        <v>218</v>
      </c>
    </row>
    <row r="101" spans="1:47" ht="41.4" x14ac:dyDescent="0.3">
      <c r="A101" s="5" t="s">
        <v>51</v>
      </c>
      <c r="B101" s="5" t="s">
        <v>58</v>
      </c>
      <c r="E101" s="19" t="s">
        <v>232</v>
      </c>
      <c r="AT101" s="5" t="s">
        <v>218</v>
      </c>
    </row>
    <row r="102" spans="1:47" ht="27.6" x14ac:dyDescent="0.3">
      <c r="A102" s="5" t="s">
        <v>51</v>
      </c>
      <c r="B102" s="5" t="s">
        <v>58</v>
      </c>
      <c r="E102" s="19" t="s">
        <v>233</v>
      </c>
      <c r="AT102" s="5" t="s">
        <v>218</v>
      </c>
    </row>
    <row r="103" spans="1:47" ht="27.6" x14ac:dyDescent="0.3">
      <c r="A103" s="5" t="s">
        <v>51</v>
      </c>
      <c r="B103" s="5" t="s">
        <v>58</v>
      </c>
      <c r="E103" s="19" t="s">
        <v>234</v>
      </c>
      <c r="AT103" s="5" t="s">
        <v>218</v>
      </c>
    </row>
    <row r="104" spans="1:47" ht="27.6" x14ac:dyDescent="0.3">
      <c r="A104" s="5" t="s">
        <v>51</v>
      </c>
      <c r="B104" s="5" t="s">
        <v>58</v>
      </c>
      <c r="E104" s="19" t="s">
        <v>235</v>
      </c>
      <c r="AT104" s="5" t="s">
        <v>218</v>
      </c>
    </row>
    <row r="105" spans="1:47" x14ac:dyDescent="0.3">
      <c r="A105" s="5" t="s">
        <v>51</v>
      </c>
      <c r="B105" s="5" t="s">
        <v>58</v>
      </c>
      <c r="E105" s="19" t="s">
        <v>236</v>
      </c>
      <c r="AT105" s="5" t="s">
        <v>218</v>
      </c>
      <c r="AU105" s="5" t="s">
        <v>119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B15"/>
  <sheetViews>
    <sheetView workbookViewId="0"/>
  </sheetViews>
  <sheetFormatPr defaultRowHeight="14.4" x14ac:dyDescent="0.3"/>
  <sheetData>
    <row r="1" spans="1:2" x14ac:dyDescent="0.3">
      <c r="A1" s="43" t="s">
        <v>199</v>
      </c>
    </row>
    <row r="3" spans="1:2" x14ac:dyDescent="0.3">
      <c r="A3" t="s">
        <v>196</v>
      </c>
    </row>
    <row r="4" spans="1:2" x14ac:dyDescent="0.3">
      <c r="B4" t="s">
        <v>195</v>
      </c>
    </row>
    <row r="5" spans="1:2" x14ac:dyDescent="0.3">
      <c r="A5" t="s">
        <v>210</v>
      </c>
    </row>
    <row r="6" spans="1:2" x14ac:dyDescent="0.3">
      <c r="B6" t="s">
        <v>211</v>
      </c>
    </row>
    <row r="7" spans="1:2" x14ac:dyDescent="0.3">
      <c r="A7" t="s">
        <v>212</v>
      </c>
    </row>
    <row r="8" spans="1:2" x14ac:dyDescent="0.3">
      <c r="B8" t="s">
        <v>197</v>
      </c>
    </row>
    <row r="9" spans="1:2" x14ac:dyDescent="0.3">
      <c r="A9" t="s">
        <v>213</v>
      </c>
    </row>
    <row r="10" spans="1:2" x14ac:dyDescent="0.3">
      <c r="B10" t="s">
        <v>198</v>
      </c>
    </row>
    <row r="11" spans="1:2" x14ac:dyDescent="0.3">
      <c r="A11" t="s">
        <v>214</v>
      </c>
    </row>
    <row r="12" spans="1:2" x14ac:dyDescent="0.3">
      <c r="B12" t="s">
        <v>200</v>
      </c>
    </row>
    <row r="13" spans="1:2" x14ac:dyDescent="0.3">
      <c r="B13" t="s">
        <v>201</v>
      </c>
    </row>
    <row r="14" spans="1:2" x14ac:dyDescent="0.3">
      <c r="A14" t="s">
        <v>215</v>
      </c>
    </row>
    <row r="15" spans="1:2" x14ac:dyDescent="0.3">
      <c r="B15" t="s">
        <v>202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6:B9"/>
  <sheetViews>
    <sheetView showGridLines="0" workbookViewId="0">
      <selection activeCell="B3" sqref="B3"/>
    </sheetView>
  </sheetViews>
  <sheetFormatPr defaultRowHeight="14.4" x14ac:dyDescent="0.3"/>
  <sheetData>
    <row r="6" spans="1:2" x14ac:dyDescent="0.3">
      <c r="A6" s="21"/>
      <c r="B6" s="21"/>
    </row>
    <row r="7" spans="1:2" x14ac:dyDescent="0.3">
      <c r="B7" s="21"/>
    </row>
    <row r="8" spans="1:2" x14ac:dyDescent="0.3">
      <c r="A8" s="21"/>
    </row>
    <row r="9" spans="1:2" x14ac:dyDescent="0.3">
      <c r="A9" s="21"/>
      <c r="B9" s="2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6:B9"/>
  <sheetViews>
    <sheetView showGridLines="0" workbookViewId="0">
      <selection activeCell="B3" sqref="B3"/>
    </sheetView>
  </sheetViews>
  <sheetFormatPr defaultRowHeight="14.4" x14ac:dyDescent="0.3"/>
  <sheetData>
    <row r="6" spans="1:2" x14ac:dyDescent="0.3">
      <c r="A6" s="21"/>
      <c r="B6" s="21"/>
    </row>
    <row r="7" spans="1:2" x14ac:dyDescent="0.3">
      <c r="B7" s="21"/>
    </row>
    <row r="8" spans="1:2" x14ac:dyDescent="0.3">
      <c r="A8" s="21"/>
    </row>
    <row r="9" spans="1:2" x14ac:dyDescent="0.3">
      <c r="A9" s="21"/>
      <c r="B9" s="2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91BD0-192E-45AD-AE8F-62E9FD505386}">
  <dimension ref="A6:B9"/>
  <sheetViews>
    <sheetView showGridLines="0" workbookViewId="0">
      <selection activeCell="B3" sqref="B3"/>
    </sheetView>
  </sheetViews>
  <sheetFormatPr defaultRowHeight="14.4" x14ac:dyDescent="0.3"/>
  <sheetData>
    <row r="6" spans="1:2" x14ac:dyDescent="0.3">
      <c r="A6" s="21"/>
      <c r="B6" s="21"/>
    </row>
    <row r="7" spans="1:2" x14ac:dyDescent="0.3">
      <c r="B7" s="21"/>
    </row>
    <row r="8" spans="1:2" x14ac:dyDescent="0.3">
      <c r="A8" s="21"/>
    </row>
    <row r="9" spans="1:2" x14ac:dyDescent="0.3">
      <c r="A9" s="21"/>
      <c r="B9" s="21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D66"/>
  <sheetViews>
    <sheetView zoomScale="90" zoomScaleNormal="90" workbookViewId="0"/>
  </sheetViews>
  <sheetFormatPr defaultRowHeight="14.4" x14ac:dyDescent="0.3"/>
  <cols>
    <col min="1" max="1" width="13.44140625" bestFit="1" customWidth="1"/>
    <col min="2" max="2" width="24.44140625" bestFit="1" customWidth="1"/>
    <col min="3" max="3" width="10.21875" bestFit="1" customWidth="1"/>
    <col min="4" max="4" width="24.44140625" bestFit="1" customWidth="1"/>
    <col min="5" max="5" width="31.21875" bestFit="1" customWidth="1"/>
    <col min="6" max="6" width="18.21875" bestFit="1" customWidth="1"/>
    <col min="7" max="7" width="16" bestFit="1" customWidth="1"/>
    <col min="8" max="8" width="20.77734375" bestFit="1" customWidth="1"/>
    <col min="9" max="9" width="12" customWidth="1"/>
    <col min="10" max="10" width="16" bestFit="1" customWidth="1"/>
    <col min="11" max="11" width="19.109375" bestFit="1" customWidth="1"/>
    <col min="12" max="12" width="14.5546875" customWidth="1"/>
    <col min="13" max="13" width="14.109375" customWidth="1"/>
    <col min="14" max="14" width="15.6640625" customWidth="1"/>
    <col min="15" max="17" width="14.109375" customWidth="1"/>
    <col min="18" max="18" width="15.77734375" customWidth="1"/>
    <col min="19" max="19" width="14.109375" customWidth="1"/>
    <col min="20" max="20" width="15.33203125" customWidth="1"/>
    <col min="21" max="21" width="14.109375" customWidth="1"/>
    <col min="22" max="24" width="15.77734375" customWidth="1"/>
    <col min="26" max="26" width="22.77734375" customWidth="1"/>
    <col min="28" max="28" width="18.21875" bestFit="1" customWidth="1"/>
    <col min="29" max="29" width="24.44140625" bestFit="1" customWidth="1"/>
    <col min="30" max="30" width="29.44140625" bestFit="1" customWidth="1"/>
  </cols>
  <sheetData>
    <row r="1" spans="1:30" x14ac:dyDescent="0.3">
      <c r="A1" s="39" t="s">
        <v>180</v>
      </c>
      <c r="B1" t="s">
        <v>154</v>
      </c>
      <c r="K1" t="s">
        <v>281</v>
      </c>
      <c r="L1" t="s">
        <v>256</v>
      </c>
      <c r="M1" t="s">
        <v>135</v>
      </c>
      <c r="N1" t="s">
        <v>255</v>
      </c>
      <c r="O1" t="s">
        <v>260</v>
      </c>
      <c r="P1" t="s">
        <v>256</v>
      </c>
      <c r="Q1" s="80" t="s">
        <v>135</v>
      </c>
      <c r="R1" s="80"/>
      <c r="S1" s="80" t="s">
        <v>255</v>
      </c>
      <c r="T1" s="80"/>
      <c r="U1" s="80" t="s">
        <v>260</v>
      </c>
      <c r="V1" s="80"/>
      <c r="W1" s="80" t="s">
        <v>256</v>
      </c>
      <c r="X1" s="80"/>
      <c r="AB1" s="16" t="s">
        <v>135</v>
      </c>
      <c r="AC1" t="s">
        <v>262</v>
      </c>
    </row>
    <row r="2" spans="1:30" x14ac:dyDescent="0.3">
      <c r="A2" t="s">
        <v>137</v>
      </c>
      <c r="B2" s="44">
        <f ca="1">MAX(NETWORKDAYS($D$3,$E$6,$Z$4:$Z$9)/NETWORKDAYS($D$3,$E$3,$Z$4:$Z$9),0%)</f>
        <v>0</v>
      </c>
      <c r="D2" s="28" t="s">
        <v>124</v>
      </c>
      <c r="E2" s="29" t="s">
        <v>125</v>
      </c>
      <c r="G2" s="22" t="s">
        <v>139</v>
      </c>
      <c r="H2" s="22" t="s">
        <v>124</v>
      </c>
      <c r="I2" s="22" t="s">
        <v>125</v>
      </c>
      <c r="J2" s="22" t="s">
        <v>168</v>
      </c>
      <c r="K2" s="22" t="s">
        <v>178</v>
      </c>
      <c r="L2" s="22" t="s">
        <v>178</v>
      </c>
      <c r="M2" s="64" t="s">
        <v>179</v>
      </c>
      <c r="N2" s="22" t="s">
        <v>179</v>
      </c>
      <c r="O2" s="22" t="s">
        <v>179</v>
      </c>
      <c r="P2" s="22" t="s">
        <v>179</v>
      </c>
      <c r="Q2" s="22" t="s">
        <v>193</v>
      </c>
      <c r="R2" s="79" t="s">
        <v>194</v>
      </c>
      <c r="S2" s="22" t="s">
        <v>193</v>
      </c>
      <c r="T2" s="22" t="s">
        <v>194</v>
      </c>
      <c r="U2" s="22" t="s">
        <v>193</v>
      </c>
      <c r="V2" s="22" t="s">
        <v>194</v>
      </c>
      <c r="W2" s="22" t="s">
        <v>193</v>
      </c>
      <c r="X2" s="22" t="s">
        <v>194</v>
      </c>
      <c r="Z2" s="25" t="s">
        <v>167</v>
      </c>
      <c r="AB2" s="16" t="s">
        <v>9</v>
      </c>
      <c r="AC2" t="s">
        <v>62</v>
      </c>
    </row>
    <row r="3" spans="1:30" x14ac:dyDescent="0.3">
      <c r="A3" t="s">
        <v>138</v>
      </c>
      <c r="B3" s="30">
        <f ca="1">MAX(100%,B2)-B2</f>
        <v>1</v>
      </c>
      <c r="D3" s="26">
        <v>43873</v>
      </c>
      <c r="E3" s="27">
        <v>43970</v>
      </c>
      <c r="J3" s="34"/>
      <c r="K3" s="33">
        <v>0</v>
      </c>
      <c r="L3" s="33">
        <v>0</v>
      </c>
      <c r="M3" s="78">
        <f>100%-GETPIVOTDATA("Epic Remaining Estimate",$AB$4)/GETPIVOTDATA("Epic Total Estimate",$AB$4)</f>
        <v>0.25</v>
      </c>
      <c r="N3" s="76">
        <f>100%-GETPIVOTDATA("Epic Remaining Estimate",$AB$4,"ST:Components","Admin")/GETPIVOTDATA("Epic Total Estimate",$AB$4,"ST:Components","Admin")</f>
        <v>-0.5</v>
      </c>
      <c r="O3" s="76">
        <f>100%-GETPIVOTDATA("Epic Remaining Estimate",$AB$4,"ST:Components","Visio Import/Export")/GETPIVOTDATA("Epic Total Estimate",$AB$4,"ST:Components","Visio Import/Export")</f>
        <v>-2</v>
      </c>
      <c r="P3" s="76">
        <f>100%-GETPIVOTDATA("Epic Remaining Estimate",$AB$4,"ST:Components","Logging and Audit")/GETPIVOTDATA("Epic Total Estimate",$AB$4,"ST:Components","Logging and Audit")</f>
        <v>-2</v>
      </c>
      <c r="Q3" s="40">
        <f>$Q$25*(100%-K3)</f>
        <v>470</v>
      </c>
      <c r="R3" s="42">
        <f>GETPIVOTDATA("Epic Remaining Estimate",$AB$4)</f>
        <v>450</v>
      </c>
      <c r="S3" s="40">
        <f>$Q$26*(100%-K3)</f>
        <v>200</v>
      </c>
      <c r="T3" s="42">
        <f>GETPIVOTDATA("Epic Remaining Estimate",$AB$4,"ST:Components","Admin")</f>
        <v>150</v>
      </c>
      <c r="U3" s="40">
        <f>$Q$27*(100%-L3)</f>
        <v>200</v>
      </c>
      <c r="V3" s="42">
        <f>GETPIVOTDATA("Epic Remaining Estimate",$AB$4,"ST:Components","Visio Import/Export")</f>
        <v>150</v>
      </c>
      <c r="W3" s="40">
        <f>$Q$28*(100%-K3)</f>
        <v>60</v>
      </c>
      <c r="X3" s="42">
        <f>GETPIVOTDATA("Epic Remaining Estimate",$AB$4,"ST:Components","Logging and Audit")</f>
        <v>150</v>
      </c>
      <c r="Z3" s="32">
        <v>43878</v>
      </c>
      <c r="AB3" s="16" t="s">
        <v>247</v>
      </c>
      <c r="AC3" t="s">
        <v>218</v>
      </c>
    </row>
    <row r="4" spans="1:30" x14ac:dyDescent="0.3">
      <c r="D4" s="45"/>
      <c r="E4" s="46">
        <v>43970</v>
      </c>
      <c r="G4" s="23" t="s">
        <v>263</v>
      </c>
      <c r="H4" s="24">
        <v>43873</v>
      </c>
      <c r="I4" s="24">
        <f>H4+13</f>
        <v>43886</v>
      </c>
      <c r="J4" s="35">
        <f t="shared" ref="J4:J9" si="0">NETWORKDAYS(H4,I4,$Z$3:$Z$9)</f>
        <v>9</v>
      </c>
      <c r="K4" s="36">
        <f>SUM($J$4:J4)/SUM($J$4:$J$10)</f>
        <v>0.13432835820895522</v>
      </c>
      <c r="L4" s="36">
        <f>SUM($J$4:J4)/SUM($J$4:$J$10)</f>
        <v>0.13432835820895522</v>
      </c>
      <c r="M4" s="70">
        <f>100%-GETPIVOTDATA("Epic Remaining Estimate",$AB$4)/GETPIVOTDATA("Epic Total Estimate",$AB$4)</f>
        <v>0.25</v>
      </c>
      <c r="N4" s="76">
        <f>100%-GETPIVOTDATA("Epic Remaining Estimate",$AB$4,"ST:Components","Admin")/GETPIVOTDATA("Epic Total Estimate",$AB$4,"ST:Components","Admin")</f>
        <v>-0.5</v>
      </c>
      <c r="O4" s="76">
        <f>100%-GETPIVOTDATA("Epic Remaining Estimate",$AB$4,"ST:Components","Visio Import/Export")/GETPIVOTDATA("Epic Total Estimate",$AB$4,"ST:Components","Visio Import/Export")</f>
        <v>-2</v>
      </c>
      <c r="P4" s="76">
        <f>100%-GETPIVOTDATA("Epic Remaining Estimate",$AB$4,"ST:Components","Logging and Audit")/GETPIVOTDATA("Epic Total Estimate",$AB$4,"ST:Components","Logging and Audit")</f>
        <v>-2</v>
      </c>
      <c r="Q4" s="40">
        <f>$Q$25*(100%-K4)</f>
        <v>406.8656716417911</v>
      </c>
      <c r="R4" s="42">
        <f>GETPIVOTDATA("Epic Remaining Estimate",$AB$4)</f>
        <v>450</v>
      </c>
      <c r="S4" s="42">
        <f>$Q$26*(100%-K4)</f>
        <v>173.13432835820896</v>
      </c>
      <c r="T4" s="42">
        <f>GETPIVOTDATA("Epic Remaining Estimate",$AB$4,"ST:Components","Admin")</f>
        <v>150</v>
      </c>
      <c r="U4" s="40">
        <f>$Q$27*(100%-L4)</f>
        <v>173.13432835820896</v>
      </c>
      <c r="V4" s="42">
        <f>GETPIVOTDATA("Epic Remaining Estimate",$AB$4,"ST:Components","Visio Import/Export")</f>
        <v>150</v>
      </c>
      <c r="W4" s="40">
        <f>$Q$28*(100%-K4)</f>
        <v>51.940298507462693</v>
      </c>
      <c r="X4" s="42">
        <f>GETPIVOTDATA("Epic Remaining Estimate",$AB$4,"ST:Components","Logging and Audit")</f>
        <v>150</v>
      </c>
      <c r="Z4" s="32">
        <v>43931</v>
      </c>
    </row>
    <row r="5" spans="1:30" x14ac:dyDescent="0.3">
      <c r="A5" s="39" t="s">
        <v>135</v>
      </c>
      <c r="D5" t="s">
        <v>183</v>
      </c>
      <c r="E5" s="25" t="s">
        <v>181</v>
      </c>
      <c r="G5" s="23" t="s">
        <v>264</v>
      </c>
      <c r="H5" s="24">
        <f>I4+1</f>
        <v>43887</v>
      </c>
      <c r="I5" s="24">
        <f>I4+14</f>
        <v>43900</v>
      </c>
      <c r="J5" s="35">
        <f t="shared" si="0"/>
        <v>10</v>
      </c>
      <c r="K5" s="36">
        <f>SUM($J$4:J5)/SUM($J$4:$J$10)</f>
        <v>0.28358208955223879</v>
      </c>
      <c r="L5" s="36">
        <f>SUM($J$4:J5)/SUM($J$4:$J$10)</f>
        <v>0.28358208955223879</v>
      </c>
      <c r="M5" s="70"/>
      <c r="N5" s="76"/>
      <c r="O5" s="76"/>
      <c r="P5" s="76"/>
      <c r="Q5" s="40">
        <f t="shared" ref="Q5:Q9" si="1">$Q$25*(100%-K5)</f>
        <v>336.71641791044777</v>
      </c>
      <c r="R5" s="42"/>
      <c r="S5" s="42">
        <f t="shared" ref="S5:S9" si="2">$Q$26*(100%-K5)</f>
        <v>143.28358208955225</v>
      </c>
      <c r="T5" s="42"/>
      <c r="U5" s="40">
        <f t="shared" ref="U5:U9" si="3">$Q$27*(100%-L5)</f>
        <v>143.28358208955225</v>
      </c>
      <c r="V5" s="42"/>
      <c r="W5" s="40">
        <f t="shared" ref="W5:W9" si="4">$Q$28*(100%-K5)</f>
        <v>42.985074626865675</v>
      </c>
      <c r="X5" s="42"/>
      <c r="Z5" s="32">
        <v>43969</v>
      </c>
      <c r="AB5" s="16" t="s">
        <v>140</v>
      </c>
      <c r="AC5" t="s">
        <v>112</v>
      </c>
      <c r="AD5" t="s">
        <v>111</v>
      </c>
    </row>
    <row r="6" spans="1:30" x14ac:dyDescent="0.3">
      <c r="A6" t="s">
        <v>137</v>
      </c>
      <c r="B6" s="44">
        <f>100%-GETPIVOTDATA("Epic Remaining Estimate",$AB$4)/GETPIVOTDATA("Epic Total Estimate",$AB$4)</f>
        <v>0.25</v>
      </c>
      <c r="C6" s="21"/>
      <c r="D6" s="21" t="s">
        <v>182</v>
      </c>
      <c r="E6" s="25">
        <f ca="1">TODAY()</f>
        <v>43872</v>
      </c>
      <c r="G6" s="23" t="s">
        <v>265</v>
      </c>
      <c r="H6" s="24">
        <f>I5+1</f>
        <v>43901</v>
      </c>
      <c r="I6" s="24">
        <f>I5+14</f>
        <v>43914</v>
      </c>
      <c r="J6" s="35">
        <f t="shared" si="0"/>
        <v>10</v>
      </c>
      <c r="K6" s="36">
        <f>SUM($J$4:J6)/SUM($J$4:$J$10)</f>
        <v>0.43283582089552236</v>
      </c>
      <c r="L6" s="36">
        <f>SUM($J$4:J6)/SUM($J$4:$J$10)</f>
        <v>0.43283582089552236</v>
      </c>
      <c r="M6" s="70"/>
      <c r="N6" s="76"/>
      <c r="O6" s="76"/>
      <c r="P6" s="76"/>
      <c r="Q6" s="40">
        <f t="shared" ref="Q6" si="5">$Q$25*(100%-K6)</f>
        <v>266.56716417910451</v>
      </c>
      <c r="R6" s="42"/>
      <c r="S6" s="42">
        <f t="shared" ref="S6" si="6">$Q$26*(100%-K6)</f>
        <v>113.43283582089553</v>
      </c>
      <c r="T6" s="42"/>
      <c r="U6" s="40">
        <f t="shared" ref="U6" si="7">$Q$27*(100%-L6)</f>
        <v>113.43283582089553</v>
      </c>
      <c r="V6" s="42"/>
      <c r="W6" s="40">
        <f t="shared" ref="W6" si="8">$Q$28*(100%-K6)</f>
        <v>34.029850746268664</v>
      </c>
      <c r="X6" s="42"/>
      <c r="Z6" s="32"/>
      <c r="AB6" s="17" t="s">
        <v>184</v>
      </c>
      <c r="AC6" s="20">
        <v>400</v>
      </c>
      <c r="AD6" s="20"/>
    </row>
    <row r="7" spans="1:30" x14ac:dyDescent="0.3">
      <c r="A7" t="s">
        <v>138</v>
      </c>
      <c r="B7" s="30">
        <f>MAX(100%,B6)-B6</f>
        <v>0.75</v>
      </c>
      <c r="D7" s="21"/>
      <c r="E7" s="20"/>
      <c r="G7" s="23" t="s">
        <v>266</v>
      </c>
      <c r="H7" s="24">
        <f t="shared" ref="H7:H9" si="9">I6+1</f>
        <v>43915</v>
      </c>
      <c r="I7" s="24">
        <f t="shared" ref="I7:I10" si="10">I6+14</f>
        <v>43928</v>
      </c>
      <c r="J7" s="35">
        <f t="shared" si="0"/>
        <v>10</v>
      </c>
      <c r="K7" s="36">
        <f>SUM($J$4:J7)/SUM($J$4:$J$10)</f>
        <v>0.58208955223880599</v>
      </c>
      <c r="L7" s="36">
        <f>SUM($J$4:J7)/SUM($J$4:$J$10)</f>
        <v>0.58208955223880599</v>
      </c>
      <c r="M7" s="70"/>
      <c r="N7" s="76"/>
      <c r="O7" s="76"/>
      <c r="P7" s="76"/>
      <c r="Q7" s="40">
        <f t="shared" si="1"/>
        <v>196.41791044776119</v>
      </c>
      <c r="R7" s="42"/>
      <c r="S7" s="42">
        <f t="shared" si="2"/>
        <v>83.582089552238799</v>
      </c>
      <c r="T7" s="42"/>
      <c r="U7" s="40">
        <f t="shared" si="3"/>
        <v>83.582089552238799</v>
      </c>
      <c r="V7" s="42"/>
      <c r="W7" s="40">
        <f t="shared" si="4"/>
        <v>25.07462686567164</v>
      </c>
      <c r="X7" s="42"/>
      <c r="Z7" s="32"/>
      <c r="AB7" s="17" t="s">
        <v>255</v>
      </c>
      <c r="AC7" s="20">
        <v>100</v>
      </c>
      <c r="AD7" s="20">
        <v>150</v>
      </c>
    </row>
    <row r="8" spans="1:30" x14ac:dyDescent="0.3">
      <c r="B8" s="21"/>
      <c r="C8" s="21"/>
      <c r="G8" s="23" t="s">
        <v>267</v>
      </c>
      <c r="H8" s="24">
        <f t="shared" si="9"/>
        <v>43929</v>
      </c>
      <c r="I8" s="24">
        <f t="shared" si="10"/>
        <v>43942</v>
      </c>
      <c r="J8" s="35">
        <f t="shared" si="0"/>
        <v>9</v>
      </c>
      <c r="K8" s="36">
        <f>SUM($J$4:J8)/SUM($J$4:$J$10)</f>
        <v>0.71641791044776115</v>
      </c>
      <c r="L8" s="36">
        <f>SUM($J$4:J8)/SUM($J$4:$J$10)</f>
        <v>0.71641791044776115</v>
      </c>
      <c r="M8" s="70"/>
      <c r="N8" s="76"/>
      <c r="O8" s="76"/>
      <c r="P8" s="76"/>
      <c r="Q8" s="40">
        <f t="shared" si="1"/>
        <v>133.28358208955225</v>
      </c>
      <c r="R8" s="42"/>
      <c r="S8" s="42">
        <f t="shared" si="2"/>
        <v>56.716417910447767</v>
      </c>
      <c r="T8" s="42"/>
      <c r="U8" s="40">
        <f t="shared" si="3"/>
        <v>56.716417910447767</v>
      </c>
      <c r="V8" s="42"/>
      <c r="W8" s="40">
        <f t="shared" si="4"/>
        <v>17.014925373134332</v>
      </c>
      <c r="X8" s="42"/>
      <c r="Z8" s="32"/>
      <c r="AB8" s="17" t="s">
        <v>279</v>
      </c>
      <c r="AC8" s="20">
        <v>50</v>
      </c>
      <c r="AD8" s="20">
        <v>150</v>
      </c>
    </row>
    <row r="9" spans="1:30" x14ac:dyDescent="0.3">
      <c r="A9" s="39" t="s">
        <v>255</v>
      </c>
      <c r="B9" s="21"/>
      <c r="C9" s="21"/>
      <c r="D9" s="21"/>
      <c r="G9" s="67" t="s">
        <v>268</v>
      </c>
      <c r="H9" s="68">
        <f t="shared" si="9"/>
        <v>43943</v>
      </c>
      <c r="I9" s="68">
        <f t="shared" si="10"/>
        <v>43956</v>
      </c>
      <c r="J9" s="69">
        <f t="shared" si="0"/>
        <v>10</v>
      </c>
      <c r="K9" s="70">
        <f>SUM($J$4:J9)/SUM($J$4:$J$10)</f>
        <v>0.86567164179104472</v>
      </c>
      <c r="L9" s="70">
        <f>SUM($J$4:J9)/SUM($J$4:$J$10)</f>
        <v>0.86567164179104472</v>
      </c>
      <c r="M9" s="70"/>
      <c r="N9" s="76"/>
      <c r="O9" s="76"/>
      <c r="P9" s="76"/>
      <c r="Q9" s="42">
        <f t="shared" si="1"/>
        <v>63.134328358208982</v>
      </c>
      <c r="R9" s="42"/>
      <c r="S9" s="42">
        <f t="shared" si="2"/>
        <v>26.865671641791057</v>
      </c>
      <c r="T9" s="42"/>
      <c r="U9" s="42">
        <f t="shared" si="3"/>
        <v>26.865671641791057</v>
      </c>
      <c r="V9" s="42"/>
      <c r="W9" s="42">
        <f t="shared" si="4"/>
        <v>8.0597014925373163</v>
      </c>
      <c r="X9" s="42"/>
      <c r="Z9" s="32"/>
      <c r="AB9" s="17" t="s">
        <v>280</v>
      </c>
      <c r="AC9" s="20">
        <v>50</v>
      </c>
      <c r="AD9" s="20">
        <v>150</v>
      </c>
    </row>
    <row r="10" spans="1:30" x14ac:dyDescent="0.3">
      <c r="A10" t="s">
        <v>137</v>
      </c>
      <c r="B10" s="44">
        <f>100%-GETPIVOTDATA("Epic Remaining Estimate",$AB$4,"ST:Components","Admin")/GETPIVOTDATA("Epic Total Estimate",$AB$4,"ST:Components","Admin")</f>
        <v>-0.5</v>
      </c>
      <c r="G10" s="72" t="s">
        <v>269</v>
      </c>
      <c r="H10" s="73">
        <f t="shared" ref="H10" si="11">I9+1</f>
        <v>43957</v>
      </c>
      <c r="I10" s="73">
        <f t="shared" si="10"/>
        <v>43970</v>
      </c>
      <c r="J10" s="74">
        <f t="shared" ref="J10" si="12">NETWORKDAYS(H10,I10,$Z$3:$Z$9)</f>
        <v>9</v>
      </c>
      <c r="K10" s="75">
        <f>SUM($J$4:J10)/SUM($J$4:$J$10)</f>
        <v>1</v>
      </c>
      <c r="L10" s="75">
        <f>SUM($J$4:J10)/SUM($J$4:$J$10)</f>
        <v>1</v>
      </c>
      <c r="M10" s="75"/>
      <c r="N10" s="77"/>
      <c r="O10" s="77"/>
      <c r="P10" s="77"/>
      <c r="Q10" s="71">
        <f t="shared" ref="Q10" si="13">$Q$25*(100%-K10)</f>
        <v>0</v>
      </c>
      <c r="R10" s="71"/>
      <c r="S10" s="71">
        <f t="shared" ref="S10" si="14">$Q$26*(100%-K10)</f>
        <v>0</v>
      </c>
      <c r="T10" s="71"/>
      <c r="U10" s="71">
        <f t="shared" ref="U10" si="15">$Q$27*(100%-L10)</f>
        <v>0</v>
      </c>
      <c r="V10" s="71"/>
      <c r="W10" s="71">
        <f t="shared" ref="W10" si="16">$Q$28*(100%-K10)</f>
        <v>0</v>
      </c>
      <c r="X10" s="71"/>
      <c r="Z10" s="32"/>
      <c r="AB10" s="17" t="s">
        <v>50</v>
      </c>
      <c r="AC10" s="20">
        <v>600</v>
      </c>
      <c r="AD10" s="20">
        <v>450</v>
      </c>
    </row>
    <row r="11" spans="1:30" x14ac:dyDescent="0.3">
      <c r="A11" t="s">
        <v>138</v>
      </c>
      <c r="B11" s="30">
        <f>MAX(100%,B10)-B10</f>
        <v>1.5</v>
      </c>
      <c r="G11" s="67"/>
      <c r="H11" s="68"/>
      <c r="I11" s="68"/>
      <c r="J11" s="69"/>
      <c r="K11" s="70"/>
      <c r="L11" s="70"/>
      <c r="M11" s="65"/>
      <c r="N11" s="65"/>
      <c r="O11" s="65"/>
      <c r="P11" s="65"/>
      <c r="Q11" s="42"/>
      <c r="R11" s="66"/>
      <c r="S11" s="42"/>
      <c r="T11" s="66"/>
      <c r="U11" s="42"/>
      <c r="V11" s="66"/>
      <c r="W11" s="66"/>
      <c r="X11" s="66"/>
      <c r="Z11" s="32"/>
    </row>
    <row r="12" spans="1:30" x14ac:dyDescent="0.3">
      <c r="G12" s="23"/>
      <c r="H12" s="24"/>
      <c r="I12" s="24"/>
      <c r="J12" s="35"/>
      <c r="K12" s="36"/>
      <c r="L12" s="36"/>
      <c r="M12" s="38"/>
      <c r="N12" s="38"/>
      <c r="O12" s="38"/>
      <c r="P12" s="38"/>
      <c r="Q12" s="40"/>
      <c r="R12" s="41"/>
      <c r="S12" s="42"/>
      <c r="T12" s="41"/>
      <c r="U12" s="40"/>
      <c r="V12" s="41"/>
      <c r="W12" s="41"/>
      <c r="X12" s="41"/>
      <c r="Z12" s="32"/>
    </row>
    <row r="13" spans="1:30" x14ac:dyDescent="0.3">
      <c r="A13" s="39" t="s">
        <v>260</v>
      </c>
      <c r="G13" s="23"/>
      <c r="H13" s="24"/>
      <c r="I13" s="24"/>
      <c r="J13" s="35"/>
      <c r="K13" s="36"/>
      <c r="L13" s="36"/>
      <c r="M13" s="38"/>
      <c r="N13" s="38"/>
      <c r="O13" s="38"/>
      <c r="P13" s="38"/>
      <c r="Q13" s="40"/>
      <c r="R13" s="41"/>
      <c r="S13" s="42"/>
      <c r="T13" s="41"/>
      <c r="U13" s="40"/>
      <c r="V13" s="41"/>
      <c r="W13" s="41"/>
      <c r="X13" s="41"/>
    </row>
    <row r="14" spans="1:30" x14ac:dyDescent="0.3">
      <c r="A14" t="s">
        <v>137</v>
      </c>
      <c r="B14" s="44">
        <f>100%-GETPIVOTDATA("Epic Remaining Estimate",$AB$4,"ST:Components","Visio Import/Export")/GETPIVOTDATA("Epic Total Estimate",$AB$4,"ST:Components","Visio Import/Export")</f>
        <v>-2</v>
      </c>
      <c r="G14" s="23"/>
      <c r="H14" s="24"/>
      <c r="I14" s="24"/>
      <c r="J14" s="35"/>
      <c r="K14" s="36"/>
      <c r="L14" s="36"/>
      <c r="M14" s="38"/>
      <c r="N14" s="38"/>
      <c r="O14" s="38"/>
      <c r="P14" s="38"/>
      <c r="Q14" s="40"/>
      <c r="R14" s="41"/>
      <c r="S14" s="42"/>
      <c r="T14" s="41"/>
      <c r="U14" s="40"/>
      <c r="V14" s="41"/>
      <c r="W14" s="41"/>
      <c r="X14" s="41"/>
    </row>
    <row r="15" spans="1:30" x14ac:dyDescent="0.3">
      <c r="A15" t="s">
        <v>138</v>
      </c>
      <c r="B15" s="30">
        <f>MAX(100%,B14)-B14</f>
        <v>3</v>
      </c>
      <c r="G15" s="23"/>
      <c r="H15" s="24"/>
      <c r="I15" s="24"/>
      <c r="J15" s="35"/>
      <c r="K15" s="36"/>
      <c r="L15" s="36"/>
      <c r="M15" s="38"/>
      <c r="N15" s="38"/>
      <c r="O15" s="38"/>
      <c r="P15" s="38"/>
      <c r="Q15" s="40"/>
      <c r="R15" s="41"/>
      <c r="S15" s="42"/>
      <c r="T15" s="41"/>
      <c r="U15" s="40"/>
      <c r="V15" s="41"/>
      <c r="W15" s="41"/>
      <c r="X15" s="41"/>
    </row>
    <row r="16" spans="1:30" x14ac:dyDescent="0.3">
      <c r="G16" s="23"/>
      <c r="H16" s="24"/>
      <c r="I16" s="24"/>
      <c r="J16" s="35"/>
      <c r="K16" s="36"/>
      <c r="L16" s="36"/>
      <c r="M16" s="38"/>
      <c r="N16" s="38"/>
      <c r="O16" s="38"/>
      <c r="P16" s="38"/>
      <c r="Q16" s="40"/>
      <c r="R16" s="41"/>
      <c r="S16" s="42"/>
      <c r="T16" s="41"/>
      <c r="U16" s="40"/>
      <c r="V16" s="41"/>
      <c r="W16" s="41"/>
      <c r="X16" s="41"/>
    </row>
    <row r="17" spans="1:24" x14ac:dyDescent="0.3">
      <c r="A17" s="39" t="s">
        <v>261</v>
      </c>
      <c r="G17" s="23"/>
      <c r="H17" s="24"/>
      <c r="I17" s="24"/>
      <c r="J17" s="35"/>
      <c r="K17" s="36"/>
      <c r="L17" s="36"/>
      <c r="M17" s="38"/>
      <c r="N17" s="38"/>
      <c r="O17" s="38"/>
      <c r="P17" s="38"/>
      <c r="Q17" s="40"/>
      <c r="R17" s="41"/>
      <c r="S17" s="42"/>
      <c r="T17" s="41"/>
      <c r="U17" s="40"/>
      <c r="V17" s="41"/>
      <c r="W17" s="41"/>
      <c r="X17" s="41"/>
    </row>
    <row r="18" spans="1:24" x14ac:dyDescent="0.3">
      <c r="A18" t="s">
        <v>137</v>
      </c>
      <c r="B18" s="44">
        <f>100%-GETPIVOTDATA("Epic Remaining Estimate",$AB$4,"ST:Components","Logging and Audit")/GETPIVOTDATA("Epic Total Estimate",$AB$4,"ST:Components","Logging and Audit")</f>
        <v>-2</v>
      </c>
      <c r="G18" s="23"/>
      <c r="H18" s="24"/>
      <c r="I18" s="24"/>
      <c r="J18" s="35"/>
      <c r="K18" s="36"/>
      <c r="L18" s="36"/>
      <c r="M18" s="38"/>
      <c r="N18" s="38"/>
      <c r="O18" s="38"/>
      <c r="P18" s="38"/>
      <c r="Q18" s="40"/>
      <c r="R18" s="41"/>
      <c r="S18" s="42"/>
      <c r="T18" s="41"/>
      <c r="U18" s="40"/>
      <c r="V18" s="41"/>
      <c r="W18" s="41"/>
      <c r="X18" s="41"/>
    </row>
    <row r="19" spans="1:24" x14ac:dyDescent="0.3">
      <c r="A19" t="s">
        <v>138</v>
      </c>
      <c r="B19" s="30">
        <f>MAX(100%,B18)-B18</f>
        <v>3</v>
      </c>
      <c r="G19" s="23"/>
      <c r="H19" s="24"/>
      <c r="I19" s="24"/>
      <c r="J19" s="35"/>
      <c r="K19" s="36"/>
      <c r="L19" s="36"/>
      <c r="M19" s="38"/>
      <c r="N19" s="38"/>
      <c r="O19" s="38"/>
      <c r="P19" s="38"/>
      <c r="Q19" s="40"/>
      <c r="R19" s="41"/>
      <c r="S19" s="42"/>
      <c r="T19" s="41"/>
      <c r="U19" s="40"/>
      <c r="V19" s="41"/>
      <c r="W19" s="41"/>
      <c r="X19" s="41"/>
    </row>
    <row r="20" spans="1:24" x14ac:dyDescent="0.3">
      <c r="B20" s="30"/>
      <c r="G20" s="23"/>
      <c r="H20" s="24"/>
      <c r="I20" s="24"/>
      <c r="J20" s="35"/>
      <c r="K20" s="36"/>
      <c r="L20" s="36"/>
      <c r="M20" s="38"/>
      <c r="N20" s="38"/>
      <c r="O20" s="38"/>
      <c r="P20" s="38"/>
      <c r="Q20" s="40"/>
      <c r="R20" s="41"/>
      <c r="S20" s="42"/>
      <c r="T20" s="41"/>
      <c r="U20" s="40"/>
      <c r="V20" s="41"/>
      <c r="W20" s="41"/>
      <c r="X20" s="41"/>
    </row>
    <row r="21" spans="1:24" x14ac:dyDescent="0.3">
      <c r="A21" s="39" t="s">
        <v>278</v>
      </c>
      <c r="B21" s="39"/>
    </row>
    <row r="22" spans="1:24" x14ac:dyDescent="0.3">
      <c r="A22" t="s">
        <v>137</v>
      </c>
      <c r="B22" s="44">
        <f ca="1">MAX(NETWORKDAYS($D$3,$E$6,$Z$4:$Z$9)/NETWORKDAYS($D$3,$E$3,$Z$4:$Z$9),0%)</f>
        <v>0</v>
      </c>
    </row>
    <row r="23" spans="1:24" x14ac:dyDescent="0.3">
      <c r="A23" t="s">
        <v>138</v>
      </c>
      <c r="B23" s="30">
        <f ca="1">MAX(100%,B22)-B22</f>
        <v>1</v>
      </c>
    </row>
    <row r="24" spans="1:24" x14ac:dyDescent="0.3">
      <c r="D24" s="16" t="s">
        <v>135</v>
      </c>
      <c r="E24" t="s">
        <v>262</v>
      </c>
      <c r="G24" s="16" t="s">
        <v>135</v>
      </c>
      <c r="H24" t="s">
        <v>262</v>
      </c>
      <c r="J24" s="16" t="s">
        <v>135</v>
      </c>
      <c r="K24" t="s">
        <v>262</v>
      </c>
      <c r="P24" t="s">
        <v>221</v>
      </c>
      <c r="Q24" t="s">
        <v>222</v>
      </c>
    </row>
    <row r="25" spans="1:24" x14ac:dyDescent="0.3">
      <c r="A25" s="16" t="s">
        <v>135</v>
      </c>
      <c r="B25" t="s">
        <v>262</v>
      </c>
      <c r="D25" s="16" t="s">
        <v>9</v>
      </c>
      <c r="E25" t="s">
        <v>62</v>
      </c>
      <c r="G25" s="16" t="s">
        <v>9</v>
      </c>
      <c r="H25" t="s">
        <v>62</v>
      </c>
      <c r="J25" s="16" t="s">
        <v>9</v>
      </c>
      <c r="K25" t="s">
        <v>62</v>
      </c>
      <c r="P25" t="s">
        <v>135</v>
      </c>
      <c r="Q25">
        <v>470</v>
      </c>
    </row>
    <row r="26" spans="1:24" x14ac:dyDescent="0.3">
      <c r="A26" s="16" t="s">
        <v>9</v>
      </c>
      <c r="B26" t="s">
        <v>62</v>
      </c>
      <c r="C26" s="37"/>
      <c r="D26" s="16" t="s">
        <v>20</v>
      </c>
      <c r="E26" t="s">
        <v>255</v>
      </c>
      <c r="G26" s="16" t="s">
        <v>20</v>
      </c>
      <c r="H26" t="s">
        <v>279</v>
      </c>
      <c r="J26" s="16" t="s">
        <v>20</v>
      </c>
      <c r="K26" t="s">
        <v>280</v>
      </c>
      <c r="P26" t="s">
        <v>255</v>
      </c>
      <c r="Q26">
        <v>200</v>
      </c>
    </row>
    <row r="27" spans="1:24" x14ac:dyDescent="0.3">
      <c r="A27" s="16" t="s">
        <v>247</v>
      </c>
      <c r="B27" t="s">
        <v>218</v>
      </c>
      <c r="D27" s="16" t="s">
        <v>247</v>
      </c>
      <c r="E27" t="s">
        <v>218</v>
      </c>
      <c r="G27" s="16" t="s">
        <v>247</v>
      </c>
      <c r="H27" t="s">
        <v>218</v>
      </c>
      <c r="J27" s="16" t="s">
        <v>247</v>
      </c>
      <c r="K27" t="s">
        <v>218</v>
      </c>
      <c r="P27" t="s">
        <v>260</v>
      </c>
      <c r="Q27">
        <v>200</v>
      </c>
    </row>
    <row r="28" spans="1:24" x14ac:dyDescent="0.3">
      <c r="L28" s="16"/>
      <c r="M28" s="16"/>
      <c r="N28" s="16"/>
      <c r="O28" s="16"/>
      <c r="P28" t="s">
        <v>261</v>
      </c>
      <c r="Q28" s="16">
        <v>60</v>
      </c>
    </row>
    <row r="29" spans="1:24" x14ac:dyDescent="0.3">
      <c r="A29" s="16" t="s">
        <v>172</v>
      </c>
      <c r="D29" s="16" t="s">
        <v>172</v>
      </c>
      <c r="G29" s="16" t="s">
        <v>172</v>
      </c>
      <c r="J29" s="16" t="s">
        <v>172</v>
      </c>
    </row>
    <row r="30" spans="1:24" x14ac:dyDescent="0.3">
      <c r="A30" s="17" t="s">
        <v>173</v>
      </c>
      <c r="B30" s="20">
        <v>150</v>
      </c>
      <c r="D30" s="17" t="s">
        <v>173</v>
      </c>
      <c r="E30" s="20">
        <v>-50</v>
      </c>
      <c r="G30" s="17" t="s">
        <v>173</v>
      </c>
      <c r="H30" s="20">
        <v>-100</v>
      </c>
      <c r="J30" s="17" t="s">
        <v>173</v>
      </c>
      <c r="K30" s="20">
        <v>-100</v>
      </c>
    </row>
    <row r="31" spans="1:24" x14ac:dyDescent="0.3">
      <c r="A31" s="17" t="s">
        <v>174</v>
      </c>
      <c r="B31" s="20">
        <v>120</v>
      </c>
      <c r="D31" s="17" t="s">
        <v>174</v>
      </c>
      <c r="E31" s="20">
        <v>40</v>
      </c>
      <c r="G31" s="17" t="s">
        <v>174</v>
      </c>
      <c r="H31" s="20">
        <v>40</v>
      </c>
      <c r="J31" s="17" t="s">
        <v>174</v>
      </c>
      <c r="K31" s="20">
        <v>40</v>
      </c>
    </row>
    <row r="32" spans="1:24" x14ac:dyDescent="0.3">
      <c r="A32" s="17" t="s">
        <v>148</v>
      </c>
      <c r="B32" s="20">
        <v>180</v>
      </c>
      <c r="D32" s="17" t="s">
        <v>148</v>
      </c>
      <c r="E32" s="20">
        <v>60</v>
      </c>
      <c r="G32" s="17" t="s">
        <v>148</v>
      </c>
      <c r="H32" s="20">
        <v>60</v>
      </c>
      <c r="J32" s="17" t="s">
        <v>148</v>
      </c>
      <c r="K32" s="20">
        <v>60</v>
      </c>
    </row>
    <row r="33" spans="1:11" x14ac:dyDescent="0.3">
      <c r="A33" s="17" t="s">
        <v>175</v>
      </c>
      <c r="B33" s="20">
        <v>90</v>
      </c>
      <c r="D33" s="17" t="s">
        <v>175</v>
      </c>
      <c r="E33" s="20">
        <v>30</v>
      </c>
      <c r="G33" s="17" t="s">
        <v>175</v>
      </c>
      <c r="H33" s="20">
        <v>30</v>
      </c>
      <c r="J33" s="17" t="s">
        <v>175</v>
      </c>
      <c r="K33" s="20">
        <v>30</v>
      </c>
    </row>
    <row r="34" spans="1:11" x14ac:dyDescent="0.3">
      <c r="A34" s="17" t="s">
        <v>176</v>
      </c>
      <c r="B34" s="20">
        <v>60</v>
      </c>
      <c r="D34" s="17" t="s">
        <v>176</v>
      </c>
      <c r="E34" s="20">
        <v>-80</v>
      </c>
      <c r="G34" s="17" t="s">
        <v>176</v>
      </c>
      <c r="H34" s="20">
        <v>-130</v>
      </c>
      <c r="J34" s="17" t="s">
        <v>176</v>
      </c>
      <c r="K34" s="20">
        <v>-130</v>
      </c>
    </row>
    <row r="35" spans="1:11" x14ac:dyDescent="0.3">
      <c r="A35" s="17"/>
      <c r="B35" s="20"/>
      <c r="D35" s="17"/>
      <c r="E35" s="20"/>
      <c r="G35" s="17"/>
      <c r="H35" s="20"/>
      <c r="J35" s="17"/>
      <c r="K35" s="20"/>
    </row>
    <row r="36" spans="1:11" x14ac:dyDescent="0.3">
      <c r="A36" s="16" t="s">
        <v>135</v>
      </c>
      <c r="B36" t="s">
        <v>262</v>
      </c>
    </row>
    <row r="37" spans="1:11" x14ac:dyDescent="0.3">
      <c r="A37" s="16" t="s">
        <v>9</v>
      </c>
      <c r="B37" t="s">
        <v>62</v>
      </c>
      <c r="D37" s="16" t="s">
        <v>135</v>
      </c>
      <c r="E37" t="s">
        <v>262</v>
      </c>
      <c r="G37" s="16" t="s">
        <v>135</v>
      </c>
      <c r="H37" t="s">
        <v>262</v>
      </c>
      <c r="J37" s="16" t="s">
        <v>135</v>
      </c>
      <c r="K37" t="s">
        <v>262</v>
      </c>
    </row>
    <row r="38" spans="1:11" x14ac:dyDescent="0.3">
      <c r="A38" s="16" t="s">
        <v>247</v>
      </c>
      <c r="B38" t="s">
        <v>218</v>
      </c>
      <c r="D38" s="16" t="s">
        <v>9</v>
      </c>
      <c r="E38" t="s">
        <v>62</v>
      </c>
      <c r="G38" s="16" t="s">
        <v>9</v>
      </c>
      <c r="H38" t="s">
        <v>62</v>
      </c>
      <c r="J38" s="16" t="s">
        <v>9</v>
      </c>
      <c r="K38" t="s">
        <v>62</v>
      </c>
    </row>
    <row r="39" spans="1:11" x14ac:dyDescent="0.3">
      <c r="D39" s="16" t="s">
        <v>20</v>
      </c>
      <c r="E39" t="s">
        <v>255</v>
      </c>
      <c r="G39" s="16" t="s">
        <v>20</v>
      </c>
      <c r="H39" t="s">
        <v>279</v>
      </c>
      <c r="J39" s="16" t="s">
        <v>20</v>
      </c>
      <c r="K39" t="s">
        <v>280</v>
      </c>
    </row>
    <row r="40" spans="1:11" x14ac:dyDescent="0.3">
      <c r="A40" t="s">
        <v>112</v>
      </c>
    </row>
    <row r="41" spans="1:11" x14ac:dyDescent="0.3">
      <c r="A41" s="20">
        <v>600</v>
      </c>
      <c r="B41">
        <f>SUM(B30:B34)</f>
        <v>600</v>
      </c>
      <c r="D41" t="s">
        <v>112</v>
      </c>
      <c r="G41" t="s">
        <v>112</v>
      </c>
      <c r="J41" t="s">
        <v>112</v>
      </c>
    </row>
    <row r="42" spans="1:11" x14ac:dyDescent="0.3">
      <c r="D42" s="20">
        <v>100</v>
      </c>
      <c r="E42">
        <f>SUM(E30:E34)</f>
        <v>0</v>
      </c>
      <c r="G42" s="20">
        <v>50</v>
      </c>
      <c r="H42">
        <f>SUM(H30:H34)</f>
        <v>-100</v>
      </c>
      <c r="J42" s="20">
        <v>50</v>
      </c>
      <c r="K42">
        <f>SUM(K30:K34)</f>
        <v>-100</v>
      </c>
    </row>
    <row r="43" spans="1:11" x14ac:dyDescent="0.3">
      <c r="D43" s="20"/>
      <c r="G43" s="20"/>
    </row>
    <row r="44" spans="1:11" x14ac:dyDescent="0.3">
      <c r="D44" s="20"/>
      <c r="G44" s="20"/>
    </row>
    <row r="45" spans="1:11" x14ac:dyDescent="0.3">
      <c r="D45" s="20"/>
      <c r="G45" s="20"/>
    </row>
    <row r="46" spans="1:11" x14ac:dyDescent="0.3">
      <c r="D46" s="20"/>
      <c r="G46" s="20"/>
    </row>
    <row r="47" spans="1:11" x14ac:dyDescent="0.3">
      <c r="D47" s="20"/>
      <c r="G47" s="20"/>
    </row>
    <row r="48" spans="1:11" x14ac:dyDescent="0.3">
      <c r="D48" s="20"/>
      <c r="G48" s="20"/>
    </row>
    <row r="49" spans="1:7" x14ac:dyDescent="0.3">
      <c r="D49" s="20"/>
      <c r="E49" s="16" t="s">
        <v>9</v>
      </c>
      <c r="F49" t="s">
        <v>58</v>
      </c>
      <c r="G49" s="20"/>
    </row>
    <row r="50" spans="1:7" x14ac:dyDescent="0.3">
      <c r="A50" s="16" t="s">
        <v>9</v>
      </c>
      <c r="B50" t="s">
        <v>62</v>
      </c>
    </row>
    <row r="51" spans="1:7" x14ac:dyDescent="0.3">
      <c r="A51" s="16" t="s">
        <v>135</v>
      </c>
      <c r="B51" t="s">
        <v>262</v>
      </c>
      <c r="E51" s="16" t="s">
        <v>140</v>
      </c>
      <c r="F51" t="s">
        <v>144</v>
      </c>
    </row>
    <row r="52" spans="1:7" x14ac:dyDescent="0.3">
      <c r="A52" s="16" t="s">
        <v>247</v>
      </c>
      <c r="B52" t="s">
        <v>218</v>
      </c>
      <c r="E52" s="17" t="s">
        <v>240</v>
      </c>
      <c r="F52" s="20">
        <v>10</v>
      </c>
    </row>
    <row r="53" spans="1:7" x14ac:dyDescent="0.3">
      <c r="E53" s="17" t="s">
        <v>242</v>
      </c>
      <c r="F53" s="20">
        <v>10</v>
      </c>
    </row>
    <row r="54" spans="1:7" x14ac:dyDescent="0.3">
      <c r="A54" s="16" t="s">
        <v>140</v>
      </c>
      <c r="B54" t="s">
        <v>112</v>
      </c>
      <c r="E54" s="17" t="s">
        <v>243</v>
      </c>
      <c r="F54" s="20">
        <v>10</v>
      </c>
    </row>
    <row r="55" spans="1:7" x14ac:dyDescent="0.3">
      <c r="A55" s="17" t="s">
        <v>255</v>
      </c>
      <c r="B55" s="20">
        <v>250</v>
      </c>
      <c r="E55" s="17" t="s">
        <v>244</v>
      </c>
      <c r="F55" s="20">
        <v>10</v>
      </c>
    </row>
    <row r="56" spans="1:7" x14ac:dyDescent="0.3">
      <c r="A56" s="17" t="s">
        <v>260</v>
      </c>
      <c r="B56" s="20">
        <v>100</v>
      </c>
      <c r="E56" s="17" t="s">
        <v>245</v>
      </c>
      <c r="F56" s="20">
        <v>10</v>
      </c>
    </row>
    <row r="57" spans="1:7" x14ac:dyDescent="0.3">
      <c r="A57" s="17" t="s">
        <v>261</v>
      </c>
      <c r="B57" s="20">
        <v>150</v>
      </c>
      <c r="E57" s="17" t="s">
        <v>241</v>
      </c>
      <c r="F57" s="20">
        <v>10</v>
      </c>
    </row>
    <row r="58" spans="1:7" x14ac:dyDescent="0.3">
      <c r="A58" s="17" t="s">
        <v>185</v>
      </c>
      <c r="B58" s="20">
        <v>50</v>
      </c>
      <c r="E58" s="17" t="s">
        <v>246</v>
      </c>
      <c r="F58" s="20">
        <v>10</v>
      </c>
    </row>
    <row r="59" spans="1:7" x14ac:dyDescent="0.3">
      <c r="A59" s="17" t="s">
        <v>186</v>
      </c>
      <c r="B59" s="20">
        <v>50</v>
      </c>
      <c r="E59" s="17" t="s">
        <v>184</v>
      </c>
      <c r="F59" s="20"/>
    </row>
    <row r="60" spans="1:7" x14ac:dyDescent="0.3">
      <c r="A60" s="17" t="s">
        <v>50</v>
      </c>
      <c r="B60" s="20">
        <v>600</v>
      </c>
      <c r="E60" s="17" t="s">
        <v>50</v>
      </c>
      <c r="F60" s="20">
        <v>70</v>
      </c>
    </row>
    <row r="66" spans="2:6" x14ac:dyDescent="0.3">
      <c r="B66">
        <f>GETPIVOTDATA("Epic Total Estimate",$A$54)</f>
        <v>600</v>
      </c>
      <c r="F66">
        <f>GETPIVOTDATA("Story Points",$E$51)</f>
        <v>70</v>
      </c>
    </row>
  </sheetData>
  <mergeCells count="4">
    <mergeCell ref="Q1:R1"/>
    <mergeCell ref="S1:T1"/>
    <mergeCell ref="U1:V1"/>
    <mergeCell ref="W1:X1"/>
  </mergeCells>
  <conditionalFormatting sqref="B41">
    <cfRule type="cellIs" dxfId="15" priority="4" operator="notEqual">
      <formula>$A$41</formula>
    </cfRule>
  </conditionalFormatting>
  <conditionalFormatting sqref="E42">
    <cfRule type="cellIs" dxfId="14" priority="3" operator="notEqual">
      <formula>$D$42</formula>
    </cfRule>
  </conditionalFormatting>
  <conditionalFormatting sqref="H42">
    <cfRule type="cellIs" dxfId="13" priority="2" operator="notEqual">
      <formula>$G$42</formula>
    </cfRule>
  </conditionalFormatting>
  <conditionalFormatting sqref="K42">
    <cfRule type="cellIs" dxfId="12" priority="1" operator="notEqual">
      <formula>$J$42</formula>
    </cfRule>
  </conditionalFormatting>
  <pageMargins left="0.7" right="0.7" top="0.75" bottom="0.75" header="0.3" footer="0.3"/>
  <pageSetup orientation="portrait" r:id="rId12"/>
  <tableParts count="3">
    <tablePart r:id="rId13"/>
    <tablePart r:id="rId14"/>
    <tablePart r:id="rId1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P18"/>
  <sheetViews>
    <sheetView zoomScaleNormal="100" workbookViewId="0">
      <pane xSplit="3" ySplit="2" topLeftCell="D3" activePane="bottomRight" state="frozen"/>
      <selection pane="topRight" activeCell="D1" sqref="D1"/>
      <selection pane="bottomLeft" activeCell="A3" sqref="A3"/>
      <selection pane="bottomRight" sqref="A1:C1"/>
    </sheetView>
  </sheetViews>
  <sheetFormatPr defaultRowHeight="14.4" x14ac:dyDescent="0.3"/>
  <cols>
    <col min="1" max="1" width="7.21875" customWidth="1"/>
    <col min="2" max="2" width="10.21875" customWidth="1"/>
    <col min="3" max="3" width="9.88671875" customWidth="1"/>
    <col min="4" max="4" width="8.109375" style="61" customWidth="1"/>
    <col min="5" max="5" width="8.109375" style="63" customWidth="1"/>
    <col min="6" max="6" width="11.44140625" customWidth="1"/>
    <col min="7" max="7" width="11.33203125" customWidth="1"/>
    <col min="8" max="8" width="10" customWidth="1"/>
    <col min="9" max="9" width="9.33203125" customWidth="1"/>
    <col min="10" max="10" width="12.5546875" customWidth="1"/>
    <col min="11" max="11" width="12.21875" customWidth="1"/>
    <col min="12" max="12" width="9.109375" style="47"/>
    <col min="13" max="13" width="9.109375" style="63"/>
    <col min="14" max="15" width="11.44140625" customWidth="1"/>
    <col min="16" max="16" width="10.44140625" customWidth="1"/>
    <col min="17" max="17" width="9.88671875" customWidth="1"/>
    <col min="18" max="18" width="12.6640625" customWidth="1"/>
    <col min="19" max="19" width="12.33203125" customWidth="1"/>
    <col min="20" max="20" width="8" style="61" customWidth="1"/>
    <col min="21" max="21" width="8" style="63" customWidth="1"/>
    <col min="22" max="22" width="11.21875" customWidth="1"/>
    <col min="23" max="24" width="12.21875" customWidth="1"/>
    <col min="25" max="25" width="12.44140625" customWidth="1"/>
    <col min="26" max="26" width="12.77734375" customWidth="1"/>
    <col min="27" max="27" width="12.33203125" customWidth="1"/>
    <col min="28" max="28" width="8" style="61" customWidth="1"/>
    <col min="29" max="29" width="8" style="63" customWidth="1"/>
    <col min="30" max="30" width="11.21875" customWidth="1"/>
    <col min="31" max="32" width="12.21875" customWidth="1"/>
    <col min="33" max="33" width="12.44140625" customWidth="1"/>
    <col min="34" max="34" width="12.77734375" customWidth="1"/>
    <col min="35" max="35" width="12.33203125" customWidth="1"/>
    <col min="36" max="36" width="9.109375" style="47"/>
    <col min="38" max="38" width="17.21875" bestFit="1" customWidth="1"/>
    <col min="39" max="39" width="23.5546875" bestFit="1" customWidth="1"/>
    <col min="40" max="40" width="21" bestFit="1" customWidth="1"/>
    <col min="41" max="41" width="22.6640625" bestFit="1" customWidth="1"/>
    <col min="42" max="42" width="28.33203125" bestFit="1" customWidth="1"/>
    <col min="43" max="43" width="27.109375" bestFit="1" customWidth="1"/>
    <col min="44" max="44" width="24.77734375" bestFit="1" customWidth="1"/>
    <col min="45" max="45" width="26.109375" bestFit="1" customWidth="1"/>
    <col min="46" max="46" width="31.6640625" bestFit="1" customWidth="1"/>
  </cols>
  <sheetData>
    <row r="1" spans="1:42" x14ac:dyDescent="0.3">
      <c r="A1" s="81"/>
      <c r="B1" s="81"/>
      <c r="C1" s="81"/>
      <c r="D1" s="82" t="s">
        <v>135</v>
      </c>
      <c r="E1" s="82"/>
      <c r="F1" s="82"/>
      <c r="G1" s="82"/>
      <c r="H1" s="82"/>
      <c r="I1" s="82"/>
      <c r="J1" s="82"/>
      <c r="K1" s="82"/>
      <c r="L1" s="82" t="s">
        <v>255</v>
      </c>
      <c r="M1" s="82"/>
      <c r="N1" s="82"/>
      <c r="O1" s="82"/>
      <c r="P1" s="82"/>
      <c r="Q1" s="82"/>
      <c r="R1" s="82"/>
      <c r="S1" s="82"/>
      <c r="T1" s="82" t="s">
        <v>260</v>
      </c>
      <c r="U1" s="82"/>
      <c r="V1" s="82"/>
      <c r="W1" s="82"/>
      <c r="X1" s="82"/>
      <c r="Y1" s="82"/>
      <c r="Z1" s="82"/>
      <c r="AA1" s="82"/>
      <c r="AB1" s="82" t="s">
        <v>261</v>
      </c>
      <c r="AC1" s="82"/>
      <c r="AD1" s="82"/>
      <c r="AE1" s="82"/>
      <c r="AF1" s="82"/>
      <c r="AG1" s="82"/>
      <c r="AH1" s="82"/>
      <c r="AI1" s="82"/>
    </row>
    <row r="2" spans="1:42" s="55" customFormat="1" ht="43.2" x14ac:dyDescent="0.3">
      <c r="A2" s="48" t="s">
        <v>188</v>
      </c>
      <c r="B2" s="48" t="s">
        <v>124</v>
      </c>
      <c r="C2" s="48" t="s">
        <v>125</v>
      </c>
      <c r="D2" s="49" t="s">
        <v>203</v>
      </c>
      <c r="E2" s="50" t="s">
        <v>204</v>
      </c>
      <c r="F2" s="51" t="s">
        <v>117</v>
      </c>
      <c r="G2" s="51" t="s">
        <v>205</v>
      </c>
      <c r="H2" s="51" t="s">
        <v>206</v>
      </c>
      <c r="I2" s="51" t="s">
        <v>207</v>
      </c>
      <c r="J2" s="51" t="s">
        <v>208</v>
      </c>
      <c r="K2" s="52" t="s">
        <v>209</v>
      </c>
      <c r="L2" s="49" t="s">
        <v>203</v>
      </c>
      <c r="M2" s="50" t="s">
        <v>204</v>
      </c>
      <c r="N2" s="51" t="s">
        <v>117</v>
      </c>
      <c r="O2" s="51" t="s">
        <v>205</v>
      </c>
      <c r="P2" s="51" t="s">
        <v>206</v>
      </c>
      <c r="Q2" s="51" t="s">
        <v>207</v>
      </c>
      <c r="R2" s="51" t="s">
        <v>208</v>
      </c>
      <c r="S2" s="52" t="s">
        <v>209</v>
      </c>
      <c r="T2" s="53" t="s">
        <v>203</v>
      </c>
      <c r="U2" s="50" t="s">
        <v>204</v>
      </c>
      <c r="V2" s="51" t="s">
        <v>117</v>
      </c>
      <c r="W2" s="51" t="s">
        <v>205</v>
      </c>
      <c r="X2" s="51" t="s">
        <v>206</v>
      </c>
      <c r="Y2" s="51" t="s">
        <v>207</v>
      </c>
      <c r="Z2" s="51" t="s">
        <v>208</v>
      </c>
      <c r="AA2" s="52" t="s">
        <v>209</v>
      </c>
      <c r="AB2" s="53" t="s">
        <v>203</v>
      </c>
      <c r="AC2" s="50" t="s">
        <v>204</v>
      </c>
      <c r="AD2" s="51" t="s">
        <v>117</v>
      </c>
      <c r="AE2" s="51" t="s">
        <v>205</v>
      </c>
      <c r="AF2" s="51" t="s">
        <v>206</v>
      </c>
      <c r="AG2" s="51" t="s">
        <v>207</v>
      </c>
      <c r="AH2" s="51" t="s">
        <v>208</v>
      </c>
      <c r="AI2" s="52" t="s">
        <v>209</v>
      </c>
      <c r="AJ2" s="54"/>
    </row>
    <row r="3" spans="1:42" x14ac:dyDescent="0.3">
      <c r="B3" s="56"/>
      <c r="C3" s="56"/>
      <c r="D3" s="57">
        <f>GETPIVOTDATA("Epic Total Estimate", $AL$8, "Type", "Epic")</f>
        <v>600</v>
      </c>
      <c r="E3" s="58">
        <f>_ReleaseData!$Q$25</f>
        <v>470</v>
      </c>
      <c r="F3" s="40">
        <f>GETPIVOTDATA("Stories Estimate", $AL$8, "Type", "Epic")</f>
        <v>0</v>
      </c>
      <c r="G3" s="40">
        <f>GETPIVOTDATA("Epic Decomposed", $AL$8, "Type", "Epic")</f>
        <v>540</v>
      </c>
      <c r="H3" s="40">
        <f t="shared" ref="H3:H4" si="0">D3-I3</f>
        <v>150</v>
      </c>
      <c r="I3" s="40">
        <f>GETPIVOTDATA("Epic Remaining Estimate", $AL$8, "Type", "Epic")</f>
        <v>450</v>
      </c>
      <c r="J3" s="33">
        <f t="shared" ref="J3:J4" si="1" xml:space="preserve"> G3/D3</f>
        <v>0.9</v>
      </c>
      <c r="K3" s="33">
        <f t="shared" ref="K3:K4" si="2" xml:space="preserve"> H3/D3</f>
        <v>0.25</v>
      </c>
      <c r="L3" s="59">
        <f>GETPIVOTDATA("Epic Total Estimate", $AL$8, "Type", "Epic", "ST:Components", "Admin")</f>
        <v>100</v>
      </c>
      <c r="M3" s="58">
        <f>_ReleaseData!$Q$26</f>
        <v>200</v>
      </c>
      <c r="N3" s="40">
        <f>GETPIVOTDATA("Stories Estimate", $AL$8, "Type", "Epic", "ST:Components", "Admin")</f>
        <v>0</v>
      </c>
      <c r="O3" s="40">
        <f>GETPIVOTDATA("Epic Decomposed", $AL$8, "Type", "Epic", "ST:Components", "Admin")</f>
        <v>180</v>
      </c>
      <c r="P3" s="40">
        <f t="shared" ref="P3:P4" si="3">L3-Q3</f>
        <v>-50</v>
      </c>
      <c r="Q3" s="40">
        <f>GETPIVOTDATA("Epic Remaining Estimate", $AL$8, "Type", "Epic", "ST:Components", "Admin")</f>
        <v>150</v>
      </c>
      <c r="R3" s="33">
        <f t="shared" ref="R3:R4" si="4" xml:space="preserve"> O3/L3</f>
        <v>1.8</v>
      </c>
      <c r="S3" s="33">
        <f t="shared" ref="S3:S4" si="5" xml:space="preserve"> P3/L3</f>
        <v>-0.5</v>
      </c>
      <c r="T3" s="57">
        <f>GETPIVOTDATA("Epic Total Estimate", $AL$8, "Type", "Epic", "ST:Components", "Visio Import/Export")</f>
        <v>50</v>
      </c>
      <c r="U3" s="58">
        <f>_ReleaseData!$Q$27</f>
        <v>200</v>
      </c>
      <c r="V3" s="40">
        <f>GETPIVOTDATA("Stories Estimate", $AL$8, "Type", "Epic", "ST:Components", "Visio Import/Export")</f>
        <v>0</v>
      </c>
      <c r="W3" s="40">
        <f>GETPIVOTDATA("Epic Decomposed", $AL$8, "Type", "Epic", "ST:Components", "Visio Import/Export")</f>
        <v>180</v>
      </c>
      <c r="X3" s="40">
        <f t="shared" ref="X3:X4" si="6">T3-Y3</f>
        <v>-100</v>
      </c>
      <c r="Y3" s="40">
        <f>GETPIVOTDATA("Epic Remaining Estimate", $AL$8, "Type", "Epic", "ST:Components", "Visio Import/Export")</f>
        <v>150</v>
      </c>
      <c r="Z3" s="33">
        <f t="shared" ref="Z3:Z4" si="7" xml:space="preserve"> W3/T3</f>
        <v>3.6</v>
      </c>
      <c r="AA3" s="33">
        <f t="shared" ref="AA3:AA4" si="8">X3/T3</f>
        <v>-2</v>
      </c>
      <c r="AB3" s="57">
        <f>GETPIVOTDATA("Epic Total Estimate", $AL$8, "Type", "Epic", "ST:Components", "Logging and Audit")</f>
        <v>50</v>
      </c>
      <c r="AC3" s="58">
        <f>_ReleaseData!$Q$28</f>
        <v>60</v>
      </c>
      <c r="AD3" s="40">
        <f>GETPIVOTDATA("Stories Estimate", $AL$8, "Type", "Epic", "ST:Components", "Logging and Audit")</f>
        <v>0</v>
      </c>
      <c r="AE3" s="40">
        <f>GETPIVOTDATA("Epic Decomposed", $AL$8, "Type", "Epic", "ST:Components", "Logging and Audit")</f>
        <v>180</v>
      </c>
      <c r="AF3" s="40">
        <f t="shared" ref="AF3:AF4" si="9">AB3-AG3</f>
        <v>-100</v>
      </c>
      <c r="AG3" s="40">
        <f>GETPIVOTDATA("Epic Remaining Estimate", $AL$8, "Type", "Epic", "ST:Components", "Logging and Audit")</f>
        <v>150</v>
      </c>
      <c r="AH3" s="33">
        <f t="shared" ref="AH3:AH4" si="10" xml:space="preserve"> AE3/AB3</f>
        <v>3.6</v>
      </c>
      <c r="AI3" s="33">
        <f t="shared" ref="AI3:AI4" si="11">AF3/AB3</f>
        <v>-2</v>
      </c>
    </row>
    <row r="4" spans="1:42" x14ac:dyDescent="0.3">
      <c r="A4" t="s">
        <v>263</v>
      </c>
      <c r="B4" s="60">
        <v>43873</v>
      </c>
      <c r="C4" s="60">
        <v>43886</v>
      </c>
      <c r="D4" s="57">
        <f>GETPIVOTDATA("Epic Total Estimate", $AL$8, "Type", "Epic")</f>
        <v>600</v>
      </c>
      <c r="E4" s="58">
        <f>_ReleaseData!$Q$25</f>
        <v>470</v>
      </c>
      <c r="F4" s="40">
        <f>GETPIVOTDATA("Stories Estimate", $AL$8, "Type", "Epic")</f>
        <v>0</v>
      </c>
      <c r="G4" s="40">
        <f>GETPIVOTDATA("Epic Decomposed", $AL$8, "Type", "Epic")</f>
        <v>540</v>
      </c>
      <c r="H4" s="40">
        <f t="shared" si="0"/>
        <v>150</v>
      </c>
      <c r="I4" s="40">
        <f>GETPIVOTDATA("Epic Remaining Estimate", $AL$8, "Type", "Epic")</f>
        <v>450</v>
      </c>
      <c r="J4" s="33">
        <f t="shared" si="1"/>
        <v>0.9</v>
      </c>
      <c r="K4" s="33">
        <f t="shared" si="2"/>
        <v>0.25</v>
      </c>
      <c r="L4" s="59">
        <f>GETPIVOTDATA("Epic Total Estimate", $AL$8, "Type", "Epic", "ST:Components", "Admin")</f>
        <v>100</v>
      </c>
      <c r="M4" s="58">
        <f>_ReleaseData!$Q$26</f>
        <v>200</v>
      </c>
      <c r="N4" s="40">
        <f>GETPIVOTDATA("Stories Estimate", $AL$8, "Type", "Epic", "ST:Components", "Admin")</f>
        <v>0</v>
      </c>
      <c r="O4" s="40">
        <f>GETPIVOTDATA("Epic Decomposed", $AL$8, "Type", "Epic", "ST:Components", "Admin")</f>
        <v>180</v>
      </c>
      <c r="P4" s="40">
        <f t="shared" si="3"/>
        <v>-50</v>
      </c>
      <c r="Q4" s="40">
        <f>GETPIVOTDATA("Epic Remaining Estimate", $AL$8, "Type", "Epic", "ST:Components", "Admin")</f>
        <v>150</v>
      </c>
      <c r="R4" s="33">
        <f t="shared" si="4"/>
        <v>1.8</v>
      </c>
      <c r="S4" s="33">
        <f t="shared" si="5"/>
        <v>-0.5</v>
      </c>
      <c r="T4" s="57">
        <f>GETPIVOTDATA("Epic Total Estimate", $AL$8, "Type", "Epic", "ST:Components", "Visio Import/Export")</f>
        <v>50</v>
      </c>
      <c r="U4" s="58">
        <f>_ReleaseData!$Q$27</f>
        <v>200</v>
      </c>
      <c r="V4" s="40">
        <f>GETPIVOTDATA("Stories Estimate", $AL$8, "Type", "Epic", "ST:Components", "Visio Import/Export")</f>
        <v>0</v>
      </c>
      <c r="W4" s="40">
        <f>GETPIVOTDATA("Epic Decomposed", $AL$8, "Type", "Epic", "ST:Components", "Visio Import/Export")</f>
        <v>180</v>
      </c>
      <c r="X4" s="40">
        <f t="shared" si="6"/>
        <v>-100</v>
      </c>
      <c r="Y4" s="40">
        <f>GETPIVOTDATA("Epic Remaining Estimate", $AL$8, "Type", "Epic", "ST:Components", "Visio Import/Export")</f>
        <v>150</v>
      </c>
      <c r="Z4" s="33">
        <f t="shared" si="7"/>
        <v>3.6</v>
      </c>
      <c r="AA4" s="33">
        <f t="shared" si="8"/>
        <v>-2</v>
      </c>
      <c r="AB4" s="57">
        <f>GETPIVOTDATA("Epic Total Estimate", $AL$8, "Type", "Epic", "ST:Components", "Logging and Audit")</f>
        <v>50</v>
      </c>
      <c r="AC4" s="58">
        <f>_ReleaseData!$Q$28</f>
        <v>60</v>
      </c>
      <c r="AD4" s="40">
        <f>GETPIVOTDATA("Stories Estimate", $AL$8, "Type", "Epic", "ST:Components", "Logging and Audit")</f>
        <v>0</v>
      </c>
      <c r="AE4" s="40">
        <f>GETPIVOTDATA("Epic Decomposed", $AL$8, "Type", "Epic", "ST:Components", "Logging and Audit")</f>
        <v>180</v>
      </c>
      <c r="AF4" s="40">
        <f t="shared" si="9"/>
        <v>-100</v>
      </c>
      <c r="AG4" s="40">
        <f>GETPIVOTDATA("Epic Remaining Estimate", $AL$8, "Type", "Epic", "ST:Components", "Logging and Audit")</f>
        <v>150</v>
      </c>
      <c r="AH4" s="33">
        <f t="shared" si="10"/>
        <v>3.6</v>
      </c>
      <c r="AI4" s="33">
        <f t="shared" si="11"/>
        <v>-2</v>
      </c>
    </row>
    <row r="5" spans="1:42" x14ac:dyDescent="0.3">
      <c r="A5" t="s">
        <v>264</v>
      </c>
      <c r="B5" s="60">
        <v>43887</v>
      </c>
      <c r="C5" s="60">
        <v>43900</v>
      </c>
      <c r="D5" s="57"/>
      <c r="E5" s="58"/>
      <c r="F5" s="40"/>
      <c r="G5" s="40"/>
      <c r="H5" s="40"/>
      <c r="I5" s="40"/>
      <c r="J5" s="33" t="e">
        <f t="shared" ref="J5" si="12" xml:space="preserve"> G5/D5</f>
        <v>#DIV/0!</v>
      </c>
      <c r="K5" s="33" t="e">
        <f t="shared" ref="K5" si="13" xml:space="preserve"> H5/D5</f>
        <v>#DIV/0!</v>
      </c>
      <c r="L5" s="59"/>
      <c r="M5" s="58"/>
      <c r="N5" s="40"/>
      <c r="O5" s="40"/>
      <c r="P5" s="40"/>
      <c r="Q5" s="40"/>
      <c r="R5" s="33" t="e">
        <f t="shared" ref="R5" si="14" xml:space="preserve"> O5/L5</f>
        <v>#DIV/0!</v>
      </c>
      <c r="S5" s="33" t="e">
        <f t="shared" ref="S5" si="15" xml:space="preserve"> P5/L5</f>
        <v>#DIV/0!</v>
      </c>
      <c r="T5" s="57"/>
      <c r="U5" s="58"/>
      <c r="V5" s="40"/>
      <c r="W5" s="40"/>
      <c r="X5" s="40"/>
      <c r="Y5" s="40"/>
      <c r="Z5" s="33" t="e">
        <f t="shared" ref="Z5" si="16" xml:space="preserve"> W5/T5</f>
        <v>#DIV/0!</v>
      </c>
      <c r="AA5" s="33" t="e">
        <f t="shared" ref="AA5" si="17">X5/T5</f>
        <v>#DIV/0!</v>
      </c>
      <c r="AB5" s="57"/>
      <c r="AC5" s="58"/>
      <c r="AD5" s="40"/>
      <c r="AE5" s="40"/>
      <c r="AF5" s="40"/>
      <c r="AG5" s="40"/>
      <c r="AH5" s="33" t="e">
        <f t="shared" ref="AH5" si="18" xml:space="preserve"> AE5/AB5</f>
        <v>#DIV/0!</v>
      </c>
      <c r="AI5" s="33" t="e">
        <f t="shared" ref="AI5" si="19">AF5/AB5</f>
        <v>#DIV/0!</v>
      </c>
    </row>
    <row r="6" spans="1:42" x14ac:dyDescent="0.3">
      <c r="A6" t="s">
        <v>265</v>
      </c>
      <c r="B6" s="60">
        <v>43901</v>
      </c>
      <c r="C6" s="60">
        <v>43914</v>
      </c>
      <c r="D6" s="57"/>
      <c r="E6" s="58"/>
      <c r="F6" s="40"/>
      <c r="G6" s="40"/>
      <c r="H6" s="40"/>
      <c r="I6" s="40"/>
      <c r="J6" s="33" t="e">
        <f t="shared" ref="J6" si="20" xml:space="preserve"> G6/D6</f>
        <v>#DIV/0!</v>
      </c>
      <c r="K6" s="33" t="e">
        <f t="shared" ref="K6" si="21" xml:space="preserve"> H6/D6</f>
        <v>#DIV/0!</v>
      </c>
      <c r="L6" s="59"/>
      <c r="M6" s="58"/>
      <c r="N6" s="40"/>
      <c r="O6" s="40"/>
      <c r="P6" s="40"/>
      <c r="Q6" s="40"/>
      <c r="R6" s="33" t="e">
        <f t="shared" ref="R6" si="22" xml:space="preserve"> O6/L6</f>
        <v>#DIV/0!</v>
      </c>
      <c r="S6" s="33" t="e">
        <f t="shared" ref="S6" si="23" xml:space="preserve"> P6/L6</f>
        <v>#DIV/0!</v>
      </c>
      <c r="T6" s="57"/>
      <c r="U6" s="58"/>
      <c r="V6" s="40"/>
      <c r="W6" s="40"/>
      <c r="X6" s="40"/>
      <c r="Y6" s="40"/>
      <c r="Z6" s="33" t="e">
        <f t="shared" ref="Z6" si="24" xml:space="preserve"> W6/T6</f>
        <v>#DIV/0!</v>
      </c>
      <c r="AA6" s="33" t="e">
        <f t="shared" ref="AA6" si="25">X6/T6</f>
        <v>#DIV/0!</v>
      </c>
      <c r="AB6" s="57"/>
      <c r="AC6" s="58"/>
      <c r="AD6" s="40"/>
      <c r="AE6" s="40"/>
      <c r="AF6" s="40"/>
      <c r="AG6" s="40"/>
      <c r="AH6" s="33" t="e">
        <f t="shared" ref="AH6" si="26" xml:space="preserve"> AE6/AB6</f>
        <v>#DIV/0!</v>
      </c>
      <c r="AI6" s="33" t="e">
        <f t="shared" ref="AI6" si="27">AF6/AB6</f>
        <v>#DIV/0!</v>
      </c>
    </row>
    <row r="7" spans="1:42" x14ac:dyDescent="0.3">
      <c r="A7" t="s">
        <v>266</v>
      </c>
      <c r="B7" s="60">
        <v>43915</v>
      </c>
      <c r="C7" s="60">
        <v>43928</v>
      </c>
      <c r="D7" s="57"/>
      <c r="E7" s="58"/>
      <c r="F7" s="40"/>
      <c r="G7" s="40"/>
      <c r="H7" s="40"/>
      <c r="I7" s="40"/>
      <c r="J7" s="33" t="e">
        <f t="shared" ref="J7:J8" si="28" xml:space="preserve"> G7/D7</f>
        <v>#DIV/0!</v>
      </c>
      <c r="K7" s="33" t="e">
        <f t="shared" ref="K7:K8" si="29" xml:space="preserve"> H7/D7</f>
        <v>#DIV/0!</v>
      </c>
      <c r="L7" s="59"/>
      <c r="M7" s="58"/>
      <c r="N7" s="40"/>
      <c r="O7" s="40"/>
      <c r="P7" s="40"/>
      <c r="Q7" s="40"/>
      <c r="R7" s="33" t="e">
        <f t="shared" ref="R7:R8" si="30" xml:space="preserve"> O7/L7</f>
        <v>#DIV/0!</v>
      </c>
      <c r="S7" s="33" t="e">
        <f t="shared" ref="S7:S8" si="31" xml:space="preserve"> P7/L7</f>
        <v>#DIV/0!</v>
      </c>
      <c r="T7" s="57"/>
      <c r="U7" s="58"/>
      <c r="V7" s="40"/>
      <c r="W7" s="40"/>
      <c r="X7" s="40"/>
      <c r="Y7" s="40"/>
      <c r="Z7" s="33" t="e">
        <f t="shared" ref="Z7:Z8" si="32" xml:space="preserve"> W7/T7</f>
        <v>#DIV/0!</v>
      </c>
      <c r="AA7" s="33" t="e">
        <f t="shared" ref="AA7:AA8" si="33">X7/T7</f>
        <v>#DIV/0!</v>
      </c>
      <c r="AB7" s="57"/>
      <c r="AC7" s="58"/>
      <c r="AD7" s="40"/>
      <c r="AE7" s="40"/>
      <c r="AF7" s="40"/>
      <c r="AG7" s="40"/>
      <c r="AH7" s="33" t="e">
        <f t="shared" ref="AH7:AH8" si="34" xml:space="preserve"> AE7/AB7</f>
        <v>#DIV/0!</v>
      </c>
      <c r="AI7" s="33" t="e">
        <f t="shared" ref="AI7:AI8" si="35">AF7/AB7</f>
        <v>#DIV/0!</v>
      </c>
      <c r="AL7" s="16" t="s">
        <v>135</v>
      </c>
      <c r="AM7" t="s">
        <v>262</v>
      </c>
    </row>
    <row r="8" spans="1:42" x14ac:dyDescent="0.3">
      <c r="A8" t="s">
        <v>267</v>
      </c>
      <c r="B8" s="60">
        <v>43929</v>
      </c>
      <c r="C8" s="60">
        <v>43942</v>
      </c>
      <c r="D8" s="57"/>
      <c r="E8" s="58"/>
      <c r="F8" s="40"/>
      <c r="G8" s="40"/>
      <c r="H8" s="40"/>
      <c r="I8" s="40"/>
      <c r="J8" s="33" t="e">
        <f t="shared" si="28"/>
        <v>#DIV/0!</v>
      </c>
      <c r="K8" s="33" t="e">
        <f t="shared" si="29"/>
        <v>#DIV/0!</v>
      </c>
      <c r="L8" s="59"/>
      <c r="M8" s="58"/>
      <c r="N8" s="40"/>
      <c r="O8" s="40"/>
      <c r="P8" s="40"/>
      <c r="Q8" s="40"/>
      <c r="R8" s="33" t="e">
        <f t="shared" si="30"/>
        <v>#DIV/0!</v>
      </c>
      <c r="S8" s="33" t="e">
        <f t="shared" si="31"/>
        <v>#DIV/0!</v>
      </c>
      <c r="T8" s="57"/>
      <c r="U8" s="58"/>
      <c r="V8" s="40"/>
      <c r="W8" s="40"/>
      <c r="X8" s="40"/>
      <c r="Y8" s="40"/>
      <c r="Z8" s="33" t="e">
        <f t="shared" si="32"/>
        <v>#DIV/0!</v>
      </c>
      <c r="AA8" s="33" t="e">
        <f t="shared" si="33"/>
        <v>#DIV/0!</v>
      </c>
      <c r="AB8" s="57"/>
      <c r="AC8" s="58"/>
      <c r="AD8" s="40"/>
      <c r="AE8" s="40"/>
      <c r="AF8" s="40"/>
      <c r="AG8" s="40"/>
      <c r="AH8" s="33" t="e">
        <f t="shared" si="34"/>
        <v>#DIV/0!</v>
      </c>
      <c r="AI8" s="33" t="e">
        <f t="shared" si="35"/>
        <v>#DIV/0!</v>
      </c>
      <c r="AL8" s="16" t="s">
        <v>247</v>
      </c>
      <c r="AM8" t="s">
        <v>218</v>
      </c>
    </row>
    <row r="9" spans="1:42" x14ac:dyDescent="0.3">
      <c r="A9" t="s">
        <v>268</v>
      </c>
      <c r="B9" s="60">
        <v>43943</v>
      </c>
      <c r="C9" s="60">
        <v>43956</v>
      </c>
      <c r="D9" s="57"/>
      <c r="E9" s="58"/>
      <c r="F9" s="40"/>
      <c r="G9" s="40"/>
      <c r="H9" s="40"/>
      <c r="I9" s="40"/>
      <c r="J9" s="33" t="e">
        <f t="shared" ref="J9" si="36" xml:space="preserve"> G9/D9</f>
        <v>#DIV/0!</v>
      </c>
      <c r="K9" s="33" t="e">
        <f t="shared" ref="K9" si="37" xml:space="preserve"> H9/D9</f>
        <v>#DIV/0!</v>
      </c>
      <c r="L9" s="59"/>
      <c r="M9" s="58"/>
      <c r="N9" s="40"/>
      <c r="O9" s="40"/>
      <c r="P9" s="40"/>
      <c r="Q9" s="40"/>
      <c r="R9" s="33" t="e">
        <f t="shared" ref="R9" si="38" xml:space="preserve"> O9/L9</f>
        <v>#DIV/0!</v>
      </c>
      <c r="S9" s="33" t="e">
        <f t="shared" ref="S9" si="39" xml:space="preserve"> P9/L9</f>
        <v>#DIV/0!</v>
      </c>
      <c r="T9" s="57"/>
      <c r="U9" s="58"/>
      <c r="V9" s="40"/>
      <c r="W9" s="40"/>
      <c r="X9" s="40"/>
      <c r="Y9" s="40"/>
      <c r="Z9" s="33" t="e">
        <f t="shared" ref="Z9" si="40" xml:space="preserve"> W9/T9</f>
        <v>#DIV/0!</v>
      </c>
      <c r="AA9" s="33" t="e">
        <f t="shared" ref="AA9" si="41">X9/T9</f>
        <v>#DIV/0!</v>
      </c>
      <c r="AB9" s="57"/>
      <c r="AC9" s="58"/>
      <c r="AD9" s="40"/>
      <c r="AE9" s="40"/>
      <c r="AF9" s="40"/>
      <c r="AG9" s="40"/>
      <c r="AH9" s="33" t="e">
        <f t="shared" ref="AH9" si="42" xml:space="preserve"> AE9/AB9</f>
        <v>#DIV/0!</v>
      </c>
      <c r="AI9" s="33" t="e">
        <f t="shared" ref="AI9" si="43">AF9/AB9</f>
        <v>#DIV/0!</v>
      </c>
    </row>
    <row r="10" spans="1:42" ht="13.95" customHeight="1" x14ac:dyDescent="0.3">
      <c r="A10" t="s">
        <v>269</v>
      </c>
      <c r="B10" s="60">
        <v>43957</v>
      </c>
      <c r="C10" s="60">
        <v>43970</v>
      </c>
      <c r="D10" s="57"/>
      <c r="E10" s="58"/>
      <c r="F10" s="40"/>
      <c r="G10" s="40"/>
      <c r="H10" s="40"/>
      <c r="I10" s="40"/>
      <c r="J10" s="33" t="e">
        <f t="shared" ref="J10" si="44" xml:space="preserve"> G10/D10</f>
        <v>#DIV/0!</v>
      </c>
      <c r="K10" s="33" t="e">
        <f t="shared" ref="K10" si="45" xml:space="preserve"> H10/D10</f>
        <v>#DIV/0!</v>
      </c>
      <c r="L10" s="59"/>
      <c r="M10" s="58"/>
      <c r="N10" s="40"/>
      <c r="O10" s="40"/>
      <c r="P10" s="40"/>
      <c r="Q10" s="40"/>
      <c r="R10" s="33" t="e">
        <f t="shared" ref="R10" si="46" xml:space="preserve"> O10/L10</f>
        <v>#DIV/0!</v>
      </c>
      <c r="S10" s="33" t="e">
        <f t="shared" ref="S10" si="47" xml:space="preserve"> P10/L10</f>
        <v>#DIV/0!</v>
      </c>
      <c r="T10" s="57"/>
      <c r="U10" s="58"/>
      <c r="V10" s="40"/>
      <c r="W10" s="40"/>
      <c r="X10" s="40"/>
      <c r="Y10" s="40"/>
      <c r="Z10" s="33" t="e">
        <f t="shared" ref="Z10" si="48" xml:space="preserve"> W10/T10</f>
        <v>#DIV/0!</v>
      </c>
      <c r="AA10" s="33" t="e">
        <f t="shared" ref="AA10" si="49">X10/T10</f>
        <v>#DIV/0!</v>
      </c>
      <c r="AB10" s="57"/>
      <c r="AC10" s="58"/>
      <c r="AD10" s="40"/>
      <c r="AE10" s="40"/>
      <c r="AF10" s="40"/>
      <c r="AG10" s="40"/>
      <c r="AH10" s="33" t="e">
        <f t="shared" ref="AH10" si="50" xml:space="preserve"> AE10/AB10</f>
        <v>#DIV/0!</v>
      </c>
      <c r="AI10" s="33" t="e">
        <f t="shared" ref="AI10" si="51">AF10/AB10</f>
        <v>#DIV/0!</v>
      </c>
      <c r="AM10" s="16" t="s">
        <v>162</v>
      </c>
    </row>
    <row r="11" spans="1:42" x14ac:dyDescent="0.3">
      <c r="B11" s="60"/>
      <c r="C11" s="60"/>
      <c r="D11" s="57"/>
      <c r="E11" s="58"/>
      <c r="F11" s="40"/>
      <c r="G11" s="40"/>
      <c r="H11" s="40"/>
      <c r="I11" s="40"/>
      <c r="J11" s="33"/>
      <c r="K11" s="33"/>
      <c r="L11" s="59"/>
      <c r="M11" s="58"/>
      <c r="N11" s="40"/>
      <c r="O11" s="40"/>
      <c r="P11" s="40"/>
      <c r="Q11" s="40"/>
      <c r="R11" s="33"/>
      <c r="S11" s="33"/>
      <c r="T11" s="57"/>
      <c r="U11" s="58"/>
      <c r="V11" s="40"/>
      <c r="W11" s="40"/>
      <c r="X11" s="40"/>
      <c r="Y11" s="40"/>
      <c r="Z11" s="33"/>
      <c r="AA11" s="33"/>
      <c r="AB11" s="57"/>
      <c r="AC11" s="58"/>
      <c r="AD11" s="40"/>
      <c r="AE11" s="40"/>
      <c r="AF11" s="40"/>
      <c r="AG11" s="40"/>
      <c r="AH11" s="33"/>
      <c r="AI11" s="33"/>
      <c r="AM11" t="s">
        <v>62</v>
      </c>
    </row>
    <row r="12" spans="1:42" x14ac:dyDescent="0.3">
      <c r="B12" s="60"/>
      <c r="C12" s="60"/>
      <c r="D12" s="57"/>
      <c r="E12" s="58"/>
      <c r="F12" s="40"/>
      <c r="G12" s="40"/>
      <c r="H12" s="40"/>
      <c r="I12" s="40"/>
      <c r="J12" s="33"/>
      <c r="K12" s="33"/>
      <c r="L12" s="59"/>
      <c r="M12" s="58"/>
      <c r="N12" s="40"/>
      <c r="O12" s="40"/>
      <c r="P12" s="40"/>
      <c r="Q12" s="40"/>
      <c r="R12" s="33"/>
      <c r="S12" s="33"/>
      <c r="T12" s="57"/>
      <c r="U12" s="58"/>
      <c r="V12" s="40"/>
      <c r="W12" s="40"/>
      <c r="X12" s="40"/>
      <c r="Y12" s="40"/>
      <c r="Z12" s="33"/>
      <c r="AA12" s="33"/>
      <c r="AB12" s="57"/>
      <c r="AC12" s="58"/>
      <c r="AD12" s="40"/>
      <c r="AE12" s="40"/>
      <c r="AF12" s="40"/>
      <c r="AG12" s="40"/>
      <c r="AH12" s="33"/>
      <c r="AI12" s="33"/>
      <c r="AL12" s="16" t="s">
        <v>140</v>
      </c>
      <c r="AM12" t="s">
        <v>112</v>
      </c>
      <c r="AN12" t="s">
        <v>253</v>
      </c>
      <c r="AO12" t="s">
        <v>254</v>
      </c>
      <c r="AP12" t="s">
        <v>111</v>
      </c>
    </row>
    <row r="13" spans="1:42" x14ac:dyDescent="0.3">
      <c r="B13" s="60"/>
      <c r="C13" s="60"/>
      <c r="D13" s="57"/>
      <c r="E13" s="58"/>
      <c r="F13" s="40"/>
      <c r="G13" s="40"/>
      <c r="H13" s="40"/>
      <c r="I13" s="40"/>
      <c r="J13" s="33"/>
      <c r="K13" s="33"/>
      <c r="L13" s="59"/>
      <c r="M13" s="58"/>
      <c r="N13" s="40"/>
      <c r="O13" s="40"/>
      <c r="P13" s="40"/>
      <c r="Q13" s="40"/>
      <c r="R13" s="33"/>
      <c r="S13" s="33"/>
      <c r="T13" s="57"/>
      <c r="U13" s="58"/>
      <c r="V13" s="40"/>
      <c r="W13" s="40"/>
      <c r="X13" s="40"/>
      <c r="Y13" s="40"/>
      <c r="Z13" s="33"/>
      <c r="AA13" s="33"/>
      <c r="AB13" s="57"/>
      <c r="AC13" s="58"/>
      <c r="AD13" s="40"/>
      <c r="AE13" s="40"/>
      <c r="AF13" s="40"/>
      <c r="AG13" s="40"/>
      <c r="AH13" s="33"/>
      <c r="AI13" s="33"/>
      <c r="AL13" s="17" t="s">
        <v>184</v>
      </c>
      <c r="AM13" s="20">
        <v>400</v>
      </c>
      <c r="AN13" s="20"/>
      <c r="AO13" s="20"/>
      <c r="AP13" s="20"/>
    </row>
    <row r="14" spans="1:42" x14ac:dyDescent="0.3">
      <c r="B14" s="60"/>
      <c r="C14" s="60"/>
      <c r="D14" s="57"/>
      <c r="E14" s="58"/>
      <c r="F14" s="40"/>
      <c r="G14" s="40"/>
      <c r="H14" s="40"/>
      <c r="I14" s="40"/>
      <c r="J14" s="33"/>
      <c r="K14" s="33"/>
      <c r="L14" s="59"/>
      <c r="M14" s="58"/>
      <c r="N14" s="40"/>
      <c r="O14" s="40"/>
      <c r="P14" s="40"/>
      <c r="Q14" s="40"/>
      <c r="R14" s="33"/>
      <c r="S14" s="33"/>
      <c r="T14" s="57"/>
      <c r="U14" s="58"/>
      <c r="V14" s="40"/>
      <c r="W14" s="40"/>
      <c r="X14" s="40"/>
      <c r="Y14" s="40"/>
      <c r="Z14" s="33"/>
      <c r="AA14" s="33"/>
      <c r="AB14" s="57"/>
      <c r="AC14" s="58"/>
      <c r="AD14" s="40"/>
      <c r="AE14" s="40"/>
      <c r="AF14" s="40"/>
      <c r="AG14" s="40"/>
      <c r="AH14" s="33"/>
      <c r="AI14" s="33"/>
      <c r="AL14" s="17" t="s">
        <v>255</v>
      </c>
      <c r="AM14" s="20">
        <v>100</v>
      </c>
      <c r="AN14" s="20"/>
      <c r="AO14" s="20">
        <v>180</v>
      </c>
      <c r="AP14" s="20">
        <v>150</v>
      </c>
    </row>
    <row r="15" spans="1:42" x14ac:dyDescent="0.3">
      <c r="B15" s="60"/>
      <c r="C15" s="60"/>
      <c r="D15" s="57"/>
      <c r="E15" s="58"/>
      <c r="F15" s="40"/>
      <c r="G15" s="40"/>
      <c r="H15" s="40"/>
      <c r="I15" s="40"/>
      <c r="J15" s="33"/>
      <c r="K15" s="33"/>
      <c r="L15" s="59"/>
      <c r="M15" s="58"/>
      <c r="N15" s="40"/>
      <c r="O15" s="40"/>
      <c r="P15" s="40"/>
      <c r="Q15" s="40"/>
      <c r="R15" s="33"/>
      <c r="S15" s="33"/>
      <c r="T15" s="57"/>
      <c r="U15" s="58"/>
      <c r="V15" s="40"/>
      <c r="W15" s="40"/>
      <c r="X15" s="40"/>
      <c r="Y15" s="40"/>
      <c r="Z15" s="33"/>
      <c r="AA15" s="33"/>
      <c r="AB15" s="57"/>
      <c r="AC15" s="58"/>
      <c r="AD15" s="40"/>
      <c r="AE15" s="40"/>
      <c r="AF15" s="40"/>
      <c r="AG15" s="40"/>
      <c r="AH15" s="33"/>
      <c r="AI15" s="33"/>
      <c r="AL15" s="17" t="s">
        <v>279</v>
      </c>
      <c r="AM15" s="20">
        <v>50</v>
      </c>
      <c r="AN15" s="20"/>
      <c r="AO15" s="20">
        <v>180</v>
      </c>
      <c r="AP15" s="20">
        <v>150</v>
      </c>
    </row>
    <row r="16" spans="1:42" x14ac:dyDescent="0.3">
      <c r="B16" s="60"/>
      <c r="C16" s="60"/>
      <c r="D16" s="57"/>
      <c r="E16" s="58"/>
      <c r="F16" s="40"/>
      <c r="G16" s="40"/>
      <c r="H16" s="40"/>
      <c r="I16" s="40"/>
      <c r="J16" s="33"/>
      <c r="K16" s="33"/>
      <c r="L16" s="59"/>
      <c r="M16" s="58"/>
      <c r="N16" s="40"/>
      <c r="O16" s="40"/>
      <c r="P16" s="40"/>
      <c r="Q16" s="40"/>
      <c r="R16" s="33"/>
      <c r="S16" s="33"/>
      <c r="T16" s="57"/>
      <c r="U16" s="58"/>
      <c r="V16" s="40"/>
      <c r="W16" s="40"/>
      <c r="X16" s="40"/>
      <c r="Y16" s="40"/>
      <c r="Z16" s="33"/>
      <c r="AA16" s="33"/>
      <c r="AB16" s="57"/>
      <c r="AC16" s="58"/>
      <c r="AD16" s="40"/>
      <c r="AE16" s="40"/>
      <c r="AF16" s="40"/>
      <c r="AG16" s="40"/>
      <c r="AH16" s="33"/>
      <c r="AI16" s="33"/>
      <c r="AL16" s="17" t="s">
        <v>280</v>
      </c>
      <c r="AM16" s="20">
        <v>50</v>
      </c>
      <c r="AN16" s="20"/>
      <c r="AO16" s="20">
        <v>180</v>
      </c>
      <c r="AP16" s="20">
        <v>150</v>
      </c>
    </row>
    <row r="17" spans="2:42" x14ac:dyDescent="0.3">
      <c r="B17" s="62"/>
      <c r="C17" s="62"/>
      <c r="D17" s="57"/>
      <c r="E17" s="58"/>
      <c r="F17" s="40"/>
      <c r="G17" s="40"/>
      <c r="H17" s="40"/>
      <c r="I17" s="40"/>
      <c r="J17" s="33"/>
      <c r="K17" s="33"/>
      <c r="L17" s="59"/>
      <c r="M17" s="58"/>
      <c r="N17" s="40"/>
      <c r="O17" s="40"/>
      <c r="P17" s="40"/>
      <c r="Q17" s="40"/>
      <c r="R17" s="33"/>
      <c r="S17" s="33"/>
      <c r="T17" s="57"/>
      <c r="U17" s="58"/>
      <c r="V17" s="40"/>
      <c r="W17" s="40"/>
      <c r="X17" s="40"/>
      <c r="Y17" s="40"/>
      <c r="Z17" s="33"/>
      <c r="AA17" s="33"/>
      <c r="AB17" s="57"/>
      <c r="AC17" s="58"/>
      <c r="AD17" s="40"/>
      <c r="AE17" s="40"/>
      <c r="AF17" s="40"/>
      <c r="AG17" s="40"/>
      <c r="AH17" s="33"/>
      <c r="AI17" s="33"/>
      <c r="AL17" s="17" t="s">
        <v>50</v>
      </c>
      <c r="AM17" s="20">
        <v>600</v>
      </c>
      <c r="AN17" s="20"/>
      <c r="AO17" s="20">
        <v>540</v>
      </c>
      <c r="AP17" s="20">
        <v>450</v>
      </c>
    </row>
    <row r="18" spans="2:42" x14ac:dyDescent="0.3">
      <c r="B18" s="63"/>
    </row>
  </sheetData>
  <mergeCells count="5">
    <mergeCell ref="A1:C1"/>
    <mergeCell ref="D1:K1"/>
    <mergeCell ref="L1:S1"/>
    <mergeCell ref="T1:AA1"/>
    <mergeCell ref="AB1:AI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showGridLines="0" workbookViewId="0">
      <selection activeCell="B3" sqref="B3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H22"/>
  <sheetViews>
    <sheetView workbookViewId="0"/>
  </sheetViews>
  <sheetFormatPr defaultRowHeight="14.4" x14ac:dyDescent="0.3"/>
  <cols>
    <col min="2" max="2" width="12.5546875" bestFit="1" customWidth="1"/>
    <col min="3" max="3" width="34.21875" bestFit="1" customWidth="1"/>
    <col min="4" max="4" width="14.33203125" customWidth="1"/>
    <col min="5" max="5" width="9.44140625" customWidth="1"/>
    <col min="6" max="6" width="8.21875" bestFit="1" customWidth="1"/>
    <col min="7" max="7" width="13.21875" bestFit="1" customWidth="1"/>
    <col min="8" max="8" width="17.77734375" bestFit="1" customWidth="1"/>
    <col min="9" max="9" width="10.88671875" bestFit="1" customWidth="1"/>
    <col min="10" max="10" width="10.21875" bestFit="1" customWidth="1"/>
  </cols>
  <sheetData>
    <row r="1" spans="2:8" x14ac:dyDescent="0.3">
      <c r="B1" s="16" t="s">
        <v>247</v>
      </c>
      <c r="C1" t="s">
        <v>218</v>
      </c>
    </row>
    <row r="2" spans="2:8" x14ac:dyDescent="0.3">
      <c r="G2" s="16" t="s">
        <v>217</v>
      </c>
      <c r="H2" t="s">
        <v>218</v>
      </c>
    </row>
    <row r="3" spans="2:8" x14ac:dyDescent="0.3">
      <c r="B3" s="16" t="s">
        <v>140</v>
      </c>
      <c r="C3" t="s">
        <v>190</v>
      </c>
      <c r="G3" s="16" t="s">
        <v>247</v>
      </c>
      <c r="H3" t="s">
        <v>218</v>
      </c>
    </row>
    <row r="4" spans="2:8" x14ac:dyDescent="0.3">
      <c r="B4" s="17" t="s">
        <v>62</v>
      </c>
      <c r="C4" s="20">
        <v>60</v>
      </c>
    </row>
    <row r="5" spans="2:8" x14ac:dyDescent="0.3">
      <c r="B5" s="17" t="s">
        <v>50</v>
      </c>
      <c r="C5" s="20">
        <v>60</v>
      </c>
      <c r="G5" s="16" t="s">
        <v>140</v>
      </c>
      <c r="H5" t="s">
        <v>144</v>
      </c>
    </row>
    <row r="6" spans="2:8" x14ac:dyDescent="0.3">
      <c r="G6" s="17" t="s">
        <v>184</v>
      </c>
      <c r="H6" s="20">
        <v>20</v>
      </c>
    </row>
    <row r="7" spans="2:8" x14ac:dyDescent="0.3">
      <c r="G7" s="17" t="s">
        <v>223</v>
      </c>
      <c r="H7" s="20">
        <v>15</v>
      </c>
    </row>
    <row r="8" spans="2:8" x14ac:dyDescent="0.3">
      <c r="G8" s="17" t="s">
        <v>50</v>
      </c>
      <c r="H8" s="20">
        <v>35</v>
      </c>
    </row>
    <row r="15" spans="2:8" x14ac:dyDescent="0.3">
      <c r="B15" t="s">
        <v>188</v>
      </c>
      <c r="C15" t="s">
        <v>191</v>
      </c>
      <c r="D15" t="s">
        <v>192</v>
      </c>
    </row>
    <row r="16" spans="2:8" x14ac:dyDescent="0.3">
      <c r="B16" t="s">
        <v>263</v>
      </c>
      <c r="C16" s="20">
        <f>GETPIVOTDATA("Epic Not Decomposed Estimate",$B$3)</f>
        <v>60</v>
      </c>
      <c r="D16" s="20">
        <f>GETPIVOTDATA("Story Points",$G$5)</f>
        <v>35</v>
      </c>
    </row>
    <row r="17" spans="2:4" x14ac:dyDescent="0.3">
      <c r="B17" t="s">
        <v>264</v>
      </c>
      <c r="C17" s="20"/>
      <c r="D17" s="20"/>
    </row>
    <row r="18" spans="2:4" x14ac:dyDescent="0.3">
      <c r="B18" t="s">
        <v>265</v>
      </c>
      <c r="C18" s="20"/>
      <c r="D18" s="20"/>
    </row>
    <row r="19" spans="2:4" x14ac:dyDescent="0.3">
      <c r="B19" t="s">
        <v>266</v>
      </c>
      <c r="C19" s="20"/>
      <c r="D19" s="20"/>
    </row>
    <row r="20" spans="2:4" x14ac:dyDescent="0.3">
      <c r="B20" t="s">
        <v>267</v>
      </c>
      <c r="C20" s="20"/>
      <c r="D20" s="20"/>
    </row>
    <row r="21" spans="2:4" x14ac:dyDescent="0.3">
      <c r="B21" t="s">
        <v>268</v>
      </c>
      <c r="C21" s="20"/>
      <c r="D21" s="20"/>
    </row>
    <row r="22" spans="2:4" x14ac:dyDescent="0.3">
      <c r="B22" t="s">
        <v>269</v>
      </c>
      <c r="C22" s="20"/>
      <c r="D22" s="20"/>
    </row>
  </sheetData>
  <pageMargins left="0.7" right="0.7" top="0.75" bottom="0.75" header="0.3" footer="0.3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showGridLines="0" workbookViewId="0">
      <selection activeCell="B3" sqref="B3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2</vt:i4>
      </vt:variant>
    </vt:vector>
  </HeadingPairs>
  <TitlesOfParts>
    <vt:vector size="20" baseType="lpstr">
      <vt:lpstr>Release</vt:lpstr>
      <vt:lpstr>Admin</vt:lpstr>
      <vt:lpstr>Visio Import</vt:lpstr>
      <vt:lpstr>BoA Audit</vt:lpstr>
      <vt:lpstr>_ReleaseData</vt:lpstr>
      <vt:lpstr>_CumulativeFlowData </vt:lpstr>
      <vt:lpstr>Readiness</vt:lpstr>
      <vt:lpstr>_ReadinessData</vt:lpstr>
      <vt:lpstr>Team Backlog</vt:lpstr>
      <vt:lpstr>_TeamBacklogData</vt:lpstr>
      <vt:lpstr>Team Velocity</vt:lpstr>
      <vt:lpstr>_TeamVelocityData</vt:lpstr>
      <vt:lpstr>Active Sprint</vt:lpstr>
      <vt:lpstr>_ActiveSprintData</vt:lpstr>
      <vt:lpstr>Bugs</vt:lpstr>
      <vt:lpstr>_BugsData</vt:lpstr>
      <vt:lpstr>Issues</vt:lpstr>
      <vt:lpstr>Notes</vt:lpstr>
      <vt:lpstr>'BoA Audit'!Table10</vt:lpstr>
      <vt:lpstr>Table10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Human01</dc:creator>
  <cp:lastModifiedBy>Alex Folomechine</cp:lastModifiedBy>
  <cp:lastPrinted>2014-05-16T13:31:56Z</cp:lastPrinted>
  <dcterms:created xsi:type="dcterms:W3CDTF">2014-02-11T09:14:01Z</dcterms:created>
  <dcterms:modified xsi:type="dcterms:W3CDTF">2020-02-12T03:45:38Z</dcterms:modified>
</cp:coreProperties>
</file>