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1B6D2677-4CE2-4A76-9FFF-C1E6315F21C0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30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8" i="26" l="1"/>
  <c r="AC8" i="26"/>
  <c r="U8" i="26"/>
  <c r="M8" i="26"/>
  <c r="E8" i="26"/>
  <c r="M7" i="26"/>
  <c r="Q7" i="9"/>
  <c r="AW8" i="26"/>
  <c r="Y8" i="26"/>
  <c r="V8" i="26"/>
  <c r="L8" i="26"/>
  <c r="O8" i="26"/>
  <c r="AE8" i="26"/>
  <c r="W8" i="26"/>
  <c r="G8" i="26"/>
  <c r="AG8" i="26"/>
  <c r="Q8" i="26"/>
  <c r="AI8" i="9"/>
  <c r="N8" i="26"/>
  <c r="C20" i="24"/>
  <c r="V8" i="9"/>
  <c r="AD8" i="26"/>
  <c r="AB8" i="26"/>
  <c r="AU8" i="26"/>
  <c r="I8" i="26"/>
  <c r="AT8" i="26"/>
  <c r="D8" i="26"/>
  <c r="F8" i="26"/>
  <c r="AG8" i="9"/>
  <c r="D20" i="24"/>
  <c r="X8" i="9"/>
  <c r="T8" i="26"/>
  <c r="T8" i="9"/>
  <c r="AR8" i="26"/>
  <c r="R8" i="9"/>
  <c r="AX8" i="26" l="1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M8" i="9"/>
  <c r="O8" i="9"/>
  <c r="N8" i="9"/>
  <c r="P8" i="9"/>
  <c r="AX7" i="26" l="1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AS9" i="26" l="1"/>
  <c r="AC9" i="26"/>
  <c r="U9" i="26"/>
  <c r="M9" i="26"/>
  <c r="E9" i="26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AG21" i="9"/>
  <c r="B18" i="9"/>
  <c r="B14" i="9"/>
  <c r="H50" i="14" l="1"/>
  <c r="G50" i="14"/>
  <c r="F50" i="14"/>
  <c r="E50" i="14"/>
  <c r="D50" i="14"/>
  <c r="C50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<sst xmlns="http://schemas.openxmlformats.org/spreadsheetml/2006/main" count="1136" uniqueCount="281">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</sst>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0.82758620689655171</c:v>
                </c:pt>
                <c:pt idx="1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0.82758620689655171</c:v>
                </c:pt>
                <c:pt idx="1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0.82758620689655171</c:v>
                </c:pt>
                <c:pt idx="1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0.82758620689655171</c:v>
                </c:pt>
                <c:pt idx="1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31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_BugsData!$B$43:$B$50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0.82758620689655171</c:v>
                </c:pt>
                <c:pt idx="1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83%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054.841726273145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Pegasus2" u="1"/>
        <s v="Rocket1" u="1"/>
        <s v="Pegasus7" u="1"/>
        <s v="Ursa1" u="1"/>
        <s v="Rocket2" u="1"/>
        <s v="Wavelength6" u="1"/>
        <s v="Ursa7" u="1"/>
        <s v="Rocket3" u="1"/>
        <s v="Quasar14" u="1"/>
        <s v="Rocket4" u="1"/>
        <s v="Wavelength7" u="1"/>
        <s v="Pegasus1" u="1"/>
        <s v="Pegasus6" u="1"/>
        <s v="Rocket5" u="1"/>
        <s v="Ursa6" u="1"/>
        <s v="Rocket6" u="1"/>
        <s v="Wavelength8" u="1"/>
        <s v="Rocket7" u="1"/>
        <s v="Saturn1" u="1"/>
        <s v="Quasar13" u="1"/>
        <s v="Venus1" u="1"/>
        <s v="Quasar1" u="1"/>
        <s v="Pegasus5" u="1"/>
        <s v="Wavelength9" u="1"/>
        <s v="Ursa5" u="1"/>
        <s v="Saturn2" u="1"/>
        <s v="Venus2" u="1"/>
        <s v="Quasar2" u="1"/>
        <s v="Venus3" u="1"/>
        <s v="Saturn3" u="1"/>
        <s v="Wavelength1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Wavelength2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Wavelength3" u="1"/>
        <s v="Quasar7" u="1"/>
        <s v="Titan6" u="1"/>
        <s v="Quasar11" u="1"/>
        <s v="Titan7" u="1"/>
        <s v="Quasar8" u="1"/>
        <s v="Pegasus3" u="1"/>
        <s v="Pegasus8" u="1"/>
        <s v="Wavelength4" u="1"/>
        <s v="Quasar9" u="1"/>
        <s v="Ursa2" u="1"/>
        <s v="Quasar10" u="1"/>
        <s v="Wavelength5" u="1"/>
      </sharedItems>
    </cacheField>
    <cacheField name="Sprint Label" numFmtId="0">
      <sharedItems containsBlank="1" count="82">
        <s v="$[SUBSTITUTE(SUBSTITUTE(AE2, &quot;-Ray&quot;, &quot;&quot;), &quot;enus&quot;, &quot;&quot;)]"/>
        <m/>
        <s v="X1"/>
        <s v="X2"/>
        <s v="X3"/>
        <s v="X4"/>
        <s v="X5"/>
        <s v="X6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W1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W3" u="1"/>
        <s v="Q6" u="1"/>
        <s v="$[SUBSTITUTE(SUBSTITUTE(AE2, &quot;enus&quot;, &quot;&quot;), &quot;rsa&quot;, &quot;&quot;)]" u="1"/>
        <s v="P3" u="1"/>
        <s v="W5" u="1"/>
        <s v="V2" u="1"/>
        <s v="Q8" u="1"/>
        <s v="P5" u="1"/>
        <s v="W7" u="1"/>
        <s v="V4" u="1"/>
        <s v="U1" u="1"/>
        <s v="W9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$[SUBSTITUTE(SUBSTITUTE(AE2, &quot;avelength&quot;, &quot;&quot;), &quot;enus&quot;, &quot;&quot;)]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W2" u="1"/>
        <s v="Q5" u="1"/>
        <s v="P2" u="1"/>
        <s v="W4" u="1"/>
        <s v="V1" u="1"/>
        <s v="Q7" u="1"/>
        <s v="P4" u="1"/>
        <s v="W6" u="1"/>
        <s v="V3" u="1"/>
        <s v="Q9" u="1"/>
        <s v="$[= SUBSTITUTE('Last Sprint', &quot;uasar&quot;, &quot;&quot;)]" u="1"/>
        <s v="P6" u="1"/>
        <s v="W8" u="1"/>
        <s v="V5" u="1"/>
      </sharedItems>
    </cacheField>
    <cacheField name="Release" numFmtId="0">
      <sharedItems containsBlank="1" count="11">
        <s v="${issue.fixVersions.name}"/>
        <m/>
        <s v="Wavelength"/>
        <s v="X-Ray"/>
        <s v="Rocket" u="1"/>
        <s v="Venus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6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10"/>
        <item m="1" x="9"/>
        <item h="1" x="1"/>
        <item m="1" x="4"/>
        <item m="1" x="7"/>
        <item h="1" m="1" x="6"/>
        <item h="1" m="1" x="8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3">
        <item h="1" m="1" x="78"/>
        <item h="1" m="1" x="64"/>
        <item h="1" m="1" x="63"/>
        <item h="1" m="1" x="28"/>
        <item h="1" m="1" x="67"/>
        <item h="1" m="1" x="33"/>
        <item h="1" m="1" x="69"/>
        <item h="1" m="1" x="36"/>
        <item h="1" m="1" x="73"/>
        <item h="1" m="1" x="41"/>
        <item h="1" m="1" x="77"/>
        <item h="1" x="1"/>
        <item h="1" m="1" x="17"/>
        <item h="1" m="1" x="19"/>
        <item h="1" m="1" x="22"/>
        <item h="1" m="1" x="24"/>
        <item h="1" m="1" x="26"/>
        <item h="1" m="1" x="47"/>
        <item h="1" m="1" x="32"/>
        <item h="1" m="1" x="31"/>
        <item h="1" m="1" x="34"/>
        <item h="1" m="1" x="70"/>
        <item h="1" m="1" x="38"/>
        <item h="1" m="1" x="74"/>
        <item h="1" m="1" x="42"/>
        <item h="1" m="1" x="79"/>
        <item h="1" m="1" x="21"/>
        <item h="1" m="1" x="59"/>
        <item h="1" m="1" x="25"/>
        <item h="1" m="1" x="62"/>
        <item h="1" m="1" x="27"/>
        <item h="1" m="1" x="65"/>
        <item h="1" m="1" x="30"/>
        <item h="1" m="1" x="54"/>
        <item h="1" m="1" x="16"/>
        <item h="1" m="1" x="57"/>
        <item h="1" m="1" x="20"/>
        <item h="1" m="1" x="58"/>
        <item h="1" m="1" x="23"/>
        <item h="1" m="1" x="61"/>
        <item h="1" m="1" x="60"/>
        <item h="1" m="1" x="9"/>
        <item h="1" m="1" x="12"/>
        <item h="1" m="1" x="51"/>
        <item h="1" m="1" x="14"/>
        <item h="1" m="1" x="53"/>
        <item h="1" m="1" x="15"/>
        <item h="1" m="1" x="55"/>
        <item h="1" m="1" x="18"/>
        <item h="1" m="1" x="45"/>
        <item h="1" m="1" x="8"/>
        <item h="1" m="1" x="49"/>
        <item h="1" m="1" x="11"/>
        <item h="1" m="1" x="50"/>
        <item h="1" m="1" x="13"/>
        <item h="1" m="1" x="52"/>
        <item h="1" m="1" x="66"/>
        <item h="1" m="1" x="37"/>
        <item h="1" m="1" x="72"/>
        <item h="1" m="1" x="40"/>
        <item h="1" m="1" x="76"/>
        <item h="1" m="1" x="44"/>
        <item h="1" m="1" x="81"/>
        <item h="1" m="1" x="48"/>
        <item h="1" m="1" x="10"/>
        <item h="1" m="1" x="56"/>
        <item h="1" m="1" x="29"/>
        <item h="1" m="1" x="68"/>
        <item h="1" m="1" x="35"/>
        <item h="1" m="1" x="71"/>
        <item h="1" m="1" x="39"/>
        <item h="1" m="1" x="75"/>
        <item h="1" m="1" x="43"/>
        <item h="1" m="1" x="80"/>
        <item h="1" m="1" x="46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19"/>
        <item m="1" x="8"/>
        <item m="1" x="67"/>
        <item m="1" x="50"/>
        <item m="1" x="30"/>
        <item m="1" x="20"/>
        <item m="1" x="10"/>
        <item m="1" x="68"/>
        <item m="1" x="29"/>
        <item m="1" x="72"/>
        <item m="1" x="64"/>
        <item m="1" x="44"/>
        <item m="1" x="27"/>
        <item m="1" x="16"/>
        <item m="1" x="35"/>
        <item m="1" x="40"/>
        <item m="1" x="46"/>
        <item m="1" x="53"/>
        <item m="1" x="57"/>
        <item m="1" x="62"/>
        <item m="1" x="66"/>
        <item m="1" x="70"/>
        <item x="1"/>
        <item m="1" x="9"/>
        <item m="1" x="12"/>
        <item m="1" x="15"/>
        <item m="1" x="17"/>
        <item m="1" x="21"/>
        <item m="1" x="23"/>
        <item m="1" x="25"/>
        <item m="1" x="26"/>
        <item m="1" x="33"/>
        <item m="1" x="37"/>
        <item m="1" x="41"/>
        <item m="1" x="48"/>
        <item m="1" x="55"/>
        <item m="1" x="58"/>
        <item m="1" x="42"/>
        <item m="1" x="47"/>
        <item m="1" x="52"/>
        <item m="1" x="56"/>
        <item m="1" x="59"/>
        <item m="1" x="63"/>
        <item m="1" x="65"/>
        <item m="1" x="11"/>
        <item m="1" x="71"/>
        <item m="1" x="60"/>
        <item m="1" x="45"/>
        <item m="1" x="32"/>
        <item m="1" x="22"/>
        <item m="1" x="14"/>
        <item m="1" x="28"/>
        <item m="1" x="34"/>
        <item m="1" x="36"/>
        <item m="1" x="39"/>
        <item m="1" x="43"/>
        <item m="1" x="49"/>
        <item m="1" x="54"/>
        <item m="1" x="38"/>
        <item m="1" x="51"/>
        <item m="1" x="61"/>
        <item m="1" x="69"/>
        <item m="1" x="73"/>
        <item m="1" x="13"/>
        <item m="1" x="18"/>
        <item m="1" x="24"/>
        <item m="1" x="3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7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7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3">
        <item h="1" m="1" x="78"/>
        <item h="1" m="1" x="63"/>
        <item h="1" m="1" x="28"/>
        <item h="1" m="1" x="67"/>
        <item h="1" m="1" x="33"/>
        <item h="1" m="1" x="69"/>
        <item h="1" m="1" x="36"/>
        <item h="1" m="1" x="73"/>
        <item h="1" m="1" x="41"/>
        <item h="1" m="1" x="77"/>
        <item h="1" x="1"/>
        <item h="1" m="1" x="17"/>
        <item h="1" m="1" x="19"/>
        <item h="1" m="1" x="22"/>
        <item h="1" m="1" x="24"/>
        <item h="1" m="1" x="26"/>
        <item h="1" m="1" x="64"/>
        <item h="1" m="1" x="47"/>
        <item h="1" m="1" x="32"/>
        <item h="1" m="1" x="31"/>
        <item h="1" m="1" x="34"/>
        <item h="1" m="1" x="70"/>
        <item h="1" m="1" x="38"/>
        <item h="1" m="1" x="74"/>
        <item h="1" m="1" x="42"/>
        <item h="1" m="1" x="79"/>
        <item h="1" m="1" x="21"/>
        <item h="1" m="1" x="59"/>
        <item h="1" m="1" x="25"/>
        <item h="1" m="1" x="62"/>
        <item h="1" m="1" x="27"/>
        <item h="1" m="1" x="65"/>
        <item h="1" m="1" x="30"/>
        <item h="1" m="1" x="54"/>
        <item h="1" m="1" x="16"/>
        <item h="1" m="1" x="57"/>
        <item h="1" m="1" x="20"/>
        <item h="1" m="1" x="58"/>
        <item h="1" m="1" x="23"/>
        <item h="1" m="1" x="61"/>
        <item h="1" m="1" x="60"/>
        <item h="1" m="1" x="9"/>
        <item h="1" m="1" x="12"/>
        <item h="1" m="1" x="51"/>
        <item h="1" m="1" x="14"/>
        <item h="1" m="1" x="53"/>
        <item h="1" m="1" x="15"/>
        <item h="1" m="1" x="55"/>
        <item h="1" m="1" x="18"/>
        <item h="1" m="1" x="45"/>
        <item h="1" m="1" x="8"/>
        <item h="1" m="1" x="49"/>
        <item h="1" m="1" x="11"/>
        <item h="1" m="1" x="50"/>
        <item h="1" m="1" x="13"/>
        <item h="1" m="1" x="52"/>
        <item h="1" m="1" x="66"/>
        <item h="1" m="1" x="37"/>
        <item h="1" m="1" x="72"/>
        <item h="1" m="1" x="40"/>
        <item h="1" m="1" x="76"/>
        <item h="1" m="1" x="44"/>
        <item h="1" m="1" x="81"/>
        <item h="1" m="1" x="48"/>
        <item h="1" m="1" x="10"/>
        <item h="1" m="1" x="56"/>
        <item h="1" m="1" x="29"/>
        <item h="1" m="1" x="68"/>
        <item h="1" m="1" x="35"/>
        <item h="1" m="1" x="71"/>
        <item h="1" m="1" x="39"/>
        <item h="1" m="1" x="75"/>
        <item h="1" m="1" x="43"/>
        <item h="1" m="1" x="80"/>
        <item h="1" m="1" x="46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10"/>
        <item m="1" x="9"/>
        <item m="1" x="4"/>
        <item m="1" x="7"/>
        <item m="1" x="6"/>
        <item m="1" x="8"/>
        <item m="1" x="5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5" dataDxfId="23" headerRowBorderDxfId="24" tableBorderDxfId="22" totalsRowBorderDxfId="2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20"/>
    <tableColumn id="2" xr3:uid="{00000000-0010-0000-0000-000002000000}" name="End Date" dataDxfId="1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8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6">
      <calculatedColumnFormula>GETPIVOTDATA("Epic Not Decomposed Estimate",$B$3)</calculatedColumnFormula>
    </tableColumn>
    <tableColumn id="3" xr3:uid="{00000000-0010-0000-0200-000003000000}" name="Stories Ready" dataDxfId="1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4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13" headerRowBorderDxfId="12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11"/>
    <tableColumn id="2" xr3:uid="{BDB0DE5D-1E26-4E6D-93E1-F979B4A421BF}" name="Highest" dataDxfId="10"/>
    <tableColumn id="3" xr3:uid="{FBCCBBAC-FFB1-4CD3-A886-F077831EB47F}" name="High" dataDxfId="9"/>
    <tableColumn id="4" xr3:uid="{3C450AC4-B28C-40A5-9B08-A7AA848F7CB7}" name="Medium" dataDxfId="8"/>
    <tableColumn id="5" xr3:uid="{83F6B828-53A7-40A7-875F-28C1262EB29C}" name="Low" dataDxfId="7"/>
    <tableColumn id="6" xr3:uid="{A6706322-699F-45DA-A52B-8793EE07D82C}" name="Lowest" dataDxfId="6"/>
    <tableColumn id="7" xr3:uid="{CA021076-F152-4649-A69C-A330EF2F2ECF}" name="Grand Total" dataDxfId="5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  <c r="L7">
        <v>118</v>
      </c>
    </row>
    <row r="8" spans="2:13" x14ac:dyDescent="0.3">
      <c r="B8" s="17" t="s">
        <v>260</v>
      </c>
      <c r="C8" s="20">
        <v>30</v>
      </c>
      <c r="K8" t="s">
        <v>259</v>
      </c>
      <c r="L8">
        <v>71.5</v>
      </c>
    </row>
    <row r="9" spans="2:13" x14ac:dyDescent="0.3">
      <c r="B9" s="17" t="s">
        <v>261</v>
      </c>
      <c r="C9" s="20">
        <v>60</v>
      </c>
      <c r="K9" t="s">
        <v>260</v>
      </c>
      <c r="L9">
        <v>85.5</v>
      </c>
    </row>
    <row r="10" spans="2:13" x14ac:dyDescent="0.3">
      <c r="B10" s="17" t="s">
        <v>262</v>
      </c>
      <c r="C10" s="20">
        <v>90</v>
      </c>
      <c r="K10" t="s">
        <v>261</v>
      </c>
      <c r="L10">
        <v>96.25</v>
      </c>
    </row>
    <row r="11" spans="2:13" x14ac:dyDescent="0.3">
      <c r="B11" s="17" t="s">
        <v>279</v>
      </c>
      <c r="C11" s="20"/>
      <c r="K11" t="s">
        <v>262</v>
      </c>
    </row>
    <row r="12" spans="2:13" x14ac:dyDescent="0.3">
      <c r="B12" s="17" t="s">
        <v>50</v>
      </c>
      <c r="C12" s="20">
        <v>370</v>
      </c>
      <c r="K12" t="s">
        <v>279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371.25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X-Ray5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267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31</v>
      </c>
    </row>
    <row r="8" spans="1:5" x14ac:dyDescent="0.3">
      <c r="D8" s="17" t="s">
        <v>147</v>
      </c>
      <c r="E8" s="20">
        <v>31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40</v>
      </c>
    </row>
    <row r="13" spans="1:5" x14ac:dyDescent="0.3">
      <c r="D13" s="17" t="s">
        <v>50</v>
      </c>
      <c r="E13" s="20">
        <v>106</v>
      </c>
    </row>
    <row r="15" spans="1:5" x14ac:dyDescent="0.3">
      <c r="D15" t="s">
        <v>50</v>
      </c>
      <c r="E15">
        <f>GETPIVOTDATA("Story Points", $D$5)</f>
        <v>106</v>
      </c>
    </row>
    <row r="16" spans="1:5" x14ac:dyDescent="0.3">
      <c r="D16" t="s">
        <v>251</v>
      </c>
      <c r="E16" t="str">
        <f>"Sprint " &amp; SUBSTITUTE($B$1,"Venus", "") &amp; " Progress"</f>
        <v>Sprint X-Ray5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279</v>
      </c>
      <c r="C36" s="20"/>
      <c r="D36" s="20"/>
      <c r="E36" s="20"/>
      <c r="F36" s="20"/>
      <c r="G36" s="20"/>
      <c r="H36" s="20"/>
    </row>
    <row r="37" spans="2:8" x14ac:dyDescent="0.3">
      <c r="B37" s="17" t="s">
        <v>50</v>
      </c>
      <c r="C37" s="20">
        <v>2</v>
      </c>
      <c r="D37" s="20">
        <v>1</v>
      </c>
      <c r="E37" s="20">
        <v>1</v>
      </c>
      <c r="F37" s="20">
        <v>2</v>
      </c>
      <c r="G37" s="20">
        <v>1</v>
      </c>
      <c r="H37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X6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/>
      <c r="C49" s="20">
        <f t="shared" si="2"/>
        <v>2</v>
      </c>
      <c r="D49" s="20">
        <f t="shared" si="2"/>
        <v>1</v>
      </c>
      <c r="E49" s="20">
        <f t="shared" si="2"/>
        <v>1</v>
      </c>
      <c r="F49" s="20">
        <f t="shared" si="2"/>
        <v>2</v>
      </c>
      <c r="G49" s="20">
        <f t="shared" si="2"/>
        <v>1</v>
      </c>
      <c r="H49" s="20">
        <f t="shared" si="2"/>
        <v>7</v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268</v>
      </c>
      <c r="AF17" s="5" t="s">
        <v>279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268</v>
      </c>
      <c r="AF23" s="5" t="s">
        <v>279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262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262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267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267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267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267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267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267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267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267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280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31.109375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9.21875" bestFit="1" customWidth="1"/>
    <col min="6" max="6" width="18.21875" bestFit="1" customWidth="1"/>
    <col min="7" max="7" width="16" bestFit="1" customWidth="1"/>
    <col min="8" max="8" width="22.44140625" bestFit="1" customWidth="1"/>
    <col min="9" max="9" width="12" customWidth="1"/>
    <col min="10" max="10" width="16" bestFit="1" customWidth="1"/>
    <col min="11" max="11" width="33.5546875" bestFit="1" customWidth="1"/>
    <col min="12" max="12" width="14.5546875" customWidth="1"/>
    <col min="13" max="13" width="24.44140625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5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0.82758620689655171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0.17241379310344829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258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44054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183</v>
      </c>
      <c r="AC6" s="20">
        <v>300</v>
      </c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B7" s="17" t="s">
        <v>254</v>
      </c>
      <c r="AC7" s="20">
        <v>100</v>
      </c>
      <c r="AD7" s="20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f>100%-GETPIVOTDATA("Epic Remaining Estimate",$AB$4)/GETPIVOTDATA("Epic Total Estimate",$AB$4)</f>
        <v>0.25</v>
      </c>
      <c r="N8" s="76">
        <f>100%-GETPIVOTDATA("Epic Remaining Estimate",$AB$4,"ST:Components","Admin")/GETPIVOTDATA("Epic Total Estimate",$AB$4,"ST:Components","Admin")</f>
        <v>1</v>
      </c>
      <c r="O8" s="76">
        <f>100%-GETPIVOTDATA("Epic Remaining Estimate",$AB$4,"ST:Components","BluePrism Integration")/GETPIVOTDATA("Epic Total Estimate",$AB$4,"ST:Components","BluePrism Integration")</f>
        <v>-2</v>
      </c>
      <c r="P8" s="76">
        <f>100%-GETPIVOTDATA("Epic Remaining Estimate",$AB$4,"ST:Components","Automation Anywhere Integration")/GETPIVOTDATA("Epic Total Estimate",$AB$4,"ST:Components","Automation Anywhere Integration")</f>
        <v>-2</v>
      </c>
      <c r="Q8" s="40">
        <f t="shared" si="2"/>
        <v>72.413793103448285</v>
      </c>
      <c r="R8" s="42">
        <f>GETPIVOTDATA("Epic Remaining Estimate",$AB$4)</f>
        <v>450</v>
      </c>
      <c r="S8" s="42">
        <f t="shared" si="3"/>
        <v>8.6206896551724146</v>
      </c>
      <c r="T8" s="42">
        <f>GETPIVOTDATA("Epic Remaining Estimate",$AB$4,"ST:Components","Admin")</f>
        <v>0</v>
      </c>
      <c r="U8" s="40">
        <f t="shared" si="4"/>
        <v>8.6206896551724146</v>
      </c>
      <c r="V8" s="42">
        <f>GETPIVOTDATA("Epic Remaining Estimate",$AB$4,"ST:Components","BluePrism Integration")</f>
        <v>150</v>
      </c>
      <c r="W8" s="40">
        <f t="shared" si="5"/>
        <v>13.793103448275863</v>
      </c>
      <c r="X8" s="42">
        <f>GETPIVOTDATA("Epic Remaining Estimate",$AB$4,"ST:Components","Automation Anywhere Integration")</f>
        <v>150</v>
      </c>
      <c r="Z8" s="32"/>
      <c r="AB8" s="17" t="s">
        <v>276</v>
      </c>
      <c r="AC8" s="20">
        <v>100</v>
      </c>
      <c r="AD8" s="20">
        <v>150</v>
      </c>
      <c r="AF8" s="36">
        <f>SUM($J$4:J8)/SUM($J$4:$J$9)</f>
        <v>0.82758620689655171</v>
      </c>
      <c r="AG8" s="76">
        <f>100%-GETPIVOTDATA("Epic Remaining Estimate",$AB$4,"ST:Components","Microsoft Power Automate Integration")/GETPIVOTDATA("Epic Total Estimate",$AB$4,"ST:Components","Microsoft Power Automate Integration")</f>
        <v>-0.5</v>
      </c>
      <c r="AH8" s="40">
        <f t="shared" ref="AH8:AH9" si="12">$Q$29*(100%-AF8)</f>
        <v>17.241379310344829</v>
      </c>
      <c r="AI8" s="42">
        <f>GETPIVOTDATA("Epic Remaining Estimate",$AB$4,"ST:Components","Microsoft Power Automate Integration")</f>
        <v>150</v>
      </c>
    </row>
    <row r="9" spans="1:35" x14ac:dyDescent="0.3">
      <c r="A9" s="39" t="s">
        <v>254</v>
      </c>
      <c r="B9" s="21"/>
      <c r="C9" s="21"/>
      <c r="D9" s="21"/>
      <c r="G9" s="67" t="s">
        <v>279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/>
      <c r="N9" s="76"/>
      <c r="O9" s="76"/>
      <c r="P9" s="76"/>
      <c r="Q9" s="40">
        <f t="shared" si="2"/>
        <v>0</v>
      </c>
      <c r="R9" s="42"/>
      <c r="S9" s="42">
        <f t="shared" si="3"/>
        <v>0</v>
      </c>
      <c r="T9" s="42"/>
      <c r="U9" s="40">
        <f t="shared" si="4"/>
        <v>0</v>
      </c>
      <c r="V9" s="42"/>
      <c r="W9" s="40">
        <f t="shared" si="5"/>
        <v>0</v>
      </c>
      <c r="X9" s="42"/>
      <c r="Z9" s="32"/>
      <c r="AB9" s="17" t="s">
        <v>275</v>
      </c>
      <c r="AC9" s="20">
        <v>50</v>
      </c>
      <c r="AD9" s="20">
        <v>150</v>
      </c>
      <c r="AF9" s="36">
        <f>SUM($J$4:J9)/SUM($J$4:$J$9)</f>
        <v>1</v>
      </c>
      <c r="AG9" s="76"/>
      <c r="AH9" s="40">
        <f t="shared" si="12"/>
        <v>0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0.82758620689655171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0.17241379310344829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0.82758620689655171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0.17241379310344829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50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4" priority="6" operator="notEqual">
      <formula>$A$41</formula>
    </cfRule>
  </conditionalFormatting>
  <conditionalFormatting sqref="E42">
    <cfRule type="cellIs" dxfId="3" priority="5" operator="notEqual">
      <formula>$D$42</formula>
    </cfRule>
  </conditionalFormatting>
  <conditionalFormatting sqref="H42">
    <cfRule type="cellIs" dxfId="2" priority="4" operator="notEqual">
      <formula>$G$42</formula>
    </cfRule>
  </conditionalFormatting>
  <conditionalFormatting sqref="K42">
    <cfRule type="cellIs" dxfId="1" priority="3" operator="notEqual">
      <formula>$J$42</formula>
    </cfRule>
  </conditionalFormatting>
  <conditionalFormatting sqref="N42">
    <cfRule type="cellIs" dxfId="0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3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259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260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261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257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262</v>
      </c>
      <c r="B8" s="60">
        <v>44041</v>
      </c>
      <c r="C8" s="60">
        <v>44054</v>
      </c>
      <c r="D8" s="57">
        <f>GETPIVOTDATA("Epic Total Estimate", $AL$8, "Type", "Epic")</f>
        <v>600</v>
      </c>
      <c r="E8" s="34">
        <f>_ReleaseData!$Q$25</f>
        <v>420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si="46"/>
        <v>150</v>
      </c>
      <c r="I8" s="40">
        <f>GETPIVOTDATA("Epic Remaining Estimate", $AL$8, "Type", "Epic")</f>
        <v>450</v>
      </c>
      <c r="J8" s="33">
        <f t="shared" si="47"/>
        <v>0.9</v>
      </c>
      <c r="K8" s="33">
        <f t="shared" si="48"/>
        <v>0.25</v>
      </c>
      <c r="L8" s="59">
        <f>GETPIVOTDATA("Epic Total Estimate", $AL$8, "Type", "Epic", "ST:Components", "Admin")</f>
        <v>100</v>
      </c>
      <c r="M8" s="58">
        <f>_ReleaseData!$Q$26</f>
        <v>50</v>
      </c>
      <c r="N8" s="40">
        <f>GETPIVOTDATA("Stories Estimate", $AL$8, "Type", "Epic", "ST:Components", "Admin")</f>
        <v>0</v>
      </c>
      <c r="O8" s="40">
        <f>GETPIVOTDATA("Epic Decomposed", $AL$8, "Type", "Epic", "ST:Components", "Admin")</f>
        <v>0</v>
      </c>
      <c r="P8" s="40">
        <f t="shared" si="49"/>
        <v>100</v>
      </c>
      <c r="Q8" s="40">
        <f>GETPIVOTDATA("Epic Remaining Estimate", $AL$8, "Type", "Epic", "ST:Components", "Admin")</f>
        <v>0</v>
      </c>
      <c r="R8" s="33">
        <f t="shared" si="50"/>
        <v>0</v>
      </c>
      <c r="S8" s="33">
        <f t="shared" si="51"/>
        <v>1</v>
      </c>
      <c r="T8" s="57">
        <f>GETPIVOTDATA("Epic Total Estimate", $AL$8, "Type", "Epic", "ST:Components", "BluePrism Integration")</f>
        <v>50</v>
      </c>
      <c r="U8" s="58">
        <f>_ReleaseData!$Q$27</f>
        <v>50</v>
      </c>
      <c r="V8" s="40">
        <f>GETPIVOTDATA("Stories Estimate", $AL$8, "Type", "Epic", "ST:Components", "BluePrism Integration")</f>
        <v>0</v>
      </c>
      <c r="W8" s="40">
        <f>GETPIVOTDATA("Epic Decomposed", $AL$8, "Type", "Epic", "ST:Components", "BluePrism Integration")</f>
        <v>180</v>
      </c>
      <c r="X8" s="40">
        <f t="shared" si="52"/>
        <v>-100</v>
      </c>
      <c r="Y8" s="40">
        <f>GETPIVOTDATA("Epic Remaining Estimate", $AL$8, "Type", "Epic", "ST:Components", "BluePrism Integration")</f>
        <v>150</v>
      </c>
      <c r="Z8" s="33">
        <f t="shared" si="53"/>
        <v>3.6</v>
      </c>
      <c r="AA8" s="33">
        <f t="shared" si="54"/>
        <v>-2</v>
      </c>
      <c r="AB8" s="57">
        <f>GETPIVOTDATA("Epic Total Estimate", $AL$8, "Type", "Epic", "ST:Components", "Automation Anywhere Integration")</f>
        <v>50</v>
      </c>
      <c r="AC8" s="58">
        <f>_ReleaseData!$Q$28</f>
        <v>80</v>
      </c>
      <c r="AD8" s="40">
        <f>GETPIVOTDATA("Stories Estimate", $AL$8, "Type", "Epic", "ST:Components", "Automation Anywhere Integration")</f>
        <v>0</v>
      </c>
      <c r="AE8" s="40">
        <f>GETPIVOTDATA("Epic Decomposed", $AL$8, "Type", "Epic", "ST:Components", "Automation Anywhere Integration")</f>
        <v>180</v>
      </c>
      <c r="AF8" s="40">
        <f t="shared" si="55"/>
        <v>-100</v>
      </c>
      <c r="AG8" s="40">
        <f>GETPIVOTDATA("Epic Remaining Estimate", $AL$8, "Type", "Epic", "ST:Components", "Automation Anywhere Integration")</f>
        <v>150</v>
      </c>
      <c r="AH8" s="33">
        <f t="shared" si="56"/>
        <v>3.6</v>
      </c>
      <c r="AI8" s="33">
        <f t="shared" si="57"/>
        <v>-2</v>
      </c>
      <c r="AL8" s="16" t="s">
        <v>246</v>
      </c>
      <c r="AM8" t="s">
        <v>217</v>
      </c>
      <c r="AR8" s="57">
        <f>GETPIVOTDATA("Epic Total Estimate", $AL$8, "Type", "Epic", "ST:Components", "Microsoft Power Automate Integration")</f>
        <v>100</v>
      </c>
      <c r="AS8" s="58">
        <f>_ReleaseData!$Q$29</f>
        <v>100</v>
      </c>
      <c r="AT8" s="40">
        <f>GETPIVOTDATA("Stories Estimate", $AL$8, "Type", "Epic", "ST:Components", "Microsoft Power Automate Integration")</f>
        <v>0</v>
      </c>
      <c r="AU8" s="40">
        <f>GETPIVOTDATA("Epic Decomposed", $AL$8, "Type", "Epic", "ST:Components", "Microsoft Power Automate Integration")</f>
        <v>180</v>
      </c>
      <c r="AV8" s="40">
        <f t="shared" ref="AV8" si="61">AR8-AW8</f>
        <v>-50</v>
      </c>
      <c r="AW8" s="40">
        <f>GETPIVOTDATA("Epic Remaining Estimate", $AL$8, "Type", "Epic", "ST:Components", "Microsoft Power Automate Integration")</f>
        <v>150</v>
      </c>
      <c r="AX8" s="33">
        <f t="shared" ref="AX8" si="62" xml:space="preserve"> AU8/AR8</f>
        <v>1.8</v>
      </c>
      <c r="AY8" s="33">
        <f t="shared" ref="AY8" si="63">AV8/AR8</f>
        <v>-0.5</v>
      </c>
    </row>
    <row r="9" spans="1:51" x14ac:dyDescent="0.3">
      <c r="A9" t="s">
        <v>279</v>
      </c>
      <c r="B9" s="60">
        <v>44055</v>
      </c>
      <c r="C9" s="60">
        <v>44068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50</v>
      </c>
      <c r="N9" s="40"/>
      <c r="O9" s="40"/>
      <c r="P9" s="40"/>
      <c r="Q9" s="40"/>
      <c r="R9" s="33"/>
      <c r="S9" s="33"/>
      <c r="T9" s="57"/>
      <c r="U9" s="58">
        <f>_ReleaseData!$Q$27</f>
        <v>50</v>
      </c>
      <c r="V9" s="40"/>
      <c r="W9" s="40"/>
      <c r="X9" s="40"/>
      <c r="Y9" s="40"/>
      <c r="Z9" s="33"/>
      <c r="AA9" s="33"/>
      <c r="AB9" s="57"/>
      <c r="AC9" s="58">
        <f>_ReleaseData!$Q$28</f>
        <v>80</v>
      </c>
      <c r="AD9" s="40"/>
      <c r="AE9" s="40"/>
      <c r="AF9" s="40"/>
      <c r="AG9" s="40"/>
      <c r="AH9" s="33"/>
      <c r="AI9" s="33"/>
      <c r="AR9" s="57"/>
      <c r="AS9" s="58">
        <f>_ReleaseData!$Q$29</f>
        <v>100</v>
      </c>
      <c r="AT9" s="40"/>
      <c r="AU9" s="40"/>
      <c r="AV9" s="40"/>
      <c r="AW9" s="40"/>
      <c r="AX9" s="33"/>
      <c r="AY9" s="33"/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v>114.5</v>
      </c>
      <c r="D16" s="20">
        <v>157.5</v>
      </c>
    </row>
    <row r="17" spans="2:4" x14ac:dyDescent="0.3">
      <c r="B17" t="s">
        <v>259</v>
      </c>
      <c r="C17" s="20">
        <v>31</v>
      </c>
      <c r="D17" s="20">
        <v>86</v>
      </c>
    </row>
    <row r="18" spans="2:4" x14ac:dyDescent="0.3">
      <c r="B18" t="s">
        <v>260</v>
      </c>
      <c r="C18" s="20">
        <v>89.5</v>
      </c>
      <c r="D18" s="20">
        <v>107</v>
      </c>
    </row>
    <row r="19" spans="2:4" x14ac:dyDescent="0.3">
      <c r="B19" t="s">
        <v>261</v>
      </c>
      <c r="C19" s="20">
        <v>128</v>
      </c>
      <c r="D19" s="20">
        <v>144</v>
      </c>
    </row>
    <row r="20" spans="2:4" x14ac:dyDescent="0.3">
      <c r="B20" t="s">
        <v>262</v>
      </c>
      <c r="C20" s="20">
        <f>GETPIVOTDATA("Epic Not Decomposed Estimate",$B$3)</f>
        <v>60</v>
      </c>
      <c r="D20" s="20">
        <f>GETPIVOTDATA("Story Points",$G$5)</f>
        <v>35</v>
      </c>
    </row>
    <row r="21" spans="2:4" x14ac:dyDescent="0.3">
      <c r="B21" t="s">
        <v>279</v>
      </c>
      <c r="C21" s="20"/>
      <c r="D21" s="20"/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2020-08-12T00:15:49Z</dcterms:modified>
</cp:coreProperties>
</file>