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579B71D0-C49B-48F6-A57C-B69B11BF53EC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10" i="26" l="1"/>
  <c r="U10" i="26"/>
  <c r="M10" i="26"/>
  <c r="E10" i="26"/>
  <c r="D16" i="24"/>
  <c r="C16" i="24"/>
  <c r="K4" i="9" l="1"/>
  <c r="T3" i="26"/>
  <c r="B14" i="9"/>
  <c r="P3" i="9"/>
  <c r="R3" i="9"/>
  <c r="D3" i="26"/>
  <c r="AB3" i="26"/>
  <c r="W3" i="26"/>
  <c r="N3" i="9"/>
  <c r="V3" i="9"/>
  <c r="T3" i="9"/>
  <c r="I3" i="26"/>
  <c r="Q3" i="26"/>
  <c r="L3" i="26"/>
  <c r="X3" i="9"/>
  <c r="M3" i="9"/>
  <c r="V3" i="26"/>
  <c r="G3" i="26"/>
  <c r="F3" i="26"/>
  <c r="AE3" i="26"/>
  <c r="O3" i="26"/>
  <c r="Y3" i="26"/>
  <c r="N3" i="26"/>
  <c r="AG3" i="26"/>
  <c r="O3" i="9"/>
  <c r="B18" i="9"/>
  <c r="AD3" i="26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AC8" i="26"/>
  <c r="U8" i="26"/>
  <c r="M8" i="26"/>
  <c r="E8" i="26"/>
  <c r="AC7" i="26" l="1"/>
  <c r="U7" i="26"/>
  <c r="M7" i="26"/>
  <c r="E7" i="26"/>
  <c r="AC6" i="26" l="1"/>
  <c r="U6" i="26" l="1"/>
  <c r="M6" i="26" l="1"/>
  <c r="E6" i="26" l="1"/>
  <c r="AC5" i="26" l="1"/>
  <c r="U5" i="26"/>
  <c r="M5" i="26"/>
  <c r="E5" i="26"/>
  <c r="W3" i="9"/>
  <c r="U3" i="9"/>
  <c r="Q3" i="9"/>
  <c r="S3" i="9"/>
  <c r="AC4" i="26" l="1"/>
  <c r="X3" i="26"/>
  <c r="U4" i="26"/>
  <c r="AC3" i="26"/>
  <c r="U3" i="26"/>
  <c r="M4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<sst xmlns="http://schemas.openxmlformats.org/spreadsheetml/2006/main" count="1137" uniqueCount="280">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</sst>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78.44448703703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Cross Project Move" u="1"/>
        <s v="Artifact List" u="1"/>
        <s v="Excel Import" u="1"/>
        <s v="DevOps" u="1"/>
        <s v="Drag &amp; Drop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S1"/>
        <s v="S2"/>
        <s v="S3"/>
        <s v="S4"/>
        <s v="S5"/>
        <s v="S6"/>
        <s v="T1"/>
        <s v="T2"/>
        <s v="T3"/>
        <s v="T4"/>
        <s v="T5"/>
        <s v="T6"/>
        <s v="T7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9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0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11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12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13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4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8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9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10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3"/>
        <item h="1" m="1" x="41"/>
        <item h="1" m="1" x="27"/>
        <item h="1" m="1" x="42"/>
        <item h="1" m="1" x="29"/>
        <item h="1" m="1" x="44"/>
        <item h="1" m="1" x="31"/>
        <item h="1" m="1" x="46"/>
        <item h="1" x="1"/>
        <item h="1" m="1" x="15"/>
        <item h="1" m="1" x="16"/>
        <item h="1" m="1" x="18"/>
        <item h="1" m="1" x="19"/>
        <item h="1" m="1" x="21"/>
        <item h="1" m="1" x="33"/>
        <item h="1" m="1" x="26"/>
        <item h="1" m="1" x="25"/>
        <item h="1" m="1" x="28"/>
        <item h="1" m="1" x="43"/>
        <item h="1" m="1" x="30"/>
        <item h="1" m="1" x="45"/>
        <item h="1" m="1" x="32"/>
        <item h="1" m="1" x="48"/>
        <item h="1" m="1" x="17"/>
        <item h="1" m="1" x="34"/>
        <item h="1" m="1" x="20"/>
        <item h="1" m="1" x="37"/>
        <item h="1" m="1" x="22"/>
        <item h="1" m="1" x="40"/>
        <item h="1" m="1" x="24"/>
        <item h="1" x="2"/>
        <item h="1" x="3"/>
        <item h="1" x="4"/>
        <item h="1" x="5"/>
        <item h="1" x="6"/>
        <item h="1" x="7"/>
        <item h="1" m="1" x="36"/>
        <item h="1" m="1" x="35"/>
        <item h="1" x="0"/>
        <item x="8"/>
        <item x="9"/>
        <item x="10"/>
        <item x="11"/>
        <item x="12"/>
        <item x="13"/>
        <item x="14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8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3"/>
        <item h="1" m="1" x="41"/>
        <item h="1" m="1" x="27"/>
        <item h="1" m="1" x="42"/>
        <item h="1" m="1" x="29"/>
        <item h="1" m="1" x="44"/>
        <item h="1" m="1" x="31"/>
        <item h="1" m="1" x="46"/>
        <item h="1" x="1"/>
        <item h="1" m="1" x="15"/>
        <item h="1" m="1" x="16"/>
        <item h="1" m="1" x="18"/>
        <item h="1" m="1" x="19"/>
        <item h="1" m="1" x="21"/>
        <item h="1" m="1" x="39"/>
        <item h="1" m="1" x="33"/>
        <item h="1" m="1" x="26"/>
        <item h="1" m="1" x="25"/>
        <item h="1" m="1" x="28"/>
        <item h="1" m="1" x="43"/>
        <item h="1" m="1" x="30"/>
        <item h="1" m="1" x="45"/>
        <item h="1" m="1" x="32"/>
        <item h="1" m="1" x="48"/>
        <item h="1" m="1" x="17"/>
        <item h="1" m="1" x="34"/>
        <item h="1" m="1" x="20"/>
        <item h="1" m="1" x="37"/>
        <item h="1" m="1" x="22"/>
        <item h="1" m="1" x="40"/>
        <item h="1" m="1" x="24"/>
        <item h="1" x="2"/>
        <item h="1" x="3"/>
        <item h="1" x="4"/>
        <item h="1" x="5"/>
        <item h="1" x="6"/>
        <item h="1" x="7"/>
        <item h="1" m="1" x="36"/>
        <item h="1" m="1" x="35"/>
        <item h="1" x="0"/>
        <item x="8"/>
        <item x="9"/>
        <item x="10"/>
        <item x="11"/>
        <item x="12"/>
        <item x="13"/>
        <item x="14"/>
        <item t="default"/>
      </items>
    </pivotField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5" dataDxfId="13" headerRowBorderDxfId="14" tableBorderDxfId="12" totalsRowBorderDxfId="1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0"/>
    <tableColumn id="2" xr3:uid="{00000000-0010-0000-0000-000002000000}" name="End Date" dataDxfId="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8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6">
      <calculatedColumnFormula>GETPIVOTDATA("Epic Not Decomposed Estimate",$B$3)</calculatedColumnFormula>
    </tableColumn>
    <tableColumn id="3" xr3:uid="{00000000-0010-0000-0200-000003000000}" name="Stories Ready" dataDxfId="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4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90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</row>
    <row r="8" spans="2:13" x14ac:dyDescent="0.45">
      <c r="B8" s="17" t="s">
        <v>271</v>
      </c>
      <c r="C8" s="20">
        <v>30</v>
      </c>
      <c r="K8" t="s">
        <v>270</v>
      </c>
    </row>
    <row r="9" spans="2:13" x14ac:dyDescent="0.45">
      <c r="B9" s="17" t="s">
        <v>272</v>
      </c>
      <c r="C9" s="20">
        <v>60</v>
      </c>
      <c r="K9" t="s">
        <v>271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360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262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279</v>
      </c>
      <c r="E16" t="str">
        <f>"Sprint " &amp; SUBSTITUTE($B$1,"Quasar", "") &amp; " Progress"</f>
        <v>Sprint Titan1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8" bestFit="1" customWidth="1"/>
    <col min="6" max="6" width="16.86328125" bestFit="1" customWidth="1"/>
    <col min="7" max="7" width="14.664062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8" t="s">
        <v>135</v>
      </c>
      <c r="R1" s="78"/>
      <c r="S1" s="78" t="s">
        <v>254</v>
      </c>
      <c r="T1" s="78"/>
      <c r="U1" s="78" t="s">
        <v>259</v>
      </c>
      <c r="V1" s="78"/>
      <c r="W1" s="78" t="s">
        <v>258</v>
      </c>
      <c r="X1" s="78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22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43579</v>
      </c>
      <c r="E3" s="27">
        <v>43676</v>
      </c>
      <c r="J3" s="34"/>
      <c r="K3" s="33">
        <v>0</v>
      </c>
      <c r="L3" s="33">
        <v>0</v>
      </c>
      <c r="M3" s="70">
        <f>100%-GETPIVOTDATA("Epic Remaining Estimate",$AB$4)/GETPIVOTDATA("Epic Total Estimate",$AB$4)</f>
        <v>0.77501406162114872</v>
      </c>
      <c r="N3" s="76">
        <f>100%-GETPIVOTDATA("Epic Remaining Estimate",$AB$4,"ST:Components","Reuse")/GETPIVOTDATA("Epic Total Estimate",$AB$4,"ST:Components","Reuse")</f>
        <v>0.25</v>
      </c>
      <c r="O3" s="76">
        <f>100%-GETPIVOTDATA("Epic Remaining Estimate",$AB$4,"ST:Components","Glossary")/GETPIVOTDATA("Epic Total Estimate",$AB$4,"ST:Components","Glossary")</f>
        <v>0.25</v>
      </c>
      <c r="P3" s="76">
        <f>100%-GETPIVOTDATA("Epic Remaining Estimate",$AB$4,"ST:Components","Doc Gen")/GETPIVOTDATA("Epic Total Estimate",$AB$4,"ST:Components","Doc Gen")</f>
        <v>0.25</v>
      </c>
      <c r="Q3" s="40">
        <f>$Q$25*(100%-K3)</f>
        <v>420</v>
      </c>
      <c r="R3" s="71">
        <f>GETPIVOTDATA("Epic Remaining Estimate",$AB$4)</f>
        <v>450</v>
      </c>
      <c r="S3" s="40">
        <f>$Q$26*(100%-K3)</f>
        <v>75</v>
      </c>
      <c r="T3" s="42">
        <f>GETPIVOTDATA("Epic Remaining Estimate",$AB$4,"ST:Components","Reuse")</f>
        <v>150</v>
      </c>
      <c r="U3" s="40">
        <f>$Q$27*(100%-L3)</f>
        <v>175</v>
      </c>
      <c r="V3" s="42">
        <f>GETPIVOTDATA("Epic Remaining Estimate",$AB$4,"ST:Components","Glossary")</f>
        <v>150</v>
      </c>
      <c r="W3" s="40">
        <f>$Q$28*(100%-K3)</f>
        <v>55</v>
      </c>
      <c r="X3" s="42">
        <f>GETPIVOTDATA("Epic Remaining Estimate",$AB$4,"ST:Components","Doc Gen")</f>
        <v>150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/>
      <c r="N4" s="76"/>
      <c r="O4" s="76"/>
      <c r="P4" s="76"/>
      <c r="Q4" s="40">
        <f>$Q$25*(100%-K4)</f>
        <v>358.23529411764707</v>
      </c>
      <c r="R4" s="42"/>
      <c r="S4" s="42">
        <f>$Q$26*(100%-K4)</f>
        <v>63.970588235294116</v>
      </c>
      <c r="T4" s="42"/>
      <c r="U4" s="40">
        <f>$Q$27*(100%-L4)</f>
        <v>149.26470588235293</v>
      </c>
      <c r="V4" s="42"/>
      <c r="W4" s="40">
        <f>$Q$28*(100%-K4)</f>
        <v>46.911764705882348</v>
      </c>
      <c r="X4" s="42"/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/>
      <c r="N5" s="76"/>
      <c r="O5" s="76"/>
      <c r="P5" s="76"/>
      <c r="Q5" s="40">
        <f t="shared" ref="Q5:Q9" si="1">$Q$25*(100%-K5)</f>
        <v>302.64705882352939</v>
      </c>
      <c r="R5" s="42"/>
      <c r="S5" s="42">
        <f t="shared" ref="S5:S9" si="2">$Q$26*(100%-K5)</f>
        <v>54.044117647058826</v>
      </c>
      <c r="T5" s="42"/>
      <c r="U5" s="40">
        <f t="shared" ref="U5:U9" si="3">$Q$27*(100%-L5)</f>
        <v>126.10294117647059</v>
      </c>
      <c r="V5" s="42"/>
      <c r="W5" s="40">
        <f t="shared" ref="W5:W9" si="4">$Q$28*(100%-K5)</f>
        <v>39.632352941176471</v>
      </c>
      <c r="X5" s="42"/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43578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/>
      <c r="N6" s="76"/>
      <c r="O6" s="76"/>
      <c r="P6" s="76"/>
      <c r="Q6" s="40">
        <f t="shared" ref="Q6" si="5">$Q$25*(100%-K6)</f>
        <v>240.88235294117646</v>
      </c>
      <c r="R6" s="42"/>
      <c r="S6" s="42">
        <f t="shared" ref="S6" si="6">$Q$26*(100%-K6)</f>
        <v>43.014705882352935</v>
      </c>
      <c r="T6" s="42"/>
      <c r="U6" s="40">
        <f t="shared" ref="U6" si="7">$Q$27*(100%-L6)</f>
        <v>100.36764705882352</v>
      </c>
      <c r="V6" s="42"/>
      <c r="W6" s="40">
        <f t="shared" ref="W6" si="8">$Q$28*(100%-K6)</f>
        <v>31.544117647058822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/>
      <c r="N7" s="76"/>
      <c r="O7" s="76"/>
      <c r="P7" s="76"/>
      <c r="Q7" s="40">
        <f t="shared" si="1"/>
        <v>179.11764705882354</v>
      </c>
      <c r="R7" s="42"/>
      <c r="S7" s="42">
        <f t="shared" si="2"/>
        <v>31.985294117647062</v>
      </c>
      <c r="T7" s="42"/>
      <c r="U7" s="40">
        <f t="shared" si="3"/>
        <v>74.632352941176478</v>
      </c>
      <c r="V7" s="42"/>
      <c r="W7" s="40">
        <f t="shared" si="4"/>
        <v>23.455882352941178</v>
      </c>
      <c r="X7" s="42"/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/>
      <c r="N8" s="76"/>
      <c r="O8" s="76"/>
      <c r="P8" s="76"/>
      <c r="Q8" s="40">
        <f t="shared" si="1"/>
        <v>123.52941176470587</v>
      </c>
      <c r="R8" s="42"/>
      <c r="S8" s="42">
        <f t="shared" si="2"/>
        <v>22.058823529411761</v>
      </c>
      <c r="T8" s="42"/>
      <c r="U8" s="40">
        <f t="shared" si="3"/>
        <v>51.470588235294109</v>
      </c>
      <c r="V8" s="42"/>
      <c r="W8" s="40">
        <f t="shared" si="4"/>
        <v>16.17647058823529</v>
      </c>
      <c r="X8" s="42"/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3" priority="4" operator="notEqual">
      <formula>$A$41</formula>
    </cfRule>
  </conditionalFormatting>
  <conditionalFormatting sqref="E42">
    <cfRule type="cellIs" dxfId="2" priority="3" operator="notEqual">
      <formula>$D$42</formula>
    </cfRule>
  </conditionalFormatting>
  <conditionalFormatting sqref="H42">
    <cfRule type="cellIs" dxfId="1" priority="2" operator="notEqual">
      <formula>$G$42</formula>
    </cfRule>
  </conditionalFormatting>
  <conditionalFormatting sqref="K42">
    <cfRule type="cellIs" dxfId="0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79"/>
      <c r="B1" s="79"/>
      <c r="C1" s="79"/>
      <c r="D1" s="80" t="s">
        <v>135</v>
      </c>
      <c r="E1" s="80"/>
      <c r="F1" s="80"/>
      <c r="G1" s="80"/>
      <c r="H1" s="80"/>
      <c r="I1" s="80"/>
      <c r="J1" s="80"/>
      <c r="K1" s="80"/>
      <c r="L1" s="80" t="s">
        <v>254</v>
      </c>
      <c r="M1" s="80"/>
      <c r="N1" s="80"/>
      <c r="O1" s="80"/>
      <c r="P1" s="80"/>
      <c r="Q1" s="80"/>
      <c r="R1" s="80"/>
      <c r="S1" s="80"/>
      <c r="T1" s="80" t="s">
        <v>259</v>
      </c>
      <c r="U1" s="80"/>
      <c r="V1" s="80"/>
      <c r="W1" s="80"/>
      <c r="X1" s="80"/>
      <c r="Y1" s="80"/>
      <c r="Z1" s="80"/>
      <c r="AA1" s="80"/>
      <c r="AB1" s="80" t="s">
        <v>258</v>
      </c>
      <c r="AC1" s="80"/>
      <c r="AD1" s="80"/>
      <c r="AE1" s="80"/>
      <c r="AF1" s="80"/>
      <c r="AG1" s="80"/>
      <c r="AH1" s="80"/>
      <c r="AI1" s="80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f>GETPIVOTDATA("Epic Total Estimate", $AL$8, "Type", "Epic")</f>
        <v>2000.125</v>
      </c>
      <c r="E3" s="58">
        <f>_ReleaseData!$Q$25</f>
        <v>420</v>
      </c>
      <c r="F3" s="40">
        <f>GETPIVOTDATA("Stories Estimate", $AL$8, "Type", "Epic")</f>
        <v>0</v>
      </c>
      <c r="G3" s="40">
        <f>GETPIVOTDATA("Epic Decomposed", $AL$8, "Type", "Epic")</f>
        <v>540</v>
      </c>
      <c r="H3" s="40">
        <f t="shared" ref="H3" si="0">D3-I3</f>
        <v>1550.125</v>
      </c>
      <c r="I3" s="40">
        <f>GETPIVOTDATA("Epic Remaining Estimate", $AL$8, "Type", "Epic")</f>
        <v>450</v>
      </c>
      <c r="J3" s="33">
        <f t="shared" ref="J3" si="1" xml:space="preserve"> G3/D3</f>
        <v>0.2699831260546216</v>
      </c>
      <c r="K3" s="33">
        <f t="shared" ref="K3" si="2" xml:space="preserve"> H3/D3</f>
        <v>0.77501406162114872</v>
      </c>
      <c r="L3" s="59">
        <f>GETPIVOTDATA("Epic Total Estimate", $AL$8, "Type", "Epic", "ST:Components", "Reuse")</f>
        <v>200</v>
      </c>
      <c r="M3" s="58">
        <f>_ReleaseData!$Q$26</f>
        <v>75</v>
      </c>
      <c r="N3" s="40">
        <f>GETPIVOTDATA("Stories Estimate", $AL$8, "Type", "Epic", "ST:Components", "Reuse")</f>
        <v>0</v>
      </c>
      <c r="O3" s="40">
        <f>GETPIVOTDATA("Epic Decomposed", $AL$8, "Type", "Epic", "ST:Components", "Reuse")</f>
        <v>180</v>
      </c>
      <c r="P3" s="40">
        <f t="shared" ref="P3" si="3">L3-Q3</f>
        <v>50</v>
      </c>
      <c r="Q3" s="40">
        <f>GETPIVOTDATA("Epic Remaining Estimate", $AL$8, "Type", "Epic", "ST:Components", "Reuse")</f>
        <v>150</v>
      </c>
      <c r="R3" s="33">
        <f t="shared" ref="R3" si="4" xml:space="preserve"> O3/L3</f>
        <v>0.9</v>
      </c>
      <c r="S3" s="33">
        <f t="shared" ref="S3" si="5" xml:space="preserve"> P3/L3</f>
        <v>0.25</v>
      </c>
      <c r="T3" s="57">
        <f>GETPIVOTDATA("Epic Total Estimate", $AL$8, "Type", "Epic", "ST:Components", "Glossary")</f>
        <v>200</v>
      </c>
      <c r="U3" s="58">
        <f>_ReleaseData!$Q$27</f>
        <v>175</v>
      </c>
      <c r="V3" s="40">
        <f>GETPIVOTDATA("Stories Estimate", $AL$8, "Type", "Epic", "ST:Components", "Glossary")</f>
        <v>0</v>
      </c>
      <c r="W3" s="40">
        <f>GETPIVOTDATA("Epic Decomposed", $AL$8, "Type", "Epic", "ST:Components", "Glossary")</f>
        <v>180</v>
      </c>
      <c r="X3" s="40">
        <f t="shared" ref="X3" si="6">T3-Y3</f>
        <v>50</v>
      </c>
      <c r="Y3" s="40">
        <f>GETPIVOTDATA("Epic Remaining Estimate", $AL$8, "Type", "Epic", "ST:Components", "Glossary")</f>
        <v>150</v>
      </c>
      <c r="Z3" s="33">
        <f t="shared" ref="Z3" si="7" xml:space="preserve"> W3/T3</f>
        <v>0.9</v>
      </c>
      <c r="AA3" s="33">
        <f t="shared" ref="AA3" si="8">X3/T3</f>
        <v>0.25</v>
      </c>
      <c r="AB3" s="57">
        <f>GETPIVOTDATA("Epic Total Estimate", $AL$8, "Type", "Epic", "ST:Components", "Doc Gen")</f>
        <v>200</v>
      </c>
      <c r="AC3" s="58">
        <f>_ReleaseData!$Q$28</f>
        <v>55</v>
      </c>
      <c r="AD3" s="40">
        <f>GETPIVOTDATA("Stories Estimate", $AL$8, "Type", "Epic", "ST:Components", "Doc Gen")</f>
        <v>0</v>
      </c>
      <c r="AE3" s="40">
        <f>GETPIVOTDATA("Epic Decomposed", $AL$8, "Type", "Epic", "ST:Components", "Doc Gen")</f>
        <v>180</v>
      </c>
      <c r="AF3" s="40">
        <f t="shared" ref="AF3" si="9">AB3-AG3</f>
        <v>50</v>
      </c>
      <c r="AG3" s="40">
        <f>GETPIVOTDATA("Epic Remaining Estimate", $AL$8, "Type", "Epic", "ST:Components", "Doc Gen")</f>
        <v>150</v>
      </c>
      <c r="AH3" s="33">
        <f t="shared" ref="AH3" si="10" xml:space="preserve"> AE3/AB3</f>
        <v>0.9</v>
      </c>
      <c r="AI3" s="33">
        <f t="shared" ref="AI3" si="11">AF3/AB3</f>
        <v>0.25</v>
      </c>
    </row>
    <row r="4" spans="1:42" x14ac:dyDescent="0.45">
      <c r="A4" t="s">
        <v>269</v>
      </c>
      <c r="B4" s="60">
        <v>43579</v>
      </c>
      <c r="C4" s="60">
        <v>43592</v>
      </c>
      <c r="D4" s="57"/>
      <c r="E4" s="58">
        <f>_ReleaseData!$Q$25</f>
        <v>420</v>
      </c>
      <c r="F4" s="40"/>
      <c r="G4" s="40"/>
      <c r="H4" s="40"/>
      <c r="I4" s="40"/>
      <c r="J4" s="33"/>
      <c r="K4" s="33"/>
      <c r="L4" s="59"/>
      <c r="M4" s="58">
        <f>_ReleaseData!$Q$26</f>
        <v>75</v>
      </c>
      <c r="N4" s="40"/>
      <c r="O4" s="40"/>
      <c r="P4" s="40"/>
      <c r="Q4" s="40"/>
      <c r="R4" s="33"/>
      <c r="S4" s="33"/>
      <c r="T4" s="57"/>
      <c r="U4" s="58">
        <f>_ReleaseData!$Q$27</f>
        <v>175</v>
      </c>
      <c r="V4" s="40"/>
      <c r="W4" s="40"/>
      <c r="X4" s="40"/>
      <c r="Y4" s="40"/>
      <c r="Z4" s="33"/>
      <c r="AA4" s="33"/>
      <c r="AB4" s="57"/>
      <c r="AC4" s="58">
        <f>_ReleaseData!$Q$28</f>
        <v>55</v>
      </c>
      <c r="AD4" s="40"/>
      <c r="AE4" s="40"/>
      <c r="AF4" s="40"/>
      <c r="AG4" s="40"/>
      <c r="AH4" s="33"/>
      <c r="AI4" s="33"/>
    </row>
    <row r="5" spans="1:42" x14ac:dyDescent="0.45">
      <c r="A5" t="s">
        <v>270</v>
      </c>
      <c r="B5" s="60">
        <v>43593</v>
      </c>
      <c r="C5" s="60">
        <v>43606</v>
      </c>
      <c r="D5" s="57"/>
      <c r="E5" s="58">
        <f>_ReleaseData!$Q$25</f>
        <v>420</v>
      </c>
      <c r="F5" s="40"/>
      <c r="G5" s="40"/>
      <c r="H5" s="40"/>
      <c r="I5" s="40"/>
      <c r="J5" s="33"/>
      <c r="K5" s="33"/>
      <c r="L5" s="59"/>
      <c r="M5" s="58">
        <f>_ReleaseData!$Q$26</f>
        <v>75</v>
      </c>
      <c r="N5" s="40"/>
      <c r="O5" s="40"/>
      <c r="P5" s="40"/>
      <c r="Q5" s="40"/>
      <c r="R5" s="33"/>
      <c r="S5" s="33"/>
      <c r="T5" s="57"/>
      <c r="U5" s="58">
        <f>_ReleaseData!$Q$27</f>
        <v>175</v>
      </c>
      <c r="V5" s="40"/>
      <c r="W5" s="40"/>
      <c r="X5" s="40"/>
      <c r="Y5" s="40"/>
      <c r="Z5" s="33"/>
      <c r="AA5" s="33"/>
      <c r="AB5" s="57"/>
      <c r="AC5" s="58">
        <f>_ReleaseData!$Q$28</f>
        <v>55</v>
      </c>
      <c r="AD5" s="40"/>
      <c r="AE5" s="40"/>
      <c r="AF5" s="40"/>
      <c r="AG5" s="40"/>
      <c r="AH5" s="33"/>
      <c r="AI5" s="33"/>
    </row>
    <row r="6" spans="1:42" x14ac:dyDescent="0.45">
      <c r="A6" t="s">
        <v>271</v>
      </c>
      <c r="B6" s="60">
        <v>43607</v>
      </c>
      <c r="C6" s="60">
        <v>43620</v>
      </c>
      <c r="D6" s="57"/>
      <c r="E6" s="58">
        <f>_ReleaseData!$Q$25</f>
        <v>420</v>
      </c>
      <c r="F6" s="40"/>
      <c r="G6" s="40"/>
      <c r="H6" s="40"/>
      <c r="I6" s="40"/>
      <c r="J6" s="33"/>
      <c r="K6" s="33"/>
      <c r="L6" s="59"/>
      <c r="M6" s="58">
        <f>_ReleaseData!$Q$26</f>
        <v>75</v>
      </c>
      <c r="N6" s="40"/>
      <c r="O6" s="40"/>
      <c r="P6" s="40"/>
      <c r="Q6" s="40"/>
      <c r="R6" s="33"/>
      <c r="S6" s="33"/>
      <c r="T6" s="57"/>
      <c r="U6" s="58">
        <f>_ReleaseData!$Q$27</f>
        <v>175</v>
      </c>
      <c r="V6" s="40"/>
      <c r="W6" s="40"/>
      <c r="X6" s="40"/>
      <c r="Y6" s="40"/>
      <c r="Z6" s="33"/>
      <c r="AA6" s="33"/>
      <c r="AB6" s="57"/>
      <c r="AC6" s="58">
        <f>_ReleaseData!$Q$28</f>
        <v>55</v>
      </c>
      <c r="AD6" s="40"/>
      <c r="AE6" s="40"/>
      <c r="AF6" s="40"/>
      <c r="AG6" s="40"/>
      <c r="AH6" s="33"/>
      <c r="AI6" s="33"/>
    </row>
    <row r="7" spans="1:42" x14ac:dyDescent="0.45">
      <c r="A7" t="s">
        <v>272</v>
      </c>
      <c r="B7" s="60">
        <v>43621</v>
      </c>
      <c r="C7" s="60">
        <v>43634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75</v>
      </c>
      <c r="N7" s="40"/>
      <c r="O7" s="40"/>
      <c r="P7" s="40"/>
      <c r="Q7" s="40"/>
      <c r="R7" s="33"/>
      <c r="S7" s="33"/>
      <c r="T7" s="57"/>
      <c r="U7" s="58">
        <f>_ReleaseData!$Q$27</f>
        <v>175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75</v>
      </c>
      <c r="N8" s="40"/>
      <c r="O8" s="40"/>
      <c r="P8" s="40"/>
      <c r="Q8" s="40"/>
      <c r="R8" s="33"/>
      <c r="S8" s="33"/>
      <c r="T8" s="57"/>
      <c r="U8" s="58">
        <f>_ReleaseData!$Q$27</f>
        <v>175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f>GETPIVOTDATA("Epic Not Decomposed Estimate",$B$3)</f>
        <v>1460.125</v>
      </c>
      <c r="D16" s="20">
        <f>GETPIVOTDATA("Story Points",$G$5)</f>
        <v>35</v>
      </c>
    </row>
    <row r="17" spans="2:4" x14ac:dyDescent="0.45">
      <c r="B17" t="s">
        <v>270</v>
      </c>
    </row>
    <row r="18" spans="2:4" x14ac:dyDescent="0.45">
      <c r="B18" t="s">
        <v>271</v>
      </c>
    </row>
    <row r="19" spans="2:4" x14ac:dyDescent="0.45">
      <c r="B19" t="s">
        <v>272</v>
      </c>
    </row>
    <row r="20" spans="2:4" x14ac:dyDescent="0.45">
      <c r="B20" t="s">
        <v>273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2019-04-23T14:50:40Z</dcterms:modified>
</cp:coreProperties>
</file>