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17.xml" ContentType="application/vnd.openxmlformats-officedocument.spreadsheetml.pivotTable+xml"/>
  <Override PartName="/xl/tables/table5.xml" ContentType="application/vnd.openxmlformats-officedocument.spreadsheetml.tab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6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AD1F6B43-5C1E-4FA2-B6FD-AE7E07936A6C}" xr6:coauthVersionLast="31" xr6:coauthVersionMax="31" xr10:uidLastSave="{00000000-0000-0000-0000-000000000000}"/>
  <bookViews>
    <workbookView xWindow="0" yWindow="0" windowWidth="21600" windowHeight="8715" tabRatio="933" xr2:uid="{00000000-000D-0000-FFFF-FFFF00000000}"/>
  </bookViews>
  <sheets>
    <sheet name="Release" sheetId="10" r:id="rId1"/>
    <sheet name="UME" sheetId="19" r:id="rId2"/>
    <sheet name="Artifact List v2" sheetId="20" r:id="rId3"/>
    <sheet name="_ReleaseData" sheetId="9" state="hidden" r:id="rId4"/>
    <sheet name="_CumulativeFlowData " sheetId="26" state="hidden" r:id="rId5"/>
    <sheet name="Readiness" sheetId="23" r:id="rId6"/>
    <sheet name="_ReadinessData" sheetId="24" state="hidden" r:id="rId7"/>
    <sheet name="Team Backlog" sheetId="16" r:id="rId8"/>
    <sheet name="_TeamBacklogData" sheetId="15" state="hidden" r:id="rId9"/>
    <sheet name="Team Velocity" sheetId="21" r:id="rId10"/>
    <sheet name="_TeamVelocityData" sheetId="22" state="hidden" r:id="rId11"/>
    <sheet name="Active Sprint" sheetId="11" r:id="rId12"/>
    <sheet name="_ActiveSprintData" sheetId="12" state="hidden" r:id="rId13"/>
    <sheet name="Bugs" sheetId="13" r:id="rId14"/>
    <sheet name="_BugsData" sheetId="14" state="hidden" r:id="rId15"/>
    <sheet name="Issues" sheetId="2" state="hidden" r:id="rId16"/>
    <sheet name="Notes" sheetId="25" state="hidden" r:id="rId17"/>
  </sheets>
  <definedNames>
    <definedName name="issues">OFFSET(Issues!$A$1,0,0,COUNTA(Issues!$A$1:$A$10003),COUNTA(Issues!$A$1:$AAO$1) - 1)</definedName>
  </definedNames>
  <calcPr calcId="179017"/>
  <pivotCaches>
    <pivotCache cacheId="90" r:id="rId18"/>
  </pivotCaches>
  <fileRecoveryPr autoRecover="0"/>
</workbook>
</file>

<file path=xl/calcChain.xml><?xml version="1.0" encoding="utf-8"?>
<calcChain xmlns="http://schemas.openxmlformats.org/spreadsheetml/2006/main">
  <c r="C31" i="24" l="1"/>
  <c r="D31" i="24"/>
  <c r="Y14" i="26"/>
  <c r="W14" i="26"/>
  <c r="V14" i="26"/>
  <c r="T14" i="26"/>
  <c r="X14" i="26" l="1"/>
  <c r="AA14" i="26" s="1"/>
  <c r="Z14" i="26"/>
  <c r="Q14" i="26"/>
  <c r="O14" i="26"/>
  <c r="N14" i="26"/>
  <c r="L14" i="26"/>
  <c r="P14" i="26" l="1"/>
  <c r="S14" i="26" s="1"/>
  <c r="R14" i="26"/>
  <c r="I14" i="26"/>
  <c r="G14" i="26"/>
  <c r="F14" i="26"/>
  <c r="D14" i="26"/>
  <c r="H14" i="26" l="1"/>
  <c r="K14" i="26" s="1"/>
  <c r="J14" i="26"/>
  <c r="U14" i="9"/>
  <c r="S14" i="9"/>
  <c r="Q14" i="9"/>
  <c r="M14" i="9"/>
  <c r="N14" i="9"/>
  <c r="O14" i="9"/>
  <c r="T3" i="9" l="1"/>
  <c r="P3" i="9"/>
  <c r="Z12" i="26" l="1"/>
  <c r="X12" i="26"/>
  <c r="AA12" i="26" s="1"/>
  <c r="P12" i="26"/>
  <c r="S12" i="26" s="1"/>
  <c r="R12" i="26"/>
  <c r="H12" i="26"/>
  <c r="K12" i="26" s="1"/>
  <c r="J12" i="26"/>
  <c r="J13" i="26" l="1"/>
  <c r="Z13" i="26"/>
  <c r="P13" i="26"/>
  <c r="S13" i="26" s="1"/>
  <c r="X13" i="26"/>
  <c r="AA13" i="26" s="1"/>
  <c r="R13" i="26"/>
  <c r="H13" i="26"/>
  <c r="K13" i="26" s="1"/>
  <c r="AA10" i="26"/>
  <c r="Z10" i="26"/>
  <c r="X10" i="26"/>
  <c r="R10" i="26"/>
  <c r="P10" i="26"/>
  <c r="S10" i="26" s="1"/>
  <c r="J10" i="26"/>
  <c r="H10" i="26"/>
  <c r="K10" i="26" s="1"/>
  <c r="Z9" i="26"/>
  <c r="X9" i="26"/>
  <c r="AA9" i="26" s="1"/>
  <c r="R9" i="26"/>
  <c r="P9" i="26"/>
  <c r="S9" i="26" s="1"/>
  <c r="J9" i="26"/>
  <c r="H9" i="26"/>
  <c r="K9" i="26" s="1"/>
  <c r="Z8" i="26"/>
  <c r="X8" i="26"/>
  <c r="AA8" i="26" s="1"/>
  <c r="R8" i="26"/>
  <c r="P8" i="26"/>
  <c r="S8" i="26" s="1"/>
  <c r="J8" i="26"/>
  <c r="H8" i="26"/>
  <c r="K8" i="26" s="1"/>
  <c r="Z7" i="26"/>
  <c r="X7" i="26"/>
  <c r="AA7" i="26" s="1"/>
  <c r="R7" i="26"/>
  <c r="P7" i="26"/>
  <c r="S7" i="26" s="1"/>
  <c r="J7" i="26"/>
  <c r="H7" i="26"/>
  <c r="K7" i="26" s="1"/>
  <c r="Z6" i="26"/>
  <c r="X6" i="26"/>
  <c r="AA6" i="26" s="1"/>
  <c r="R6" i="26"/>
  <c r="P6" i="26"/>
  <c r="S6" i="26" s="1"/>
  <c r="J6" i="26"/>
  <c r="H6" i="26"/>
  <c r="K6" i="26" s="1"/>
  <c r="AA5" i="26"/>
  <c r="Z5" i="26"/>
  <c r="S5" i="26"/>
  <c r="R5" i="26"/>
  <c r="K5" i="26"/>
  <c r="J5" i="26"/>
  <c r="AA4" i="26"/>
  <c r="Z4" i="26"/>
  <c r="S4" i="26"/>
  <c r="R4" i="26"/>
  <c r="K4" i="26"/>
  <c r="J4" i="26"/>
  <c r="AA3" i="26"/>
  <c r="Z3" i="26"/>
  <c r="X3" i="26"/>
  <c r="R3" i="26"/>
  <c r="P3" i="26"/>
  <c r="S3" i="26" s="1"/>
  <c r="J3" i="26"/>
  <c r="H3" i="26"/>
  <c r="K3" i="26" s="1"/>
  <c r="P11" i="26" l="1"/>
  <c r="S11" i="26" s="1"/>
  <c r="H11" i="26"/>
  <c r="K11" i="26" s="1"/>
  <c r="Z11" i="26"/>
  <c r="X11" i="26"/>
  <c r="AA11" i="26" s="1"/>
  <c r="R11" i="26"/>
  <c r="J11" i="26"/>
  <c r="Q20" i="22"/>
  <c r="P20" i="22"/>
  <c r="O20" i="22"/>
  <c r="N20" i="22"/>
  <c r="M20" i="22"/>
  <c r="R9" i="22" l="1"/>
  <c r="R3" i="9" l="1"/>
  <c r="R6" i="22" l="1"/>
  <c r="R19" i="22"/>
  <c r="R18" i="22"/>
  <c r="R17" i="22"/>
  <c r="R16" i="22"/>
  <c r="R15" i="22"/>
  <c r="R14" i="22"/>
  <c r="R13" i="22"/>
  <c r="R12" i="22"/>
  <c r="R11" i="22"/>
  <c r="R10" i="22"/>
  <c r="R8" i="22"/>
  <c r="R7" i="22"/>
  <c r="R20" i="22"/>
  <c r="L20" i="22"/>
  <c r="B56" i="9" l="1"/>
  <c r="E6" i="9" l="1"/>
  <c r="B18" i="9" s="1"/>
  <c r="B19" i="9" l="1"/>
  <c r="B2" i="9"/>
  <c r="B1" i="12"/>
  <c r="AE34" i="2" l="1"/>
  <c r="AE32" i="2"/>
  <c r="AE36" i="2"/>
  <c r="AE35" i="2"/>
  <c r="AE33" i="2"/>
  <c r="AE31" i="2"/>
  <c r="AE30" i="2"/>
  <c r="H36" i="9"/>
  <c r="H12" i="15"/>
  <c r="B14" i="9"/>
  <c r="K12" i="15"/>
  <c r="B12" i="15"/>
  <c r="B10" i="9"/>
  <c r="E12" i="15"/>
  <c r="B15" i="9" l="1"/>
  <c r="B11" i="9"/>
  <c r="E36" i="9"/>
  <c r="B35" i="9" l="1"/>
  <c r="B6" i="9"/>
  <c r="J4" i="9" l="1"/>
  <c r="E15" i="12" l="1"/>
  <c r="E14" i="12"/>
  <c r="C18" i="14"/>
  <c r="B3" i="9" l="1"/>
  <c r="I5" i="9"/>
  <c r="H6" i="9" s="1"/>
  <c r="H5" i="9"/>
  <c r="J5" i="9" s="1"/>
  <c r="I6" i="9" l="1"/>
  <c r="J6" i="9" s="1"/>
  <c r="I7" i="9" l="1"/>
  <c r="H7" i="9"/>
  <c r="J7" i="9" s="1"/>
  <c r="I8" i="9" l="1"/>
  <c r="H8" i="9"/>
  <c r="J8" i="9" l="1"/>
  <c r="H9" i="9"/>
  <c r="J9" i="9" s="1"/>
  <c r="I9" i="9"/>
  <c r="I10" i="9" l="1"/>
  <c r="H10" i="9"/>
  <c r="J10" i="9" l="1"/>
  <c r="I11" i="9"/>
  <c r="H11" i="9"/>
  <c r="J11" i="9" s="1"/>
  <c r="I12" i="9" l="1"/>
  <c r="H12" i="9"/>
  <c r="J12" i="9" s="1"/>
  <c r="H13" i="9" l="1"/>
  <c r="I13" i="9"/>
  <c r="J13" i="9" l="1"/>
  <c r="H14" i="9"/>
  <c r="I14" i="9"/>
  <c r="J14" i="9" l="1"/>
  <c r="I15" i="9"/>
  <c r="H15" i="9"/>
  <c r="J15" i="9" l="1"/>
  <c r="I16" i="9"/>
  <c r="H16" i="9"/>
  <c r="J16" i="9" l="1"/>
  <c r="L16" i="9" s="1"/>
  <c r="T16" i="9" s="1"/>
  <c r="H17" i="9"/>
  <c r="J17" i="9" s="1"/>
  <c r="I17" i="9"/>
  <c r="L14" i="9" l="1"/>
  <c r="T14" i="9" s="1"/>
  <c r="L13" i="9"/>
  <c r="T13" i="9" s="1"/>
  <c r="L6" i="9"/>
  <c r="T6" i="9" s="1"/>
  <c r="L9" i="9"/>
  <c r="T9" i="9" s="1"/>
  <c r="L8" i="9"/>
  <c r="T8" i="9" s="1"/>
  <c r="L17" i="9"/>
  <c r="T17" i="9" s="1"/>
  <c r="L5" i="9"/>
  <c r="T5" i="9" s="1"/>
  <c r="L7" i="9"/>
  <c r="T7" i="9" s="1"/>
  <c r="L4" i="9"/>
  <c r="T4" i="9" s="1"/>
  <c r="L11" i="9"/>
  <c r="T11" i="9" s="1"/>
  <c r="L10" i="9"/>
  <c r="T10" i="9" s="1"/>
  <c r="L15" i="9"/>
  <c r="T15" i="9" s="1"/>
  <c r="L12" i="9"/>
  <c r="T12" i="9" s="1"/>
  <c r="K16" i="9"/>
  <c r="P16" i="9" s="1"/>
  <c r="K17" i="9"/>
  <c r="P17" i="9" s="1"/>
  <c r="K4" i="9"/>
  <c r="P4" i="9" s="1"/>
  <c r="K7" i="9"/>
  <c r="P7" i="9" s="1"/>
  <c r="K5" i="9"/>
  <c r="P5" i="9" s="1"/>
  <c r="K8" i="9"/>
  <c r="P8" i="9" s="1"/>
  <c r="K6" i="9"/>
  <c r="P6" i="9" s="1"/>
  <c r="K9" i="9"/>
  <c r="P9" i="9" s="1"/>
  <c r="K11" i="9"/>
  <c r="P11" i="9" s="1"/>
  <c r="K10" i="9"/>
  <c r="P10" i="9" s="1"/>
  <c r="K14" i="9"/>
  <c r="P14" i="9" s="1"/>
  <c r="K13" i="9"/>
  <c r="K12" i="9"/>
  <c r="P12" i="9" s="1"/>
  <c r="K15" i="9"/>
  <c r="P15" i="9" s="1"/>
  <c r="B7" i="9"/>
  <c r="P13" i="9" l="1"/>
  <c r="R13" i="9"/>
  <c r="R16" i="9"/>
  <c r="R15" i="9"/>
  <c r="R8" i="9"/>
  <c r="R12" i="9"/>
  <c r="R5" i="9"/>
  <c r="R4" i="9"/>
  <c r="R17" i="9"/>
  <c r="R7" i="9"/>
  <c r="R14" i="9"/>
  <c r="R9" i="9"/>
  <c r="R6" i="9"/>
  <c r="R10" i="9"/>
  <c r="R11" i="9"/>
</calcChain>
</file>

<file path=xl/sharedStrings.xml><?xml version="1.0" encoding="utf-8"?>
<sst xmlns="http://schemas.openxmlformats.org/spreadsheetml/2006/main" count="969" uniqueCount="276">
  <si>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</si>
  <si>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</si>
  <si>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</si>
  <si>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</si>
  <si>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</si>
  <si>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</si>
  <si>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</si>
  <si>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</si>
  <si>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</si>
  <si>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</si>
  <si>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</si>
  <si>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</si>
  <si>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</si>
  <si>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</si>
  <si>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</si>
  <si>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</si>
  <si>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</si>
  <si>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</si>
  <si>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</si>
  <si>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</si>
  <si>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</si>
  <si>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</si>
  <si>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</si>
  <si>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</si>
  <si>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</si>
  <si>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</si>
  <si>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</si>
  <si>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</si>
  <si>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</si>
  <si>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</si>
  <si>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</si>
  <si>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</si>
  <si>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</si>
  <si>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</si>
  <si>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</si>
  <si>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</si>
  <si>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</si>
  <si>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</si>
  <si>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</si>
  <si>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</si>
  <si>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</si>
  <si>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</si>
  <si>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</si>
  <si>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</si>
  <si>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</si>
  <si>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</si>
  <si>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</si>
  <si>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</si>
  <si>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</si>
  <si>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</si>
  <si>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</si>
  <si>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</si>
  <si>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</si>
  <si>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</si>
  <si>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</si>
  <si>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</si>
  <si>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</si>
  <si>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</si>
  <si>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</si>
  <si>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</si>
  <si>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</si>
  <si>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</si>
  <si>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</si>
  <si>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</si>
  <si>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</si>
  <si>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</si>
  <si>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</si>
  <si>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</si>
  <si>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</si>
  <si>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</si>
  <si>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</si>
  <si>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</si>
  <si>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</si>
  <si>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</si>
  <si>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</si>
  <si>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</si>
  <si>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</si>
  <si>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</si>
  <si>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</si>
  <si>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</si>
  <si>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</si>
  <si>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</si>
  <si>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</si>
  <si>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</si>
  <si>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</si>
  <si>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</si>
  <si>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</si>
  <si>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</si>
  <si>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</si>
  <si>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</si>
  <si>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</si>
  <si>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</si>
  <si>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</si>
  <si>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</si>
  <si>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</si>
  <si>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</si>
  <si>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</si>
  <si>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</si>
  <si>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</si>
  <si>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</si>
  <si>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</si>
  <si>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</si>
  <si>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</si>
  <si>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</si>
  <si>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</si>
  <si>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</si>
  <si>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</si>
  <si>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</si>
  <si>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</si>
  <si>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</si>
  <si>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</si>
  <si>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</si>
  <si>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</si>
  <si>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</si>
  <si>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</si>
  <si>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</si>
  <si>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</si>
  <si>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</si>
  <si>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</si>
  <si>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</si>
  <si>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</si>
  <si>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</si>
  <si>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</si>
  <si>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</si>
  <si>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</si>
  <si>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</si>
  <si>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$[IF(OR(B2="Bug", B2="Epic"),"",IF(D2=V2, 0, N2))]&lt;/jt:forEach&gt;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</si>
  <si>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</si>
  <si>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</si>
  <si>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</si>
  <si>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</si>
  <si>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</si>
  <si>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</si>
  <si>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</si>
  <si>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</si>
  <si>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</si>
  <si>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</si>
  <si>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</si>
  <si>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</si>
  <si>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</si>
  <si>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</si>
  <si>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</si>
  <si>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</si>
  <si>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</si>
  <si>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Pegasus</t>
  </si>
  <si>
    <t>Quasar</t>
  </si>
  <si>
    <t>Actual</t>
  </si>
  <si>
    <t>Remainder</t>
  </si>
  <si>
    <t>Dev Sprint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</si>
  <si>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</si>
  <si>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</si>
  <si>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</si>
  <si>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</si>
  <si>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</si>
  <si>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</si>
  <si>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</si>
  <si>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</si>
  <si>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</si>
  <si>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</si>
  <si>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</si>
  <si>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</si>
  <si>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</si>
  <si>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</si>
  <si>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Row Labels</t>
  </si>
  <si>
    <t>&lt;mt:execute script="field-helper-tool.groovy"/&gt;&lt;mt:execute script="blueprint-helper.groovy"/&gt;&lt;mt:execute script="blueprint-release-dashboard-helper.groovy"/&gt;</t>
  </si>
  <si>
    <t>Last Sprint</t>
  </si>
  <si>
    <t>${bpHelper.getLastSprint(issue)}</t>
  </si>
  <si>
    <t>Active Sprint</t>
  </si>
  <si>
    <t>Quasar1</t>
  </si>
  <si>
    <t>Pegasus1</t>
  </si>
  <si>
    <t>Pegasus2</t>
  </si>
  <si>
    <t>Pegasus3</t>
  </si>
  <si>
    <t>Pegasus4</t>
  </si>
  <si>
    <t>Pegasus5</t>
  </si>
  <si>
    <t>Pegasus6</t>
  </si>
  <si>
    <t>Pegasus7</t>
  </si>
  <si>
    <t>Pegasus8</t>
  </si>
  <si>
    <t>Quasar2</t>
  </si>
  <si>
    <t>Quasar3</t>
  </si>
  <si>
    <t>Quasar4</t>
  </si>
  <si>
    <t>Quasar5</t>
  </si>
  <si>
    <t>Quasar6</t>
  </si>
  <si>
    <t>Quasar7</t>
  </si>
  <si>
    <t>Quasar8</t>
  </si>
  <si>
    <t>Quasar9</t>
  </si>
  <si>
    <t>Quasar10</t>
  </si>
  <si>
    <t>Quasar11</t>
  </si>
  <si>
    <t>Quasar12</t>
  </si>
  <si>
    <t>Quasar13</t>
  </si>
  <si>
    <t>Quasar14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</si>
  <si>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</si>
  <si>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</si>
  <si>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</si>
  <si>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</si>
  <si>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</si>
  <si>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</si>
  <si>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</si>
  <si>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</si>
  <si>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</si>
  <si>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</si>
  <si>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</si>
  <si>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</si>
  <si>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</si>
  <si>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</si>
  <si>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</si>
  <si>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</si>
  <si>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</si>
  <si>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</si>
  <si>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</si>
  <si>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</si>
  <si>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</si>
  <si>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$[SUBSTITUTE(AE2, "uasar", "")]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</si>
  <si>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</si>
  <si>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</si>
  <si>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</si>
  <si>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</si>
  <si>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</si>
  <si>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</si>
  <si>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</si>
  <si>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</si>
  <si>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</si>
  <si>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</si>
  <si>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</si>
  <si>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</si>
  <si>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</si>
  <si>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</si>
  <si>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</si>
  <si>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</si>
  <si>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</si>
  <si>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</si>
  <si>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UME</t>
  </si>
  <si>
    <t>Artifact List v2</t>
  </si>
  <si>
    <t>Time Elapsed</t>
  </si>
  <si>
    <t>${bpHelper.getQuasarComponent(issue)}</t>
  </si>
  <si>
    <t>Quasar Component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</si>
  <si>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</si>
  <si>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</si>
  <si>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</si>
  <si>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</si>
  <si>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</si>
  <si>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</si>
  <si>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</si>
  <si>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</si>
  <si>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</si>
  <si>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</si>
  <si>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</si>
  <si>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</si>
  <si>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</si>
  <si>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</si>
  <si>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</si>
  <si>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</si>
  <si>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</si>
  <si>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</si>
  <si>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</si>
  <si>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</si>
  <si>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</si>
  <si>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</si>
  <si>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Time Elapsed Artifact List v2</t>
  </si>
  <si>
    <t/>
  </si>
  <si>
    <t>Release, UME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</si>
  <si>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</si>
  <si>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</si>
  <si>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</si>
  <si>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</si>
  <si>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</si>
  <si>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</si>
  <si>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</si>
  <si>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P8</t>
  </si>
  <si>
    <t>Sum of Stories Estimate</t>
  </si>
  <si>
    <t>Sum of Epic Decomposed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</si>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</sst>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75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0" fontId="0" fillId="0" borderId="4" xfId="0" applyFont="1" applyBorder="1"/>
    <xf numFmtId="14" fontId="0" fillId="0" borderId="4" xfId="0" applyNumberFormat="1" applyFont="1" applyBorder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0" fillId="0" borderId="1" xfId="0" applyNumberFormat="1" applyBorder="1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1" fontId="0" fillId="0" borderId="1" xfId="0" applyNumberFormat="1" applyFont="1" applyBorder="1"/>
    <xf numFmtId="9" fontId="0" fillId="0" borderId="0" xfId="0" applyNumberFormat="1" applyFont="1"/>
    <xf numFmtId="9" fontId="0" fillId="0" borderId="1" xfId="0" applyNumberFormat="1" applyFont="1" applyBorder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0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66" fontId="0" fillId="0" borderId="1" xfId="0" applyNumberFormat="1" applyFont="1" applyBorder="1"/>
    <xf numFmtId="166" fontId="0" fillId="0" borderId="1" xfId="0" applyNumberFormat="1" applyBorder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0.71551724137931039</c:v>
                </c:pt>
                <c:pt idx="1">
                  <c:v>0.28448275862068961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_ReleaseData!$K$3:$K$17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_ReleaseData!$N$3:$N$17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3.9899999999999998E-2</c:v>
                </c:pt>
                <c:pt idx="2">
                  <c:v>7.6499999999999999E-2</c:v>
                </c:pt>
                <c:pt idx="3">
                  <c:v>0.14299999999999999</c:v>
                </c:pt>
                <c:pt idx="4">
                  <c:v>0.1867</c:v>
                </c:pt>
                <c:pt idx="5">
                  <c:v>0.26279999999999998</c:v>
                </c:pt>
                <c:pt idx="6">
                  <c:v>0.3755</c:v>
                </c:pt>
                <c:pt idx="7">
                  <c:v>0.45860000000000001</c:v>
                </c:pt>
                <c:pt idx="8">
                  <c:v>0.52400000000000002</c:v>
                </c:pt>
                <c:pt idx="9">
                  <c:v>0.62719999999999998</c:v>
                </c:pt>
                <c:pt idx="10">
                  <c:v>0.7147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_ReleaseData!$D$25:$D$29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_ReleaseData!$E$25:$E$29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_ReleaseData!$R$2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_ReleaseData!$R$3:$R$17</c:f>
              <c:numCache>
                <c:formatCode>0.0</c:formatCode>
                <c:ptCount val="15"/>
                <c:pt idx="0">
                  <c:v>1400</c:v>
                </c:pt>
                <c:pt idx="1">
                  <c:v>1339.655172413793</c:v>
                </c:pt>
                <c:pt idx="2">
                  <c:v>1218.9655172413793</c:v>
                </c:pt>
                <c:pt idx="3">
                  <c:v>1098.2758620689656</c:v>
                </c:pt>
                <c:pt idx="4">
                  <c:v>989.65517241379303</c:v>
                </c:pt>
                <c:pt idx="5">
                  <c:v>868.9655172413793</c:v>
                </c:pt>
                <c:pt idx="6">
                  <c:v>748.27586206896558</c:v>
                </c:pt>
                <c:pt idx="7">
                  <c:v>639.65517241379303</c:v>
                </c:pt>
                <c:pt idx="8">
                  <c:v>639.65517241379303</c:v>
                </c:pt>
                <c:pt idx="9">
                  <c:v>518.9655172413793</c:v>
                </c:pt>
                <c:pt idx="10">
                  <c:v>410.34482758620692</c:v>
                </c:pt>
                <c:pt idx="11">
                  <c:v>289.65517241379308</c:v>
                </c:pt>
                <c:pt idx="12">
                  <c:v>181.03448275862067</c:v>
                </c:pt>
                <c:pt idx="13">
                  <c:v>60.344827586206939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_ReleaseData!$S$2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_ReleaseData!$S$3:$S$17</c:f>
              <c:numCache>
                <c:formatCode>0.0</c:formatCode>
                <c:ptCount val="15"/>
                <c:pt idx="0">
                  <c:v>918</c:v>
                </c:pt>
                <c:pt idx="1">
                  <c:v>1274</c:v>
                </c:pt>
                <c:pt idx="2">
                  <c:v>1544.3</c:v>
                </c:pt>
                <c:pt idx="3">
                  <c:v>1267.5</c:v>
                </c:pt>
                <c:pt idx="4">
                  <c:v>1161</c:v>
                </c:pt>
                <c:pt idx="5">
                  <c:v>1032.5</c:v>
                </c:pt>
                <c:pt idx="6">
                  <c:v>743.5</c:v>
                </c:pt>
                <c:pt idx="7">
                  <c:v>634</c:v>
                </c:pt>
                <c:pt idx="8">
                  <c:v>526.5</c:v>
                </c:pt>
                <c:pt idx="9">
                  <c:v>401.5</c:v>
                </c:pt>
                <c:pt idx="10">
                  <c:v>310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'!$L$3:$L$17</c:f>
              <c:numCache>
                <c:formatCode>0.0</c:formatCode>
                <c:ptCount val="15"/>
                <c:pt idx="0">
                  <c:v>918</c:v>
                </c:pt>
                <c:pt idx="1">
                  <c:v>1327</c:v>
                </c:pt>
                <c:pt idx="2">
                  <c:v>1672.3</c:v>
                </c:pt>
                <c:pt idx="3">
                  <c:v>1479</c:v>
                </c:pt>
                <c:pt idx="4">
                  <c:v>1427.5</c:v>
                </c:pt>
                <c:pt idx="5">
                  <c:v>1400.5</c:v>
                </c:pt>
                <c:pt idx="6">
                  <c:v>1190.5</c:v>
                </c:pt>
                <c:pt idx="7">
                  <c:v>1171</c:v>
                </c:pt>
                <c:pt idx="8">
                  <c:v>1106</c:v>
                </c:pt>
                <c:pt idx="9">
                  <c:v>1077</c:v>
                </c:pt>
                <c:pt idx="10">
                  <c:v>1086.5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'!$N$3:$N$17</c:f>
              <c:numCache>
                <c:formatCode>0.0</c:formatCode>
                <c:ptCount val="15"/>
                <c:pt idx="0">
                  <c:v>141</c:v>
                </c:pt>
                <c:pt idx="1">
                  <c:v>273</c:v>
                </c:pt>
                <c:pt idx="2">
                  <c:v>1213.3</c:v>
                </c:pt>
                <c:pt idx="3">
                  <c:v>1226.5</c:v>
                </c:pt>
                <c:pt idx="4">
                  <c:v>1283</c:v>
                </c:pt>
                <c:pt idx="5">
                  <c:v>1336.5</c:v>
                </c:pt>
                <c:pt idx="6">
                  <c:v>1130</c:v>
                </c:pt>
                <c:pt idx="7">
                  <c:v>1113.5</c:v>
                </c:pt>
                <c:pt idx="8">
                  <c:v>1050.5</c:v>
                </c:pt>
                <c:pt idx="9">
                  <c:v>1053.5</c:v>
                </c:pt>
                <c:pt idx="10">
                  <c:v>1064.5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'!$O$3:$O$17</c:f>
              <c:numCache>
                <c:formatCode>0.0</c:formatCode>
                <c:ptCount val="15"/>
                <c:pt idx="0">
                  <c:v>83</c:v>
                </c:pt>
                <c:pt idx="1">
                  <c:v>134</c:v>
                </c:pt>
                <c:pt idx="2">
                  <c:v>268</c:v>
                </c:pt>
                <c:pt idx="3">
                  <c:v>336.5</c:v>
                </c:pt>
                <c:pt idx="4">
                  <c:v>392</c:v>
                </c:pt>
                <c:pt idx="5">
                  <c:v>476.5</c:v>
                </c:pt>
                <c:pt idx="6">
                  <c:v>558.5</c:v>
                </c:pt>
                <c:pt idx="7">
                  <c:v>614</c:v>
                </c:pt>
                <c:pt idx="8">
                  <c:v>709</c:v>
                </c:pt>
                <c:pt idx="9">
                  <c:v>827.5</c:v>
                </c:pt>
                <c:pt idx="10">
                  <c:v>885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'!$P$3:$P$17</c:f>
              <c:numCache>
                <c:formatCode>0.0</c:formatCode>
                <c:ptCount val="15"/>
                <c:pt idx="0">
                  <c:v>0</c:v>
                </c:pt>
                <c:pt idx="1">
                  <c:v>53</c:v>
                </c:pt>
                <c:pt idx="2">
                  <c:v>128</c:v>
                </c:pt>
                <c:pt idx="3">
                  <c:v>211.5</c:v>
                </c:pt>
                <c:pt idx="4">
                  <c:v>266.5</c:v>
                </c:pt>
                <c:pt idx="5">
                  <c:v>368</c:v>
                </c:pt>
                <c:pt idx="6">
                  <c:v>447</c:v>
                </c:pt>
                <c:pt idx="7">
                  <c:v>537</c:v>
                </c:pt>
                <c:pt idx="8">
                  <c:v>579.5</c:v>
                </c:pt>
                <c:pt idx="9">
                  <c:v>675.5</c:v>
                </c:pt>
                <c:pt idx="10">
                  <c:v>776.5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A7-4C4C-ABBC-7C5B3A6D574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A7-4C4C-ABBC-7C5B3A6D574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A7-4C4C-ABBC-7C5B3A6D574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A7-4C4C-ABBC-7C5B3A6D574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A7-4C4C-ABBC-7C5B3A6D574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A7-4C4C-ABBC-7C5B3A6D574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A7-4C4C-ABBC-7C5B3A6D574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'!$M$3:$M$17</c:f>
              <c:numCache>
                <c:formatCode>0</c:formatCode>
                <c:ptCount val="15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0.71551724137931039</c:v>
                </c:pt>
                <c:pt idx="1">
                  <c:v>0.28448275862068961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Artifact List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Artifact List v2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_ReleaseData!$L$3:$L$17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_ReleaseData!$O$3:$O$17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6.0299999999999999E-2</c:v>
                </c:pt>
                <c:pt idx="2">
                  <c:v>0.18529999999999999</c:v>
                </c:pt>
                <c:pt idx="3">
                  <c:v>0.30580000000000002</c:v>
                </c:pt>
                <c:pt idx="4">
                  <c:v>0.376</c:v>
                </c:pt>
                <c:pt idx="5">
                  <c:v>0.43969999999999998</c:v>
                </c:pt>
                <c:pt idx="6">
                  <c:v>0.57920000000000005</c:v>
                </c:pt>
                <c:pt idx="7">
                  <c:v>0.67889999999999995</c:v>
                </c:pt>
                <c:pt idx="8">
                  <c:v>0.67030000000000001</c:v>
                </c:pt>
                <c:pt idx="9">
                  <c:v>0.70540000000000003</c:v>
                </c:pt>
                <c:pt idx="10">
                  <c:v>0.73460000000000003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_ReleaseData!$G$25:$G$29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_ReleaseData!$H$25:$H$29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_ReleaseData!$T$2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_ReleaseData!$T$3:$T$17</c:f>
              <c:numCache>
                <c:formatCode>0.0</c:formatCode>
                <c:ptCount val="15"/>
                <c:pt idx="0">
                  <c:v>700</c:v>
                </c:pt>
                <c:pt idx="1">
                  <c:v>669.82758620689651</c:v>
                </c:pt>
                <c:pt idx="2">
                  <c:v>609.48275862068965</c:v>
                </c:pt>
                <c:pt idx="3">
                  <c:v>549.13793103448279</c:v>
                </c:pt>
                <c:pt idx="4">
                  <c:v>494.82758620689651</c:v>
                </c:pt>
                <c:pt idx="5">
                  <c:v>434.48275862068965</c:v>
                </c:pt>
                <c:pt idx="6">
                  <c:v>374.13793103448279</c:v>
                </c:pt>
                <c:pt idx="7">
                  <c:v>319.82758620689651</c:v>
                </c:pt>
                <c:pt idx="8">
                  <c:v>319.82758620689651</c:v>
                </c:pt>
                <c:pt idx="9">
                  <c:v>259.48275862068965</c:v>
                </c:pt>
                <c:pt idx="10">
                  <c:v>205.17241379310346</c:v>
                </c:pt>
                <c:pt idx="11">
                  <c:v>144.82758620689654</c:v>
                </c:pt>
                <c:pt idx="12">
                  <c:v>90.517241379310335</c:v>
                </c:pt>
                <c:pt idx="13">
                  <c:v>30.17241379310347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_ReleaseData!$U$2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_ReleaseData!$U$3:$U$17</c:f>
              <c:numCache>
                <c:formatCode>0.0</c:formatCode>
                <c:ptCount val="15"/>
                <c:pt idx="0">
                  <c:v>575</c:v>
                </c:pt>
                <c:pt idx="1">
                  <c:v>654</c:v>
                </c:pt>
                <c:pt idx="2">
                  <c:v>525.5</c:v>
                </c:pt>
                <c:pt idx="3">
                  <c:v>462</c:v>
                </c:pt>
                <c:pt idx="4">
                  <c:v>458</c:v>
                </c:pt>
                <c:pt idx="5">
                  <c:v>427.5</c:v>
                </c:pt>
                <c:pt idx="6">
                  <c:v>321.5</c:v>
                </c:pt>
                <c:pt idx="7">
                  <c:v>249.5</c:v>
                </c:pt>
                <c:pt idx="8">
                  <c:v>259.5</c:v>
                </c:pt>
                <c:pt idx="9">
                  <c:v>257</c:v>
                </c:pt>
                <c:pt idx="10">
                  <c:v>250.5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'!$T$3:$T$17</c:f>
              <c:numCache>
                <c:formatCode>0.0</c:formatCode>
                <c:ptCount val="15"/>
                <c:pt idx="0">
                  <c:v>575</c:v>
                </c:pt>
                <c:pt idx="1">
                  <c:v>696</c:v>
                </c:pt>
                <c:pt idx="2">
                  <c:v>645</c:v>
                </c:pt>
                <c:pt idx="3">
                  <c:v>665.5</c:v>
                </c:pt>
                <c:pt idx="4">
                  <c:v>734</c:v>
                </c:pt>
                <c:pt idx="5">
                  <c:v>763</c:v>
                </c:pt>
                <c:pt idx="6">
                  <c:v>764</c:v>
                </c:pt>
                <c:pt idx="7">
                  <c:v>777</c:v>
                </c:pt>
                <c:pt idx="8">
                  <c:v>787</c:v>
                </c:pt>
                <c:pt idx="9">
                  <c:v>872.5</c:v>
                </c:pt>
                <c:pt idx="10">
                  <c:v>944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'!$V$3:$V$17</c:f>
              <c:numCache>
                <c:formatCode>0.0</c:formatCode>
                <c:ptCount val="15"/>
                <c:pt idx="0">
                  <c:v>350</c:v>
                </c:pt>
                <c:pt idx="1">
                  <c:v>389</c:v>
                </c:pt>
                <c:pt idx="2">
                  <c:v>615</c:v>
                </c:pt>
                <c:pt idx="3" formatCode="General">
                  <c:v>635.5</c:v>
                </c:pt>
                <c:pt idx="4">
                  <c:v>707</c:v>
                </c:pt>
                <c:pt idx="5">
                  <c:v>726</c:v>
                </c:pt>
                <c:pt idx="6">
                  <c:v>733</c:v>
                </c:pt>
                <c:pt idx="7">
                  <c:v>755</c:v>
                </c:pt>
                <c:pt idx="8">
                  <c:v>777</c:v>
                </c:pt>
                <c:pt idx="9">
                  <c:v>822.5</c:v>
                </c:pt>
                <c:pt idx="10">
                  <c:v>874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'!$W$3:$W$17</c:f>
              <c:numCache>
                <c:formatCode>0.0</c:formatCode>
                <c:ptCount val="15"/>
                <c:pt idx="0">
                  <c:v>215</c:v>
                </c:pt>
                <c:pt idx="1">
                  <c:v>261</c:v>
                </c:pt>
                <c:pt idx="2">
                  <c:v>365</c:v>
                </c:pt>
                <c:pt idx="3">
                  <c:v>464</c:v>
                </c:pt>
                <c:pt idx="4">
                  <c:v>597.5</c:v>
                </c:pt>
                <c:pt idx="5">
                  <c:v>675</c:v>
                </c:pt>
                <c:pt idx="6">
                  <c:v>682</c:v>
                </c:pt>
                <c:pt idx="7">
                  <c:v>704</c:v>
                </c:pt>
                <c:pt idx="8">
                  <c:v>734</c:v>
                </c:pt>
                <c:pt idx="9">
                  <c:v>751.5</c:v>
                </c:pt>
                <c:pt idx="10">
                  <c:v>822.5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'!$X$3:$X$17</c:f>
              <c:numCache>
                <c:formatCode>0.0</c:formatCode>
                <c:ptCount val="15"/>
                <c:pt idx="0">
                  <c:v>0</c:v>
                </c:pt>
                <c:pt idx="1">
                  <c:v>42</c:v>
                </c:pt>
                <c:pt idx="2">
                  <c:v>119.5</c:v>
                </c:pt>
                <c:pt idx="3">
                  <c:v>203.5</c:v>
                </c:pt>
                <c:pt idx="4">
                  <c:v>276</c:v>
                </c:pt>
                <c:pt idx="5">
                  <c:v>335.5</c:v>
                </c:pt>
                <c:pt idx="6">
                  <c:v>442.5</c:v>
                </c:pt>
                <c:pt idx="7">
                  <c:v>527.5</c:v>
                </c:pt>
                <c:pt idx="8">
                  <c:v>527.5</c:v>
                </c:pt>
                <c:pt idx="9">
                  <c:v>615.5</c:v>
                </c:pt>
                <c:pt idx="10">
                  <c:v>693.5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47-4170-8AFA-DA7F2E5C404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47-4170-8AFA-DA7F2E5C404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47-4170-8AFA-DA7F2E5C404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47-4170-8AFA-DA7F2E5C404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47-4170-8AFA-DA7F2E5C404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047-4170-8AFA-DA7F2E5C404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47-4170-8AFA-DA7F2E5C4040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'!$U$3:$U$17</c:f>
              <c:numCache>
                <c:formatCode>0</c:formatCode>
                <c:ptCount val="15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_ReadinessData!$C$20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_ReadinessData!$B$21:$B$34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_ReadinessData!$C$21:$C$34</c:f>
              <c:numCache>
                <c:formatCode>General</c:formatCode>
                <c:ptCount val="14"/>
                <c:pt idx="0">
                  <c:v>1872.5</c:v>
                </c:pt>
                <c:pt idx="1">
                  <c:v>1932.75</c:v>
                </c:pt>
                <c:pt idx="2">
                  <c:v>1438</c:v>
                </c:pt>
                <c:pt idx="3">
                  <c:v>1265</c:v>
                </c:pt>
                <c:pt idx="4">
                  <c:v>1099</c:v>
                </c:pt>
                <c:pt idx="5">
                  <c:v>779</c:v>
                </c:pt>
                <c:pt idx="6">
                  <c:v>701</c:v>
                </c:pt>
                <c:pt idx="7">
                  <c:v>521</c:v>
                </c:pt>
                <c:pt idx="8">
                  <c:v>441</c:v>
                </c:pt>
                <c:pt idx="9">
                  <c:v>416</c:v>
                </c:pt>
                <c:pt idx="1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_ReadinessData!$D$20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_ReadinessData!$B$21:$B$34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_ReadinessData!$D$21:$D$34</c:f>
              <c:numCache>
                <c:formatCode>General</c:formatCode>
                <c:ptCount val="14"/>
                <c:pt idx="0">
                  <c:v>227.5</c:v>
                </c:pt>
                <c:pt idx="1">
                  <c:v>291</c:v>
                </c:pt>
                <c:pt idx="2">
                  <c:v>286</c:v>
                </c:pt>
                <c:pt idx="3">
                  <c:v>339.5</c:v>
                </c:pt>
                <c:pt idx="4">
                  <c:v>348</c:v>
                </c:pt>
                <c:pt idx="5">
                  <c:v>348</c:v>
                </c:pt>
                <c:pt idx="6">
                  <c:v>217</c:v>
                </c:pt>
                <c:pt idx="7">
                  <c:v>222.5</c:v>
                </c:pt>
                <c:pt idx="8">
                  <c:v>205</c:v>
                </c:pt>
                <c:pt idx="9">
                  <c:v>161</c:v>
                </c:pt>
                <c:pt idx="1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_TeamBacklogData!$A$6:$A$11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_TeamBacklogData!$B$6:$B$11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ngStars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7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_TeamBacklogData!$E$5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D5-4FC3-AA48-A2D05655B6D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5-4FC3-AA48-A2D05655B6DF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D5-4FC3-AA48-A2D05655B6DF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D5-4FC3-AA48-A2D05655B6DF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6F-46B3-BDE6-81E5F70E1FF3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_TeamBacklogData!$D$6:$D$11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_TeamBacklogData!$E$6:$E$11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D5-4FC3-AA48-A2D05655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NW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_TeamBacklogData!$H$5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A-4D99-ADBA-F996BF0B599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A-4D99-ADBA-F996BF0B599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BA-4D99-ADBA-F996BF0B599D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BA-4D99-ADBA-F996BF0B599D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DA-4DB0-B64B-5BE20E716295}"/>
              </c:ext>
            </c:extLst>
          </c:dPt>
          <c:dLbls>
            <c:spPr>
              <a:solidFill>
                <a:schemeClr val="bg1"/>
              </a:solidFill>
              <a:ln w="0"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_TeamBacklogData!$G$6:$G$11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_TeamBacklogData!$H$6:$H$11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BA-4D99-ADBA-F996BF0B59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SoftTeco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_TeamBacklogData!$K$5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96-4B41-93B3-D1210411777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96-4B41-93B3-D1210411777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96-4B41-93B3-D1210411777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96-4B41-93B3-D1210411777B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C2-427E-8835-7BF1360B835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_TeamBacklogData!$J$6:$J$11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_TeamBacklogData!$K$6:$K$11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96-4B41-93B3-D12104117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_TeamVelocityData!$C$4:$C$5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_TeamVelocityData!$C$6:$C$20</c:f>
              <c:numCache>
                <c:formatCode>General</c:formatCode>
                <c:ptCount val="14"/>
                <c:pt idx="2">
                  <c:v>30</c:v>
                </c:pt>
                <c:pt idx="7">
                  <c:v>30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ser>
          <c:idx val="1"/>
          <c:order val="1"/>
          <c:tx>
            <c:strRef>
              <c:f>_TeamVelocityData!$D$4:$D$5</c:f>
              <c:strCache>
                <c:ptCount val="1"/>
                <c:pt idx="0">
                  <c:v>ngStars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_TeamVelocityData!$D$6:$D$20</c:f>
              <c:numCache>
                <c:formatCode>General</c:formatCode>
                <c:ptCount val="14"/>
                <c:pt idx="1">
                  <c:v>30</c:v>
                </c:pt>
                <c:pt idx="6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5-4522-AF9A-462F7408A36A}"/>
            </c:ext>
          </c:extLst>
        </c:ser>
        <c:ser>
          <c:idx val="2"/>
          <c:order val="2"/>
          <c:tx>
            <c:strRef>
              <c:f>_TeamVelocityData!$E$4:$E$5</c:f>
              <c:strCache>
                <c:ptCount val="1"/>
                <c:pt idx="0">
                  <c:v>NW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_TeamVelocityData!$E$6:$E$20</c:f>
              <c:numCache>
                <c:formatCode>General</c:formatCode>
                <c:ptCount val="14"/>
                <c:pt idx="0">
                  <c:v>30</c:v>
                </c:pt>
                <c:pt idx="5">
                  <c:v>30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5-4522-AF9A-462F7408A36A}"/>
            </c:ext>
          </c:extLst>
        </c:ser>
        <c:ser>
          <c:idx val="3"/>
          <c:order val="3"/>
          <c:tx>
            <c:strRef>
              <c:f>_TeamVelocityData!$F$4:$F$5</c:f>
              <c:strCache>
                <c:ptCount val="1"/>
                <c:pt idx="0">
                  <c:v>SoftTeco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_TeamVelocityData!$F$6:$F$20</c:f>
              <c:numCache>
                <c:formatCode>General</c:formatCode>
                <c:ptCount val="14"/>
                <c:pt idx="4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5-4522-AF9A-462F7408A36A}"/>
            </c:ext>
          </c:extLst>
        </c:ser>
        <c:ser>
          <c:idx val="4"/>
          <c:order val="4"/>
          <c:tx>
            <c:strRef>
              <c:f>_TeamVelocityData!$G$4:$G$5</c:f>
              <c:strCache>
                <c:ptCount val="1"/>
                <c:pt idx="0">
                  <c:v>Titan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_TeamVelocityData!$G$6:$G$20</c:f>
              <c:numCache>
                <c:formatCode>General</c:formatCode>
                <c:ptCount val="14"/>
                <c:pt idx="3">
                  <c:v>30</c:v>
                </c:pt>
                <c:pt idx="8">
                  <c:v>30</c:v>
                </c:pt>
                <c:pt idx="1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[_Current-Release-Dashboard.xlsx]_ActiveSprintData!PivotTable2</c:name>
    <c:fmtId val="0"/>
  </c:pivotSource>
  <c:chart>
    <c:title>
      <c:tx>
        <c:strRef>
          <c:f>_ActiveSprintData!$E$15</c:f>
          <c:strCache>
            <c:ptCount val="1"/>
            <c:pt idx="0">
              <c:v>Sprint 11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_ActiveSprintData!$E$15</c:f>
              <c:strCache>
                <c:ptCount val="6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</c:strCache>
            </c:strRef>
          </c:cat>
          <c:val>
            <c:numRef>
              <c:f>_ActiveSprintData!$E$15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75000"/>
                  </a:schemeClr>
                </a:solidFill>
              </a:rPr>
              <a:t>Quasar</a:t>
            </a: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7281367467257545"/>
          <c:y val="4.1698812038739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Quasar</a:t>
            </a:r>
            <a:r>
              <a:rPr lang="en-US" baseline="0"/>
              <a:t> Bugs by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_BugsData!$G$8:$G$9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_BugsData!$G$10:$G$11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2-4A3C-9096-CE93828EF555}"/>
            </c:ext>
          </c:extLst>
        </c:ser>
        <c:ser>
          <c:idx val="1"/>
          <c:order val="1"/>
          <c:tx>
            <c:strRef>
              <c:f>_BugsData!$H$8:$H$9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_BugsData!$H$10:$H$11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2-4A3C-9096-CE93828EF555}"/>
            </c:ext>
          </c:extLst>
        </c:ser>
        <c:ser>
          <c:idx val="2"/>
          <c:order val="2"/>
          <c:tx>
            <c:strRef>
              <c:f>_BugsData!$I$8:$I$9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_BugsData!$I$10:$I$11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2-4A3C-9096-CE93828EF555}"/>
            </c:ext>
          </c:extLst>
        </c:ser>
        <c:ser>
          <c:idx val="3"/>
          <c:order val="3"/>
          <c:tx>
            <c:strRef>
              <c:f>_BugsData!$J$8:$J$9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_BugsData!$J$10:$J$11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2-4A3C-9096-CE93828EF555}"/>
            </c:ext>
          </c:extLst>
        </c:ser>
        <c:ser>
          <c:idx val="4"/>
          <c:order val="4"/>
          <c:tx>
            <c:strRef>
              <c:f>_BugsData!$K$8:$K$9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_BugsData!$K$10:$K$11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2-4A3C-9096-CE93828EF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1485311"/>
        <c:axId val="1993783631"/>
      </c:barChart>
      <c:catAx>
        <c:axId val="19914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83631"/>
        <c:crosses val="autoZero"/>
        <c:auto val="1"/>
        <c:lblAlgn val="ctr"/>
        <c:lblOffset val="100"/>
        <c:noMultiLvlLbl val="0"/>
      </c:catAx>
      <c:valAx>
        <c:axId val="19937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_BugsData!$B$30:$B$44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_BugsData!$C$30:$C$44</c:f>
              <c:numCache>
                <c:formatCode>General</c:formatCode>
                <c:ptCount val="14"/>
                <c:pt idx="0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_ReleaseData!$K$3:$K$17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_ReleaseData!$M$3:$M$17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4.8099999999999997E-2</c:v>
                </c:pt>
                <c:pt idx="2">
                  <c:v>0.12559999999999999</c:v>
                </c:pt>
                <c:pt idx="3">
                  <c:v>0.2291</c:v>
                </c:pt>
                <c:pt idx="4">
                  <c:v>0.28570000000000001</c:v>
                </c:pt>
                <c:pt idx="5">
                  <c:v>0.35149999999999998</c:v>
                </c:pt>
                <c:pt idx="6">
                  <c:v>0.47520000000000001</c:v>
                </c:pt>
                <c:pt idx="7">
                  <c:v>0.55800000000000005</c:v>
                </c:pt>
                <c:pt idx="8">
                  <c:v>0.59019999999999995</c:v>
                </c:pt>
                <c:pt idx="9">
                  <c:v>0.65620000000000001</c:v>
                </c:pt>
                <c:pt idx="10">
                  <c:v>0.70169999999999999</c:v>
                </c:pt>
                <c:pt idx="11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_ReleaseData!$A$25:$A$29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_ReleaseData!$B$25:$B$29</c:f>
              <c:numCache>
                <c:formatCode>General</c:formatCode>
                <c:ptCount val="5"/>
                <c:pt idx="0">
                  <c:v>900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  <c:pt idx="4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_ReleaseData!$A$50:$A$54</c:f>
              <c:strCache>
                <c:ptCount val="4"/>
                <c:pt idx="0">
                  <c:v>UME</c:v>
                </c:pt>
                <c:pt idx="1">
                  <c:v>Artifact List v2</c:v>
                </c:pt>
                <c:pt idx="2">
                  <c:v>R&amp;D Bucket</c:v>
                </c:pt>
                <c:pt idx="3">
                  <c:v>Other</c:v>
                </c:pt>
              </c:strCache>
            </c:strRef>
          </c:cat>
          <c:val>
            <c:numRef>
              <c:f>_ReleaseData!$B$50:$B$54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_ReleaseData!$P$2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_ReleaseData!$P$3:$P$17</c:f>
              <c:numCache>
                <c:formatCode>0.0</c:formatCode>
                <c:ptCount val="15"/>
                <c:pt idx="0">
                  <c:v>2380</c:v>
                </c:pt>
                <c:pt idx="1">
                  <c:v>2277.4137931034484</c:v>
                </c:pt>
                <c:pt idx="2">
                  <c:v>2072.2413793103447</c:v>
                </c:pt>
                <c:pt idx="3">
                  <c:v>1867.0689655172416</c:v>
                </c:pt>
                <c:pt idx="4">
                  <c:v>1682.4137931034481</c:v>
                </c:pt>
                <c:pt idx="5">
                  <c:v>1477.2413793103449</c:v>
                </c:pt>
                <c:pt idx="6">
                  <c:v>1272.0689655172416</c:v>
                </c:pt>
                <c:pt idx="7">
                  <c:v>1087.4137931034481</c:v>
                </c:pt>
                <c:pt idx="8">
                  <c:v>1087.4137931034481</c:v>
                </c:pt>
                <c:pt idx="9">
                  <c:v>882.24137931034488</c:v>
                </c:pt>
                <c:pt idx="10">
                  <c:v>697.58620689655174</c:v>
                </c:pt>
                <c:pt idx="11">
                  <c:v>492.4137931034482</c:v>
                </c:pt>
                <c:pt idx="12">
                  <c:v>307.75862068965512</c:v>
                </c:pt>
                <c:pt idx="13">
                  <c:v>102.5862068965518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_ReleaseData!$Q$2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_ReleaseData!$Q$3:$Q$17</c:f>
              <c:numCache>
                <c:formatCode>0.0</c:formatCode>
                <c:ptCount val="15"/>
                <c:pt idx="0">
                  <c:v>2023</c:v>
                </c:pt>
                <c:pt idx="1">
                  <c:v>2324.5</c:v>
                </c:pt>
                <c:pt idx="2">
                  <c:v>2399.3000000000002</c:v>
                </c:pt>
                <c:pt idx="3">
                  <c:v>1859.5</c:v>
                </c:pt>
                <c:pt idx="4">
                  <c:v>1741</c:v>
                </c:pt>
                <c:pt idx="5">
                  <c:v>1597</c:v>
                </c:pt>
                <c:pt idx="6">
                  <c:v>1184.5</c:v>
                </c:pt>
                <c:pt idx="7">
                  <c:v>1001</c:v>
                </c:pt>
                <c:pt idx="8">
                  <c:v>910</c:v>
                </c:pt>
                <c:pt idx="9">
                  <c:v>793</c:v>
                </c:pt>
                <c:pt idx="10">
                  <c:v>725.5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'!$D$3:$D$17</c:f>
              <c:numCache>
                <c:formatCode>0.0</c:formatCode>
                <c:ptCount val="15"/>
                <c:pt idx="0">
                  <c:v>2023</c:v>
                </c:pt>
                <c:pt idx="1">
                  <c:v>2442</c:v>
                </c:pt>
                <c:pt idx="2">
                  <c:v>2743.8</c:v>
                </c:pt>
                <c:pt idx="3">
                  <c:v>2412</c:v>
                </c:pt>
                <c:pt idx="4">
                  <c:v>2437.5</c:v>
                </c:pt>
                <c:pt idx="5">
                  <c:v>2462.5</c:v>
                </c:pt>
                <c:pt idx="6">
                  <c:v>2257</c:v>
                </c:pt>
                <c:pt idx="7">
                  <c:v>2264.5</c:v>
                </c:pt>
                <c:pt idx="8">
                  <c:v>2220.5</c:v>
                </c:pt>
                <c:pt idx="9">
                  <c:v>2306.5</c:v>
                </c:pt>
                <c:pt idx="10">
                  <c:v>2432.5</c:v>
                </c:pt>
                <c:pt idx="1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'!$F$3:$F$17</c:f>
              <c:numCache>
                <c:formatCode>0.0</c:formatCode>
                <c:ptCount val="15"/>
                <c:pt idx="0">
                  <c:v>938.5</c:v>
                </c:pt>
                <c:pt idx="1">
                  <c:v>1008</c:v>
                </c:pt>
                <c:pt idx="2">
                  <c:v>2218.3000000000002</c:v>
                </c:pt>
                <c:pt idx="3">
                  <c:v>2128.5</c:v>
                </c:pt>
                <c:pt idx="4">
                  <c:v>2265</c:v>
                </c:pt>
                <c:pt idx="5">
                  <c:v>2354.5</c:v>
                </c:pt>
                <c:pt idx="6">
                  <c:v>2157.5</c:v>
                </c:pt>
                <c:pt idx="7">
                  <c:v>2177</c:v>
                </c:pt>
                <c:pt idx="8">
                  <c:v>2144</c:v>
                </c:pt>
                <c:pt idx="9">
                  <c:v>2212</c:v>
                </c:pt>
                <c:pt idx="10">
                  <c:v>2284.5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'!$G$3:$G$17</c:f>
              <c:numCache>
                <c:formatCode>0.0</c:formatCode>
                <c:ptCount val="15"/>
                <c:pt idx="0">
                  <c:v>411.5</c:v>
                </c:pt>
                <c:pt idx="1">
                  <c:v>569.5</c:v>
                </c:pt>
                <c:pt idx="2">
                  <c:v>811</c:v>
                </c:pt>
                <c:pt idx="3">
                  <c:v>974</c:v>
                </c:pt>
                <c:pt idx="4">
                  <c:v>1172.5</c:v>
                </c:pt>
                <c:pt idx="5">
                  <c:v>1363.5</c:v>
                </c:pt>
                <c:pt idx="6">
                  <c:v>1478</c:v>
                </c:pt>
                <c:pt idx="7">
                  <c:v>1563.5</c:v>
                </c:pt>
                <c:pt idx="8">
                  <c:v>1699.5</c:v>
                </c:pt>
                <c:pt idx="9">
                  <c:v>1865.5</c:v>
                </c:pt>
                <c:pt idx="10">
                  <c:v>2016.5</c:v>
                </c:pt>
                <c:pt idx="11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'!$H$3:$H$17</c:f>
              <c:numCache>
                <c:formatCode>0.0</c:formatCode>
                <c:ptCount val="15"/>
                <c:pt idx="0">
                  <c:v>0</c:v>
                </c:pt>
                <c:pt idx="1">
                  <c:v>117.5</c:v>
                </c:pt>
                <c:pt idx="2">
                  <c:v>344.5</c:v>
                </c:pt>
                <c:pt idx="3">
                  <c:v>552.5</c:v>
                </c:pt>
                <c:pt idx="4">
                  <c:v>696.5</c:v>
                </c:pt>
                <c:pt idx="5">
                  <c:v>865.5</c:v>
                </c:pt>
                <c:pt idx="6">
                  <c:v>1072.5</c:v>
                </c:pt>
                <c:pt idx="7">
                  <c:v>1263.5</c:v>
                </c:pt>
                <c:pt idx="8">
                  <c:v>1310.5</c:v>
                </c:pt>
                <c:pt idx="9">
                  <c:v>1513.5</c:v>
                </c:pt>
                <c:pt idx="10">
                  <c:v>1707</c:v>
                </c:pt>
                <c:pt idx="11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34-47F5-9992-3718133B131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34-47F5-9992-3718133B131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34-47F5-9992-3718133B131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A34-47F5-9992-3718133B131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34-47F5-9992-3718133B131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34-47F5-9992-3718133B131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'!$E$3:$E$17</c:f>
              <c:numCache>
                <c:formatCode>0</c:formatCode>
                <c:ptCount val="15"/>
                <c:pt idx="0">
                  <c:v>2380</c:v>
                </c:pt>
                <c:pt idx="1">
                  <c:v>2380</c:v>
                </c:pt>
                <c:pt idx="2">
                  <c:v>2380</c:v>
                </c:pt>
                <c:pt idx="3">
                  <c:v>2380</c:v>
                </c:pt>
                <c:pt idx="4">
                  <c:v>2380</c:v>
                </c:pt>
                <c:pt idx="5">
                  <c:v>2380</c:v>
                </c:pt>
                <c:pt idx="6">
                  <c:v>2380</c:v>
                </c:pt>
                <c:pt idx="7">
                  <c:v>2380</c:v>
                </c:pt>
                <c:pt idx="8">
                  <c:v>2380</c:v>
                </c:pt>
                <c:pt idx="9">
                  <c:v>2380</c:v>
                </c:pt>
                <c:pt idx="10">
                  <c:v>2380</c:v>
                </c:pt>
                <c:pt idx="11">
                  <c:v>2380</c:v>
                </c:pt>
                <c:pt idx="12">
                  <c:v>2380</c:v>
                </c:pt>
                <c:pt idx="13">
                  <c:v>2380</c:v>
                </c:pt>
                <c:pt idx="14">
                  <c:v>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0.71551724137931039</c:v>
                </c:pt>
                <c:pt idx="1">
                  <c:v>0.28448275862068961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33338</xdr:rowOff>
    </xdr:from>
    <xdr:ext cx="1147762" cy="405432"/>
    <xdr:sp macro="" textlink="_ReleaseData!$B$35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62113"/>
          <a:ext cx="114776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1</xdr:row>
      <xdr:rowOff>2381</xdr:rowOff>
    </xdr:from>
    <xdr:to>
      <xdr:col>5</xdr:col>
      <xdr:colOff>416250</xdr:colOff>
      <xdr:row>14</xdr:row>
      <xdr:rowOff>118586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200035</xdr:colOff>
      <xdr:row>1</xdr:row>
      <xdr:rowOff>16669</xdr:rowOff>
    </xdr:from>
    <xdr:to>
      <xdr:col>11</xdr:col>
      <xdr:colOff>344815</xdr:colOff>
      <xdr:row>14</xdr:row>
      <xdr:rowOff>132874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7D9B2C-ECA0-4187-BA06-4639D00A3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300043</xdr:colOff>
      <xdr:row>7</xdr:row>
      <xdr:rowOff>16014</xdr:rowOff>
    </xdr:from>
    <xdr:ext cx="728654" cy="311496"/>
    <xdr:sp macro="" textlink="_TeamBacklogData!$B$12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1595443" y="1282839"/>
          <a:ext cx="72865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8</xdr:col>
      <xdr:colOff>242888</xdr:colOff>
      <xdr:row>7</xdr:row>
      <xdr:rowOff>35065</xdr:rowOff>
    </xdr:from>
    <xdr:ext cx="685793" cy="311496"/>
    <xdr:sp macro="" textlink="_TeamBacklogData!$E$12">
      <xdr:nvSpPr>
        <xdr:cNvPr id="8" name="TextBox 7">
          <a:extLst>
            <a:ext uri="{FF2B5EF4-FFF2-40B4-BE49-F238E27FC236}">
              <a16:creationId xmlns:a16="http://schemas.microsoft.com/office/drawing/2014/main" id="{B2BDE1D5-71CD-4225-8E9B-AD5F4FCA555B}"/>
            </a:ext>
          </a:extLst>
        </xdr:cNvPr>
        <xdr:cNvSpPr txBox="1"/>
      </xdr:nvSpPr>
      <xdr:spPr>
        <a:xfrm>
          <a:off x="5424488" y="1301890"/>
          <a:ext cx="68579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A991094-B3D2-4455-B49F-D7A11D5BCDD5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273849</xdr:colOff>
      <xdr:row>15</xdr:row>
      <xdr:rowOff>90490</xdr:rowOff>
    </xdr:from>
    <xdr:to>
      <xdr:col>5</xdr:col>
      <xdr:colOff>418629</xdr:colOff>
      <xdr:row>29</xdr:row>
      <xdr:rowOff>25720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F8A3A8-149C-4950-ABBC-469CCA1E6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311551</xdr:colOff>
      <xdr:row>21</xdr:row>
      <xdr:rowOff>111777</xdr:rowOff>
    </xdr:from>
    <xdr:ext cx="717144" cy="311496"/>
    <xdr:sp macro="" textlink="_TeamBacklogData!$H$12">
      <xdr:nvSpPr>
        <xdr:cNvPr id="10" name="TextBox 9">
          <a:extLst>
            <a:ext uri="{FF2B5EF4-FFF2-40B4-BE49-F238E27FC236}">
              <a16:creationId xmlns:a16="http://schemas.microsoft.com/office/drawing/2014/main" id="{33B5D0D0-856B-4944-8166-9AED66C94C96}"/>
            </a:ext>
          </a:extLst>
        </xdr:cNvPr>
        <xdr:cNvSpPr txBox="1"/>
      </xdr:nvSpPr>
      <xdr:spPr>
        <a:xfrm>
          <a:off x="1606951" y="3912252"/>
          <a:ext cx="71714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7823FC85-1CA8-4CAE-A7FD-887F9FE9BE79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6</xdr:col>
      <xdr:colOff>188128</xdr:colOff>
      <xdr:row>15</xdr:row>
      <xdr:rowOff>88108</xdr:rowOff>
    </xdr:from>
    <xdr:to>
      <xdr:col>11</xdr:col>
      <xdr:colOff>332908</xdr:colOff>
      <xdr:row>29</xdr:row>
      <xdr:rowOff>23338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B1CE03-03A0-41A3-8EA9-8488216A1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182972</xdr:colOff>
      <xdr:row>21</xdr:row>
      <xdr:rowOff>106505</xdr:rowOff>
    </xdr:from>
    <xdr:ext cx="798100" cy="311496"/>
    <xdr:sp macro="" textlink="_TeamBacklogData!$K$12">
      <xdr:nvSpPr>
        <xdr:cNvPr id="12" name="TextBox 11">
          <a:extLst>
            <a:ext uri="{FF2B5EF4-FFF2-40B4-BE49-F238E27FC236}">
              <a16:creationId xmlns:a16="http://schemas.microsoft.com/office/drawing/2014/main" id="{FA9F6F87-70E6-4D84-9BF6-9B4A045B6270}"/>
            </a:ext>
          </a:extLst>
        </xdr:cNvPr>
        <xdr:cNvSpPr txBox="1"/>
      </xdr:nvSpPr>
      <xdr:spPr>
        <a:xfrm>
          <a:off x="5364572" y="3906980"/>
          <a:ext cx="7981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208D6C8-8621-4061-B0B8-BDC1D1CCB0E3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645319</xdr:colOff>
      <xdr:row>1</xdr:row>
      <xdr:rowOff>7143</xdr:rowOff>
    </xdr:from>
    <xdr:to>
      <xdr:col>8</xdr:col>
      <xdr:colOff>35719</xdr:colOff>
      <xdr:row>16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476251</xdr:colOff>
      <xdr:row>7</xdr:row>
      <xdr:rowOff>100014</xdr:rowOff>
    </xdr:from>
    <xdr:ext cx="1004888" cy="405432"/>
    <xdr:sp macro="" textlink="_ActiveSprintData!$E$14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419351" y="1366839"/>
          <a:ext cx="100488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138113</xdr:colOff>
      <xdr:row>2</xdr:row>
      <xdr:rowOff>171448</xdr:rowOff>
    </xdr:from>
    <xdr:to>
      <xdr:col>5</xdr:col>
      <xdr:colOff>504825</xdr:colOff>
      <xdr:row>15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2380</xdr:colOff>
      <xdr:row>3</xdr:row>
      <xdr:rowOff>2379</xdr:rowOff>
    </xdr:from>
    <xdr:to>
      <xdr:col>16</xdr:col>
      <xdr:colOff>157163</xdr:colOff>
      <xdr:row>15</xdr:row>
      <xdr:rowOff>70959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1F377-85A5-4F0A-96BD-2D1D9B1AF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133352</xdr:colOff>
      <xdr:row>16</xdr:row>
      <xdr:rowOff>76200</xdr:rowOff>
    </xdr:from>
    <xdr:to>
      <xdr:col>10</xdr:col>
      <xdr:colOff>123826</xdr:colOff>
      <xdr:row>29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0.36798</cdr:x>
      <cdr:y>0.44579</cdr:y>
    </cdr:from>
    <cdr:to>
      <cdr:x>0.62724</cdr:x>
      <cdr:y>0.56688</cdr:y>
    </cdr:to>
    <cdr:sp macro="" textlink="_ReleaseData!$B$5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66847" y="1492513"/>
          <a:ext cx="1033465" cy="405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E61AECC-3EDA-497E-9584-05DE28D958EC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36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36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327.369339120371" createdVersion="6" refreshedVersion="6" minRefreshableVersion="3" recordCount="90" xr:uid="{00000000-000A-0000-FFFF-FFFF0C000000}">
  <cacheSource type="worksheet">
    <worksheetSource name="issues"/>
  </cacheSource>
  <cacheFields count="46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46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4">
        <s v="${fieldHelper.getFieldValueByName(issue, &quot;ST:Components&quot;)}"/>
        <m/>
        <s v="Artifact List"/>
        <s v="Diagram Editor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200" maxValue="20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24">
        <s v="${bpHelper.getLastSprint(issue)}"/>
        <m/>
        <s v="Pegasus1"/>
        <s v="Pegasus2"/>
        <s v="Pegasus3"/>
        <s v="Pegasus4"/>
        <s v="Pegasus5"/>
        <s v="Pegasus6"/>
        <s v="Pegasus7"/>
        <s v="Pegasus8"/>
        <s v="Quasar1"/>
        <s v="Quasar2"/>
        <s v="Quasar3"/>
        <s v="Quasar4"/>
        <s v="Quasar5"/>
        <s v="Quasar6"/>
        <s v="Quasar7"/>
        <s v="Quasar8"/>
        <s v="Quasar9"/>
        <s v="Quasar10"/>
        <s v="Quasar11"/>
        <s v="Quasar12"/>
        <s v="Quasar13"/>
        <s v="Quasar14"/>
      </sharedItems>
    </cacheField>
    <cacheField name="Sprint Label" numFmtId="0">
      <sharedItems containsBlank="1" count="17">
        <s v="$[SUBSTITUTE(AE2, &quot;uasar&quot;, &quot;&quot;)]"/>
        <m/>
        <s v="Q1"/>
        <s v="Q2"/>
        <s v="Q3"/>
        <s v="Q4"/>
        <s v="Q5"/>
        <s v="Q6"/>
        <s v="Q7"/>
        <s v="Q8"/>
        <s v="Q9"/>
        <s v="Q10"/>
        <s v="Q11"/>
        <s v="Q12"/>
        <s v="Q13"/>
        <s v="Q14"/>
        <s v="$[= SUBSTITUTE('Last Sprint', &quot;uasar&quot;, &quot;&quot;)]" u="1"/>
      </sharedItems>
    </cacheField>
    <cacheField name="Release" numFmtId="0">
      <sharedItems containsBlank="1" count="4">
        <s v="${issue.fixVersions.name}"/>
        <m/>
        <s v="Pegasus"/>
        <s v="Quasar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Quasar Component" numFmtId="0">
      <sharedItems containsBlank="1" count="6">
        <s v="${bpHelper.getQuasarComponent(issue)}"/>
        <m/>
        <s v="UME"/>
        <s v="Artifact List v2"/>
        <s v="R&amp;D Bucket"/>
        <s v="Other"/>
      </sharedItems>
    </cacheField>
    <cacheField name="Customer" numFmtId="0">
      <sharedItems containsBlank="1"/>
    </cacheField>
    <cacheField name="Team Grouped" numFmtId="0">
      <sharedItems containsBlank="1" count="11">
        <s v="${bpHelper.getGroupedTeam(fieldHelper.getFieldValueByName(issue, &quot;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&lt;/jt:forEach&gt;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</r>
  <r>
    <s v="key"/>
    <x v="3"/>
    <m/>
    <s v="NW"/>
    <x v="3"/>
    <m/>
    <m/>
    <m/>
    <m/>
    <m/>
    <x v="1"/>
    <m/>
    <m/>
    <m/>
    <m/>
    <m/>
    <m/>
    <m/>
    <m/>
    <m/>
    <m/>
    <s v="NW"/>
    <m/>
    <m/>
    <m/>
    <m/>
    <m/>
    <m/>
    <m/>
    <m/>
    <x v="3"/>
    <x v="1"/>
    <x v="3"/>
    <x v="1"/>
    <x v="3"/>
    <x v="3"/>
    <m/>
    <x v="3"/>
    <s v="NW"/>
    <m/>
    <m/>
    <m/>
    <m/>
    <m/>
  </r>
  <r>
    <s v="key"/>
    <x v="4"/>
    <s v="NEEDS FOR FILTERING IN PIVOT TABLES"/>
    <s v="SoftTeco"/>
    <x v="4"/>
    <m/>
    <m/>
    <m/>
    <m/>
    <m/>
    <x v="1"/>
    <m/>
    <m/>
    <m/>
    <m/>
    <m/>
    <m/>
    <m/>
    <m/>
    <m/>
    <m/>
    <s v="SoftTeco"/>
    <m/>
    <m/>
    <m/>
    <m/>
    <m/>
    <m/>
    <m/>
    <m/>
    <x v="4"/>
    <x v="1"/>
    <x v="1"/>
    <x v="1"/>
    <x v="4"/>
    <x v="4"/>
    <m/>
    <x v="4"/>
    <s v="SoftTeco"/>
    <m/>
    <m/>
    <m/>
    <m/>
    <m/>
  </r>
  <r>
    <s v="key"/>
    <x v="5"/>
    <m/>
    <s v="Titan"/>
    <x v="5"/>
    <m/>
    <m/>
    <m/>
    <m/>
    <m/>
    <x v="1"/>
    <m/>
    <m/>
    <m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1"/>
    <m/>
    <x v="6"/>
    <s v="Alpha"/>
    <m/>
    <m/>
    <m/>
    <m/>
    <m/>
  </r>
  <r>
    <s v="key"/>
    <x v="1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1"/>
    <m/>
    <x v="7"/>
    <s v="Unassigned"/>
    <m/>
    <m/>
    <m/>
    <m/>
    <m/>
  </r>
  <r>
    <s v="key"/>
    <x v="1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8"/>
    <x v="1"/>
    <x v="1"/>
    <x v="1"/>
    <x v="8"/>
    <x v="1"/>
    <m/>
    <x v="8"/>
    <s v="TechComm"/>
    <m/>
    <m/>
    <m/>
    <m/>
    <m/>
  </r>
  <r>
    <s v="key"/>
    <x v="1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9"/>
    <x v="1"/>
    <x v="1"/>
    <x v="1"/>
    <x v="1"/>
    <x v="1"/>
    <m/>
    <x v="9"/>
    <s v="QA"/>
    <m/>
    <m/>
    <m/>
    <m/>
    <m/>
  </r>
  <r>
    <s v="key"/>
    <x v="1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10"/>
    <x v="2"/>
    <x v="1"/>
    <x v="1"/>
    <x v="1"/>
    <x v="1"/>
    <m/>
    <x v="10"/>
    <s v="DevOps"/>
    <m/>
    <m/>
    <m/>
    <m/>
    <m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11"/>
    <x v="3"/>
    <x v="1"/>
    <x v="1"/>
    <x v="1"/>
    <x v="1"/>
    <m/>
    <x v="1"/>
    <m/>
    <m/>
    <m/>
    <m/>
    <m/>
    <m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12"/>
    <x v="4"/>
    <x v="1"/>
    <x v="1"/>
    <x v="1"/>
    <x v="1"/>
    <m/>
    <x v="1"/>
    <m/>
    <m/>
    <m/>
    <m/>
    <m/>
    <m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13"/>
    <x v="5"/>
    <x v="1"/>
    <x v="1"/>
    <x v="1"/>
    <x v="1"/>
    <m/>
    <x v="1"/>
    <m/>
    <m/>
    <m/>
    <m/>
    <m/>
    <m/>
  </r>
  <r>
    <s v="key"/>
    <x v="1"/>
    <m/>
    <m/>
    <x v="14"/>
    <m/>
    <m/>
    <m/>
    <m/>
    <m/>
    <x v="1"/>
    <m/>
    <m/>
    <m/>
    <m/>
    <m/>
    <m/>
    <m/>
    <m/>
    <m/>
    <m/>
    <m/>
    <m/>
    <m/>
    <m/>
    <m/>
    <m/>
    <m/>
    <m/>
    <m/>
    <x v="14"/>
    <x v="6"/>
    <x v="1"/>
    <x v="1"/>
    <x v="1"/>
    <x v="1"/>
    <m/>
    <x v="1"/>
    <m/>
    <m/>
    <m/>
    <m/>
    <m/>
    <m/>
  </r>
  <r>
    <s v="key"/>
    <x v="1"/>
    <m/>
    <m/>
    <x v="15"/>
    <m/>
    <m/>
    <m/>
    <m/>
    <m/>
    <x v="1"/>
    <m/>
    <m/>
    <m/>
    <m/>
    <m/>
    <m/>
    <m/>
    <m/>
    <m/>
    <m/>
    <m/>
    <m/>
    <m/>
    <m/>
    <m/>
    <m/>
    <m/>
    <m/>
    <m/>
    <x v="15"/>
    <x v="7"/>
    <x v="1"/>
    <x v="1"/>
    <x v="1"/>
    <x v="1"/>
    <m/>
    <x v="1"/>
    <m/>
    <m/>
    <m/>
    <m/>
    <m/>
    <m/>
  </r>
  <r>
    <s v="key"/>
    <x v="1"/>
    <m/>
    <m/>
    <x v="16"/>
    <m/>
    <m/>
    <m/>
    <m/>
    <m/>
    <x v="1"/>
    <m/>
    <m/>
    <m/>
    <m/>
    <m/>
    <m/>
    <m/>
    <m/>
    <m/>
    <m/>
    <m/>
    <m/>
    <m/>
    <m/>
    <m/>
    <m/>
    <m/>
    <m/>
    <m/>
    <x v="16"/>
    <x v="8"/>
    <x v="1"/>
    <x v="1"/>
    <x v="1"/>
    <x v="1"/>
    <m/>
    <x v="1"/>
    <m/>
    <m/>
    <m/>
    <m/>
    <m/>
    <m/>
  </r>
  <r>
    <s v="key"/>
    <x v="1"/>
    <m/>
    <m/>
    <x v="17"/>
    <m/>
    <m/>
    <m/>
    <m/>
    <m/>
    <x v="1"/>
    <m/>
    <m/>
    <m/>
    <m/>
    <m/>
    <m/>
    <m/>
    <m/>
    <m/>
    <m/>
    <m/>
    <m/>
    <m/>
    <m/>
    <m/>
    <m/>
    <m/>
    <m/>
    <m/>
    <x v="17"/>
    <x v="9"/>
    <x v="1"/>
    <x v="1"/>
    <x v="1"/>
    <x v="1"/>
    <m/>
    <x v="1"/>
    <m/>
    <m/>
    <m/>
    <m/>
    <m/>
    <m/>
  </r>
  <r>
    <s v="key"/>
    <x v="1"/>
    <m/>
    <m/>
    <x v="18"/>
    <m/>
    <m/>
    <m/>
    <m/>
    <m/>
    <x v="1"/>
    <m/>
    <m/>
    <m/>
    <m/>
    <m/>
    <m/>
    <m/>
    <m/>
    <m/>
    <m/>
    <m/>
    <m/>
    <m/>
    <m/>
    <m/>
    <m/>
    <m/>
    <m/>
    <m/>
    <x v="18"/>
    <x v="10"/>
    <x v="1"/>
    <x v="1"/>
    <x v="1"/>
    <x v="1"/>
    <m/>
    <x v="1"/>
    <m/>
    <m/>
    <m/>
    <m/>
    <m/>
    <m/>
  </r>
  <r>
    <s v="key"/>
    <x v="1"/>
    <m/>
    <m/>
    <x v="19"/>
    <m/>
    <m/>
    <m/>
    <m/>
    <m/>
    <x v="1"/>
    <m/>
    <m/>
    <m/>
    <m/>
    <m/>
    <m/>
    <m/>
    <m/>
    <m/>
    <m/>
    <m/>
    <m/>
    <m/>
    <m/>
    <m/>
    <m/>
    <m/>
    <m/>
    <m/>
    <x v="19"/>
    <x v="11"/>
    <x v="1"/>
    <x v="1"/>
    <x v="1"/>
    <x v="1"/>
    <m/>
    <x v="1"/>
    <m/>
    <m/>
    <m/>
    <m/>
    <m/>
    <m/>
  </r>
  <r>
    <s v="key"/>
    <x v="1"/>
    <m/>
    <m/>
    <x v="20"/>
    <m/>
    <m/>
    <m/>
    <m/>
    <m/>
    <x v="1"/>
    <m/>
    <m/>
    <m/>
    <m/>
    <m/>
    <m/>
    <m/>
    <m/>
    <m/>
    <m/>
    <m/>
    <m/>
    <m/>
    <m/>
    <m/>
    <m/>
    <m/>
    <m/>
    <m/>
    <x v="20"/>
    <x v="12"/>
    <x v="1"/>
    <x v="1"/>
    <x v="1"/>
    <x v="1"/>
    <m/>
    <x v="1"/>
    <m/>
    <m/>
    <m/>
    <m/>
    <m/>
    <m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21"/>
    <x v="13"/>
    <x v="1"/>
    <x v="1"/>
    <x v="1"/>
    <x v="1"/>
    <m/>
    <x v="1"/>
    <m/>
    <m/>
    <m/>
    <m/>
    <m/>
    <m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22"/>
    <x v="14"/>
    <x v="1"/>
    <x v="1"/>
    <x v="1"/>
    <x v="1"/>
    <m/>
    <x v="1"/>
    <m/>
    <m/>
    <m/>
    <m/>
    <m/>
    <m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23"/>
    <x v="15"/>
    <x v="1"/>
    <x v="1"/>
    <x v="1"/>
    <x v="1"/>
    <m/>
    <x v="1"/>
    <m/>
    <m/>
    <m/>
    <m/>
    <m/>
    <m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0"/>
    <x v="1"/>
    <x v="1"/>
    <x v="1"/>
    <x v="2"/>
    <x v="1"/>
    <m/>
    <x v="1"/>
    <m/>
    <m/>
    <m/>
    <m/>
    <m/>
    <m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0"/>
    <x v="1"/>
    <x v="1"/>
    <x v="1"/>
    <x v="3"/>
    <x v="1"/>
    <m/>
    <x v="1"/>
    <m/>
    <m/>
    <m/>
    <m/>
    <m/>
    <m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0"/>
    <x v="1"/>
    <x v="1"/>
    <x v="1"/>
    <x v="4"/>
    <x v="1"/>
    <m/>
    <x v="1"/>
    <m/>
    <m/>
    <m/>
    <m/>
    <m/>
    <m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0"/>
    <x v="1"/>
    <x v="1"/>
    <x v="1"/>
    <x v="5"/>
    <x v="1"/>
    <m/>
    <x v="1"/>
    <m/>
    <m/>
    <m/>
    <m/>
    <m/>
    <m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0"/>
    <x v="1"/>
    <x v="1"/>
    <x v="1"/>
    <x v="6"/>
    <x v="1"/>
    <m/>
    <x v="1"/>
    <m/>
    <m/>
    <m/>
    <m/>
    <m/>
    <m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0"/>
    <x v="1"/>
    <x v="1"/>
    <x v="1"/>
    <x v="7"/>
    <x v="1"/>
    <m/>
    <x v="1"/>
    <m/>
    <m/>
    <m/>
    <m/>
    <m/>
    <m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0"/>
    <x v="1"/>
    <x v="1"/>
    <x v="1"/>
    <x v="8"/>
    <x v="1"/>
    <m/>
    <x v="1"/>
    <m/>
    <m/>
    <m/>
    <m/>
    <m/>
    <m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5"/>
    <m/>
    <m/>
    <m/>
    <m/>
    <m/>
    <m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5"/>
    <m/>
    <m/>
    <m/>
    <m/>
    <m/>
    <m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15"/>
    <x v="3"/>
    <x v="4"/>
    <x v="1"/>
    <x v="1"/>
    <m/>
    <x v="5"/>
    <m/>
    <m/>
    <m/>
    <m/>
    <m/>
    <m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5"/>
    <x v="1"/>
    <x v="1"/>
    <m/>
    <x v="5"/>
    <m/>
    <m/>
    <m/>
    <m/>
    <m/>
    <m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6"/>
    <x v="1"/>
    <x v="1"/>
    <m/>
    <x v="5"/>
    <m/>
    <m/>
    <m/>
    <m/>
    <m/>
    <m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5"/>
    <x v="1"/>
    <x v="1"/>
    <m/>
    <x v="5"/>
    <m/>
    <m/>
    <m/>
    <m/>
    <m/>
    <m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5"/>
    <m/>
    <m/>
    <m/>
    <m/>
    <m/>
    <m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1"/>
    <m/>
    <x v="1"/>
    <m/>
    <n v="30"/>
    <n v="60"/>
    <n v="40"/>
    <m/>
    <m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1"/>
    <m/>
    <x v="1"/>
    <m/>
    <n v="30"/>
    <n v="60"/>
    <n v="40"/>
    <m/>
    <m/>
  </r>
  <r>
    <s v="key"/>
    <x v="3"/>
    <m/>
    <m/>
    <x v="10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2"/>
    <x v="1"/>
    <m/>
    <x v="6"/>
    <m/>
    <m/>
    <m/>
    <m/>
    <m/>
    <m/>
  </r>
  <r>
    <s v="key"/>
    <x v="3"/>
    <m/>
    <m/>
    <x v="12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3"/>
    <x v="1"/>
    <m/>
    <x v="6"/>
    <m/>
    <m/>
    <m/>
    <m/>
    <m/>
    <m/>
  </r>
  <r>
    <s v="key"/>
    <x v="3"/>
    <m/>
    <m/>
    <x v="13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4"/>
    <x v="1"/>
    <m/>
    <x v="6"/>
    <m/>
    <m/>
    <m/>
    <m/>
    <m/>
    <m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6"/>
    <m/>
    <m/>
    <m/>
    <m/>
    <m/>
    <m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6"/>
    <m/>
    <m/>
    <m/>
    <m/>
    <m/>
    <m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3"/>
    <m/>
    <m/>
    <m/>
    <m/>
    <m/>
    <m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3"/>
    <m/>
    <m/>
    <m/>
    <m/>
    <m/>
    <m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3"/>
    <m/>
    <m/>
    <m/>
    <m/>
    <m/>
    <m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3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3"/>
    <m/>
    <m/>
    <m/>
    <m/>
    <m/>
    <m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4"/>
    <m/>
    <m/>
    <m/>
    <m/>
    <m/>
    <m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4"/>
    <m/>
    <m/>
    <m/>
    <m/>
    <m/>
    <m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4"/>
    <m/>
    <m/>
    <m/>
    <m/>
    <m/>
    <m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4"/>
    <m/>
    <m/>
    <m/>
    <m/>
    <m/>
    <m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4"/>
    <m/>
    <m/>
    <m/>
    <m/>
    <m/>
    <m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5"/>
    <m/>
    <x v="1"/>
    <m/>
    <m/>
    <m/>
    <m/>
    <m/>
    <m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3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2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6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8"/>
    <x v="1"/>
    <x v="1"/>
    <x v="1"/>
    <x v="1"/>
    <m/>
    <x v="2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9"/>
    <x v="1"/>
    <x v="1"/>
    <x v="1"/>
    <x v="1"/>
    <m/>
    <x v="6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0"/>
    <x v="1"/>
    <x v="1"/>
    <x v="1"/>
    <x v="1"/>
    <m/>
    <x v="5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1"/>
    <x v="1"/>
    <x v="1"/>
    <x v="1"/>
    <x v="1"/>
    <m/>
    <x v="4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2"/>
    <x v="1"/>
    <x v="1"/>
    <x v="1"/>
    <x v="1"/>
    <m/>
    <x v="3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3"/>
    <x v="1"/>
    <x v="1"/>
    <x v="1"/>
    <x v="1"/>
    <m/>
    <x v="2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4"/>
    <x v="1"/>
    <x v="1"/>
    <x v="1"/>
    <x v="1"/>
    <m/>
    <x v="6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5"/>
    <x v="1"/>
    <x v="1"/>
    <x v="1"/>
    <x v="1"/>
    <m/>
    <x v="5"/>
    <m/>
    <m/>
    <m/>
    <m/>
    <m/>
    <s v="&lt;/jt:forEach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9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24:H29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2" hier="-1"/>
    <pageField fld="1" hier="-1"/>
    <pageField fld="10" item="1" hier="-1"/>
  </pageFields>
  <dataFields count="5">
    <dataField name="Done" fld="44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5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7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:B13" firstHeaderRow="1" firstDataRow="1" firstDataCol="0" rowPageCount="2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h="1" x="2"/>
        <item h="1"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Items count="1">
    <i/>
  </rowItems>
  <colItems count="1">
    <i/>
  </colItems>
  <pageFields count="2">
    <pageField fld="1" hier="-1"/>
    <pageField fld="4" hier="-1"/>
  </pageFields>
  <dataFields count="1">
    <dataField name="Sum of Story Points" fld="13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/>
  <pivotFields count="46">
    <pivotField subtotalTop="0" showAll="0"/>
    <pivotField axis="axisRow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Epic Not Decomposed Estimate" fld="45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PivotTable4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5:H11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4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Table3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D5:E11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h="1" x="8"/>
        <item h="1" x="1"/>
        <item x="3"/>
        <item x="2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7"/>
    </i>
    <i>
      <x v="8"/>
    </i>
    <i t="grand">
      <x/>
    </i>
  </rowItems>
  <colItems count="1">
    <i/>
  </colItems>
  <pageFields count="3">
    <pageField fld="32" item="2" hier="-1"/>
    <pageField fld="1" hier="-1"/>
    <pageField fld="37" item="3" hier="-1"/>
  </pageFields>
  <dataFields count="1">
    <dataField name="Sum of Story Points" fld="13" baseField="34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15" format="6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5" format="6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5" format="7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71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5:B11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1" hier="-1"/>
  </pageFields>
  <dataFields count="1">
    <dataField name="Sum of Story Points" fld="13" baseField="34" baseItem="0"/>
  </dataFields>
  <chartFormats count="6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3000000}" name="PivotTable5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J5:K11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6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4:H20" firstHeaderRow="1" firstDataRow="2" firstDataCol="1" rowPageCount="2" colPageCount="1"/>
  <pivotFields count="46">
    <pivotField subtotalTop="0" showAll="0"/>
    <pivotField axis="axisPage" subtotalTop="0" multipleItemSelectionAllowed="1" showAll="0">
      <items count="8">
        <item h="1" x="0"/>
        <item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h="1" m="1" x="16"/>
        <item h="1" x="0"/>
        <item x="2"/>
        <item x="3"/>
        <item x="4"/>
        <item x="5"/>
        <item x="6"/>
        <item x="7"/>
        <item x="8"/>
        <item x="9"/>
        <item x="10"/>
        <item h="1" x="1"/>
        <item x="11"/>
        <item x="12"/>
        <item x="13"/>
        <item x="14"/>
        <item x="1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12">
        <item h="1" x="0"/>
        <item x="6"/>
        <item h="1" x="10"/>
        <item x="2"/>
        <item x="3"/>
        <item h="1" x="9"/>
        <item x="4"/>
        <item h="1" x="8"/>
        <item x="5"/>
        <item h="1"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1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 t="grand">
      <x/>
    </i>
  </rowItems>
  <colFields count="1">
    <field x="37"/>
  </colFields>
  <colItems count="6">
    <i>
      <x v="1"/>
    </i>
    <i>
      <x v="3"/>
    </i>
    <i>
      <x v="4"/>
    </i>
    <i>
      <x v="6"/>
    </i>
    <i>
      <x v="8"/>
    </i>
    <i t="grand">
      <x/>
    </i>
  </colItems>
  <pageFields count="2">
    <pageField fld="1" hier="-1"/>
    <pageField fld="4" hier="-1"/>
  </pageFields>
  <dataFields count="1">
    <dataField name="Sum of Story Points" fld="13" baseField="30" baseItem="12"/>
  </dataFields>
  <chartFormats count="5"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6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:E11" firstHeaderRow="1" firstDataRow="1" firstDataCol="1" rowPageCount="2" colPageCount="1"/>
  <pivotFields count="46">
    <pivotField subtotalTop="0" showAll="0"/>
    <pivotField axis="axisPage" subtotalTop="0" multipleItemSelectionAllowed="1" showAll="0">
      <items count="8">
        <item h="1" x="0"/>
        <item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5">
        <item x="0"/>
        <item x="2"/>
        <item x="3"/>
        <item x="4"/>
        <item x="5"/>
        <item x="6"/>
        <item x="7"/>
        <item x="8"/>
        <item x="9"/>
        <item x="10"/>
        <item x="19"/>
        <item x="20"/>
        <item x="21"/>
        <item x="22"/>
        <item x="23"/>
        <item x="11"/>
        <item x="12"/>
        <item x="13"/>
        <item x="14"/>
        <item x="15"/>
        <item x="16"/>
        <item x="17"/>
        <item x="18"/>
        <item x="1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1" hier="-1"/>
    <pageField fld="30" item="11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1000000}" name="PivotTable2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8:L11" firstHeaderRow="1" firstDataRow="2" firstDataCol="1" rowPageCount="3" colPageCount="1"/>
  <pivotFields count="46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5">
        <item x="0"/>
        <item x="2"/>
        <item x="3"/>
        <item x="1"/>
        <item t="default"/>
      </items>
    </pivotField>
    <pivotField axis="axisCol" subtotalTop="0">
      <items count="8">
        <item h="1" x="0"/>
        <item x="2"/>
        <item x="3"/>
        <item x="4"/>
        <item x="5"/>
        <item x="6"/>
        <item h="1" x="1"/>
        <item t="default"/>
      </items>
    </pivotField>
    <pivotField subtotalTop="0" showAll="0"/>
    <pivotField showAll="0"/>
    <pivotField subtotalTop="0" showAll="0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2">
    <i>
      <x v="8"/>
    </i>
    <i t="grand">
      <x/>
    </i>
  </rowItems>
  <colFields count="1">
    <field x="33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3">
    <pageField fld="32" item="2" hier="-1"/>
    <pageField fld="1" item="1" hier="-1"/>
    <pageField fld="4" hier="-1"/>
  </pageFields>
  <dataFields count="1">
    <dataField name="Count of Key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3" count="1" selected="0">
            <x v="1"/>
          </reference>
          <reference field="37" count="1" selected="0">
            <x v="8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3" count="1" selected="0">
            <x v="2"/>
          </reference>
          <reference field="37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6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5">
        <item x="0"/>
        <item x="2"/>
        <item x="3"/>
        <item x="1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2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9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4:B29" firstHeaderRow="1" firstDataRow="1" firstDataCol="1" rowPageCount="2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2">
    <pageField fld="32" item="2" hier="-1"/>
    <pageField fld="1" hier="-1"/>
  </pageFields>
  <dataFields count="5">
    <dataField name="Done" fld="44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5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44" firstHeaderRow="1" firstDataRow="1" firstDataCol="1" rowPageCount="4" colPageCount="1"/>
  <pivotFields count="46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showAll="0">
      <items count="47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18">
        <item h="1" m="1" x="16"/>
        <item x="2"/>
        <item x="3"/>
        <item x="4"/>
        <item x="5"/>
        <item x="6"/>
        <item x="7"/>
        <item x="8"/>
        <item x="9"/>
        <item x="10"/>
        <item h="1" x="1"/>
        <item x="11"/>
        <item x="12"/>
        <item x="13"/>
        <item x="14"/>
        <item x="15"/>
        <item h="1" x="0"/>
        <item t="default"/>
      </items>
    </pivotField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4">
    <pageField fld="32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Y4:AA8" firstHeaderRow="0" firstDataRow="1" firstDataCol="1" rowPageCount="2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32" hier="-1"/>
    <pageField fld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9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5:D36" firstHeaderRow="1" firstDataRow="1" firstDataCol="0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2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9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5:G36" firstHeaderRow="1" firstDataRow="1" firstDataCol="0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2" hier="-1"/>
    <pageField fld="1" hier="-1"/>
    <pageField fld="10" item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9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D24:E29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2" hier="-1"/>
    <pageField fld="1" hier="-1"/>
    <pageField fld="10" item="2" hier="-1"/>
  </pageFields>
  <dataFields count="5">
    <dataField name="Done" fld="44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5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9:B54" firstHeaderRow="1" firstDataRow="1" firstDataCol="1" rowPageCount="2" colPageCount="1"/>
  <pivotFields count="46">
    <pivotField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axis="axisRow" subtotalTop="0" showAll="0">
      <items count="7">
        <item h="1" x="0"/>
        <item h="1"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5"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1" item="2" hier="-1"/>
    <pageField fld="32" item="2" hier="-1"/>
  </pageFields>
  <dataFields count="1">
    <dataField name="Sum of Epic Total Estimate" fld="15" baseField="35" baseItem="0"/>
  </dataField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5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9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4:A35" firstHeaderRow="1" firstDataRow="1" firstDataCol="0" rowPageCount="2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2">
    <pageField fld="32" item="2" hier="-1"/>
    <pageField fld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9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D10:AH16" firstHeaderRow="1" firstDataRow="3" firstDataCol="1" rowPageCount="1" colPageCount="1"/>
  <pivotFields count="46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1">
    <pageField fld="32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W2:W12" totalsRowShown="0" headerRowDxfId="4">
  <autoFilter ref="W2:W12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20:D34" totalsRowShown="0">
  <autoFilter ref="B20:D34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Points",$B$12)</calculatedColumnFormula>
    </tableColumn>
  </tableColumns>
  <tableStyleInfo name="TableStyleLight1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5:R20" totalsRowCount="1">
  <autoFilter ref="K5:R1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300-000001000000}" name="Sprint" totalsRowLabel="Total"/>
    <tableColumn id="2" xr3:uid="{00000000-0010-0000-0300-000002000000}" name="Alpha" totalsRowFunction="sum"/>
    <tableColumn id="3" xr3:uid="{00000000-0010-0000-0300-000003000000}" name="ngStars" totalsRowFunction="sum"/>
    <tableColumn id="4" xr3:uid="{00000000-0010-0000-0300-000004000000}" name="NW" totalsRowFunction="sum"/>
    <tableColumn id="5" xr3:uid="{00000000-0010-0000-0300-000005000000}" name="SoftTeco" totalsRowFunction="sum"/>
    <tableColumn id="8" xr3:uid="{00000000-0010-0000-0300-000008000000}" name="Titan" totalsRowFunction="sum"/>
    <tableColumn id="6" xr3:uid="{00000000-0010-0000-0300-000006000000}" name="QA" totalsRowFunction="sum"/>
    <tableColumn id="7" xr3:uid="{00000000-0010-0000-0300-000007000000}" name="Total" totalsRowFunction="sum" dataDxfId="0">
      <calculatedColumnFormula>SUM(L6:Q6)</calculatedColumnFormula>
    </tableColumn>
  </tableColumns>
  <tableStyleInfo name="TableStyleLight1" showFirstColumn="1" showLastColumn="1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4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C4" sqref="C4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20"/>
  <sheetViews>
    <sheetView workbookViewId="0">
      <selection activeCell="K15" sqref="K15"/>
    </sheetView>
  </sheetViews>
  <sheetFormatPr defaultRowHeight="14.25" x14ac:dyDescent="0.45"/>
  <cols>
    <col min="2" max="2" width="16.86328125" bestFit="1" customWidth="1"/>
    <col min="3" max="3" width="15.6640625" bestFit="1" customWidth="1"/>
    <col min="4" max="4" width="6.73046875" bestFit="1" customWidth="1"/>
    <col min="5" max="5" width="3.73046875" bestFit="1" customWidth="1"/>
    <col min="6" max="6" width="7.796875" bestFit="1" customWidth="1"/>
    <col min="7" max="7" width="4.796875" bestFit="1" customWidth="1"/>
    <col min="8" max="9" width="10.19921875" bestFit="1" customWidth="1"/>
    <col min="11" max="18" width="9.86328125" customWidth="1"/>
  </cols>
  <sheetData>
    <row r="1" spans="2:18" x14ac:dyDescent="0.45">
      <c r="B1" s="16" t="s">
        <v>9</v>
      </c>
      <c r="C1" t="s">
        <v>199</v>
      </c>
    </row>
    <row r="2" spans="2:18" x14ac:dyDescent="0.45">
      <c r="B2" s="16" t="s">
        <v>0</v>
      </c>
      <c r="C2" t="s">
        <v>199</v>
      </c>
    </row>
    <row r="4" spans="2:18" x14ac:dyDescent="0.45">
      <c r="B4" s="16" t="s">
        <v>190</v>
      </c>
      <c r="C4" s="16" t="s">
        <v>209</v>
      </c>
      <c r="K4" s="44" t="s">
        <v>243</v>
      </c>
    </row>
    <row r="5" spans="2:18" x14ac:dyDescent="0.45">
      <c r="B5" s="16" t="s">
        <v>163</v>
      </c>
      <c r="C5" t="s">
        <v>58</v>
      </c>
      <c r="D5" t="s">
        <v>56</v>
      </c>
      <c r="E5" t="s">
        <v>54</v>
      </c>
      <c r="F5" t="s">
        <v>57</v>
      </c>
      <c r="G5" t="s">
        <v>52</v>
      </c>
      <c r="H5" t="s">
        <v>50</v>
      </c>
      <c r="K5" t="s">
        <v>242</v>
      </c>
      <c r="L5" t="s">
        <v>58</v>
      </c>
      <c r="M5" t="s">
        <v>56</v>
      </c>
      <c r="N5" t="s">
        <v>54</v>
      </c>
      <c r="O5" t="s">
        <v>57</v>
      </c>
      <c r="P5" t="s">
        <v>52</v>
      </c>
      <c r="Q5" t="s">
        <v>53</v>
      </c>
      <c r="R5" t="s">
        <v>241</v>
      </c>
    </row>
    <row r="6" spans="2:18" x14ac:dyDescent="0.45">
      <c r="B6" s="17" t="s">
        <v>149</v>
      </c>
      <c r="C6" s="20"/>
      <c r="D6" s="20"/>
      <c r="E6" s="20">
        <v>30</v>
      </c>
      <c r="F6" s="20"/>
      <c r="G6" s="20"/>
      <c r="H6" s="20">
        <v>30</v>
      </c>
      <c r="K6" t="s">
        <v>149</v>
      </c>
      <c r="L6">
        <v>18.5</v>
      </c>
      <c r="M6">
        <v>24.5</v>
      </c>
      <c r="N6">
        <v>47.5</v>
      </c>
      <c r="O6">
        <v>67.5</v>
      </c>
      <c r="P6">
        <v>25.5</v>
      </c>
      <c r="Q6">
        <v>2.5</v>
      </c>
      <c r="R6">
        <f>SUM(L6:Q6)</f>
        <v>186</v>
      </c>
    </row>
    <row r="7" spans="2:18" x14ac:dyDescent="0.45">
      <c r="B7" s="17" t="s">
        <v>150</v>
      </c>
      <c r="C7" s="20"/>
      <c r="D7" s="20">
        <v>30</v>
      </c>
      <c r="E7" s="20"/>
      <c r="F7" s="20"/>
      <c r="G7" s="20"/>
      <c r="H7" s="20">
        <v>30</v>
      </c>
      <c r="K7" t="s">
        <v>150</v>
      </c>
      <c r="L7">
        <v>18</v>
      </c>
      <c r="M7">
        <v>70.5</v>
      </c>
      <c r="N7">
        <v>63</v>
      </c>
      <c r="O7">
        <v>61</v>
      </c>
      <c r="Q7">
        <v>13</v>
      </c>
      <c r="R7">
        <f t="shared" ref="R7:R19" si="0">SUM(L7:Q7)</f>
        <v>225.5</v>
      </c>
    </row>
    <row r="8" spans="2:18" x14ac:dyDescent="0.45">
      <c r="B8" s="17" t="s">
        <v>151</v>
      </c>
      <c r="C8" s="20">
        <v>30</v>
      </c>
      <c r="D8" s="20"/>
      <c r="E8" s="20"/>
      <c r="F8" s="20"/>
      <c r="G8" s="20"/>
      <c r="H8" s="20">
        <v>30</v>
      </c>
      <c r="K8" t="s">
        <v>151</v>
      </c>
      <c r="L8">
        <v>27</v>
      </c>
      <c r="M8">
        <v>46.5</v>
      </c>
      <c r="N8">
        <v>57.5</v>
      </c>
      <c r="O8">
        <v>87</v>
      </c>
      <c r="Q8">
        <v>3</v>
      </c>
      <c r="R8">
        <f t="shared" si="0"/>
        <v>221</v>
      </c>
    </row>
    <row r="9" spans="2:18" x14ac:dyDescent="0.45">
      <c r="B9" s="17" t="s">
        <v>152</v>
      </c>
      <c r="C9" s="20"/>
      <c r="D9" s="20"/>
      <c r="E9" s="20"/>
      <c r="F9" s="20"/>
      <c r="G9" s="20">
        <v>30</v>
      </c>
      <c r="H9" s="20">
        <v>30</v>
      </c>
      <c r="K9" t="s">
        <v>152</v>
      </c>
      <c r="L9">
        <v>21</v>
      </c>
      <c r="M9">
        <v>41.5</v>
      </c>
      <c r="N9">
        <v>27.5</v>
      </c>
      <c r="O9">
        <v>61</v>
      </c>
      <c r="Q9">
        <v>1.5</v>
      </c>
      <c r="R9">
        <f t="shared" si="0"/>
        <v>152.5</v>
      </c>
    </row>
    <row r="10" spans="2:18" x14ac:dyDescent="0.45">
      <c r="B10" s="17" t="s">
        <v>153</v>
      </c>
      <c r="C10" s="20"/>
      <c r="D10" s="20"/>
      <c r="E10" s="20"/>
      <c r="F10" s="20">
        <v>30</v>
      </c>
      <c r="G10" s="20"/>
      <c r="H10" s="20">
        <v>30</v>
      </c>
      <c r="K10" t="s">
        <v>153</v>
      </c>
      <c r="L10">
        <v>23.5</v>
      </c>
      <c r="M10">
        <v>43.5</v>
      </c>
      <c r="N10">
        <v>68.5</v>
      </c>
      <c r="O10">
        <v>55.5</v>
      </c>
      <c r="Q10">
        <v>3</v>
      </c>
      <c r="R10">
        <f t="shared" si="0"/>
        <v>194</v>
      </c>
    </row>
    <row r="11" spans="2:18" x14ac:dyDescent="0.45">
      <c r="B11" s="17" t="s">
        <v>154</v>
      </c>
      <c r="C11" s="20"/>
      <c r="D11" s="20"/>
      <c r="E11" s="20">
        <v>30</v>
      </c>
      <c r="F11" s="20"/>
      <c r="G11" s="20"/>
      <c r="H11" s="20">
        <v>30</v>
      </c>
      <c r="K11" t="s">
        <v>154</v>
      </c>
      <c r="L11">
        <v>24</v>
      </c>
      <c r="M11">
        <v>32</v>
      </c>
      <c r="N11">
        <v>60.5</v>
      </c>
      <c r="O11">
        <v>102</v>
      </c>
      <c r="R11">
        <f t="shared" si="0"/>
        <v>218.5</v>
      </c>
    </row>
    <row r="12" spans="2:18" x14ac:dyDescent="0.45">
      <c r="B12" s="17" t="s">
        <v>155</v>
      </c>
      <c r="C12" s="20"/>
      <c r="D12" s="20">
        <v>30</v>
      </c>
      <c r="E12" s="20"/>
      <c r="F12" s="20"/>
      <c r="G12" s="20"/>
      <c r="H12" s="20">
        <v>30</v>
      </c>
      <c r="K12" t="s">
        <v>155</v>
      </c>
      <c r="L12">
        <v>15.5</v>
      </c>
      <c r="M12">
        <v>43</v>
      </c>
      <c r="N12">
        <v>55.5</v>
      </c>
      <c r="O12">
        <v>79</v>
      </c>
      <c r="R12">
        <f t="shared" si="0"/>
        <v>193</v>
      </c>
    </row>
    <row r="13" spans="2:18" x14ac:dyDescent="0.45">
      <c r="B13" s="17" t="s">
        <v>156</v>
      </c>
      <c r="C13" s="20">
        <v>30</v>
      </c>
      <c r="D13" s="20"/>
      <c r="E13" s="20"/>
      <c r="F13" s="20"/>
      <c r="G13" s="20"/>
      <c r="H13" s="20">
        <v>30</v>
      </c>
      <c r="K13" t="s">
        <v>156</v>
      </c>
      <c r="L13">
        <v>4.5</v>
      </c>
      <c r="M13">
        <v>21</v>
      </c>
      <c r="N13">
        <v>23</v>
      </c>
      <c r="R13">
        <f t="shared" si="0"/>
        <v>48.5</v>
      </c>
    </row>
    <row r="14" spans="2:18" x14ac:dyDescent="0.45">
      <c r="B14" s="17" t="s">
        <v>157</v>
      </c>
      <c r="C14" s="20"/>
      <c r="D14" s="20"/>
      <c r="E14" s="20"/>
      <c r="F14" s="20"/>
      <c r="G14" s="20">
        <v>30</v>
      </c>
      <c r="H14" s="20">
        <v>30</v>
      </c>
      <c r="K14" t="s">
        <v>157</v>
      </c>
      <c r="L14">
        <v>14</v>
      </c>
      <c r="M14">
        <v>51</v>
      </c>
      <c r="N14">
        <v>48.5</v>
      </c>
      <c r="O14">
        <v>93.5</v>
      </c>
      <c r="Q14">
        <v>6.5</v>
      </c>
      <c r="R14">
        <f t="shared" si="0"/>
        <v>213.5</v>
      </c>
    </row>
    <row r="15" spans="2:18" x14ac:dyDescent="0.45">
      <c r="B15" s="17" t="s">
        <v>158</v>
      </c>
      <c r="C15" s="20"/>
      <c r="D15" s="20"/>
      <c r="E15" s="20"/>
      <c r="F15" s="20">
        <v>30</v>
      </c>
      <c r="G15" s="20"/>
      <c r="H15" s="20">
        <v>30</v>
      </c>
      <c r="K15" t="s">
        <v>158</v>
      </c>
      <c r="L15">
        <v>18</v>
      </c>
      <c r="M15">
        <v>51</v>
      </c>
      <c r="N15">
        <v>57</v>
      </c>
      <c r="O15">
        <v>80</v>
      </c>
      <c r="R15">
        <f t="shared" si="0"/>
        <v>206</v>
      </c>
    </row>
    <row r="16" spans="2:18" x14ac:dyDescent="0.45">
      <c r="B16" s="17" t="s">
        <v>159</v>
      </c>
      <c r="C16" s="20"/>
      <c r="D16" s="20"/>
      <c r="E16" s="20">
        <v>30</v>
      </c>
      <c r="F16" s="20"/>
      <c r="G16" s="20"/>
      <c r="H16" s="20">
        <v>30</v>
      </c>
      <c r="K16" t="s">
        <v>159</v>
      </c>
      <c r="R16">
        <f t="shared" si="0"/>
        <v>0</v>
      </c>
    </row>
    <row r="17" spans="2:18" x14ac:dyDescent="0.45">
      <c r="B17" s="17" t="s">
        <v>160</v>
      </c>
      <c r="C17" s="20"/>
      <c r="D17" s="20">
        <v>30</v>
      </c>
      <c r="E17" s="20"/>
      <c r="F17" s="20"/>
      <c r="G17" s="20"/>
      <c r="H17" s="20">
        <v>30</v>
      </c>
      <c r="K17" t="s">
        <v>160</v>
      </c>
      <c r="R17">
        <f t="shared" si="0"/>
        <v>0</v>
      </c>
    </row>
    <row r="18" spans="2:18" x14ac:dyDescent="0.45">
      <c r="B18" s="17" t="s">
        <v>161</v>
      </c>
      <c r="C18" s="20">
        <v>30</v>
      </c>
      <c r="D18" s="20"/>
      <c r="E18" s="20"/>
      <c r="F18" s="20"/>
      <c r="G18" s="20"/>
      <c r="H18" s="20">
        <v>30</v>
      </c>
      <c r="K18" t="s">
        <v>161</v>
      </c>
      <c r="R18">
        <f t="shared" si="0"/>
        <v>0</v>
      </c>
    </row>
    <row r="19" spans="2:18" x14ac:dyDescent="0.45">
      <c r="B19" s="17" t="s">
        <v>162</v>
      </c>
      <c r="C19" s="20"/>
      <c r="D19" s="20"/>
      <c r="E19" s="20"/>
      <c r="F19" s="20"/>
      <c r="G19" s="20">
        <v>30</v>
      </c>
      <c r="H19" s="20">
        <v>30</v>
      </c>
      <c r="K19" t="s">
        <v>162</v>
      </c>
      <c r="R19">
        <f t="shared" si="0"/>
        <v>0</v>
      </c>
    </row>
    <row r="20" spans="2:18" x14ac:dyDescent="0.45">
      <c r="B20" s="17" t="s">
        <v>50</v>
      </c>
      <c r="C20" s="20">
        <v>90</v>
      </c>
      <c r="D20" s="20">
        <v>90</v>
      </c>
      <c r="E20" s="20">
        <v>90</v>
      </c>
      <c r="F20" s="20">
        <v>60</v>
      </c>
      <c r="G20" s="20">
        <v>90</v>
      </c>
      <c r="H20" s="20">
        <v>420</v>
      </c>
      <c r="K20" t="s">
        <v>241</v>
      </c>
      <c r="L20">
        <f>SUBTOTAL(109,Table1[Alpha])</f>
        <v>184</v>
      </c>
      <c r="M20">
        <f>SUBTOTAL(109,Table1[ngStars])</f>
        <v>424.5</v>
      </c>
      <c r="N20">
        <f>SUBTOTAL(109,Table1[NW])</f>
        <v>508.5</v>
      </c>
      <c r="O20">
        <f>SUBTOTAL(109,Table1[SoftTeco])</f>
        <v>686.5</v>
      </c>
      <c r="P20">
        <f>SUBTOTAL(109,Table1[Titan])</f>
        <v>25.5</v>
      </c>
      <c r="Q20">
        <f>SUBTOTAL(109,Table1[QA])</f>
        <v>29.5</v>
      </c>
      <c r="R20">
        <f>SUBTOTAL(109,Table1[Total])</f>
        <v>1858.5</v>
      </c>
    </row>
  </sheetData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C3" sqref="C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5"/>
  <sheetViews>
    <sheetView workbookViewId="0">
      <selection activeCell="B1" sqref="B1"/>
    </sheetView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3" t="s">
        <v>167</v>
      </c>
      <c r="B1" t="str">
        <f>$E$2</f>
        <v>Quasar11</v>
      </c>
      <c r="D1" s="16" t="s">
        <v>9</v>
      </c>
      <c r="E1" t="s">
        <v>199</v>
      </c>
    </row>
    <row r="2" spans="1:5" x14ac:dyDescent="0.45">
      <c r="D2" s="16" t="s">
        <v>165</v>
      </c>
      <c r="E2" t="s">
        <v>186</v>
      </c>
    </row>
    <row r="4" spans="1:5" x14ac:dyDescent="0.45">
      <c r="D4" s="16" t="s">
        <v>163</v>
      </c>
      <c r="E4" t="s">
        <v>190</v>
      </c>
    </row>
    <row r="5" spans="1:5" x14ac:dyDescent="0.45">
      <c r="D5" s="17" t="s">
        <v>197</v>
      </c>
      <c r="E5" s="20">
        <v>1</v>
      </c>
    </row>
    <row r="6" spans="1:5" x14ac:dyDescent="0.45">
      <c r="D6" s="17" t="s">
        <v>195</v>
      </c>
      <c r="E6" s="20">
        <v>1</v>
      </c>
    </row>
    <row r="7" spans="1:5" x14ac:dyDescent="0.45">
      <c r="D7" s="17" t="s">
        <v>194</v>
      </c>
      <c r="E7" s="20">
        <v>1</v>
      </c>
    </row>
    <row r="8" spans="1:5" x14ac:dyDescent="0.45">
      <c r="D8" s="17" t="s">
        <v>223</v>
      </c>
      <c r="E8" s="20">
        <v>1</v>
      </c>
    </row>
    <row r="9" spans="1:5" x14ac:dyDescent="0.45">
      <c r="D9" s="17" t="s">
        <v>193</v>
      </c>
      <c r="E9" s="20">
        <v>1</v>
      </c>
    </row>
    <row r="10" spans="1:5" x14ac:dyDescent="0.45">
      <c r="D10" s="17" t="s">
        <v>196</v>
      </c>
      <c r="E10" s="20">
        <v>1</v>
      </c>
    </row>
    <row r="11" spans="1:5" x14ac:dyDescent="0.45">
      <c r="D11" s="17" t="s">
        <v>50</v>
      </c>
      <c r="E11" s="20">
        <v>6</v>
      </c>
    </row>
    <row r="14" spans="1:5" x14ac:dyDescent="0.45">
      <c r="D14" t="s">
        <v>50</v>
      </c>
      <c r="E14">
        <f>GETPIVOTDATA("Story Points", $D$4)</f>
        <v>6</v>
      </c>
    </row>
    <row r="15" spans="1:5" x14ac:dyDescent="0.45">
      <c r="D15" t="s">
        <v>200</v>
      </c>
      <c r="E15" t="str">
        <f>"Sprint " &amp; SUBSTITUTE($B$1,"Quasar", "") &amp; " Progress"</f>
        <v>Sprint 11 Progress</v>
      </c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9" sqref="B9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4"/>
  <sheetViews>
    <sheetView topLeftCell="A22" workbookViewId="0">
      <selection activeCell="A2" sqref="A2"/>
    </sheetView>
  </sheetViews>
  <sheetFormatPr defaultRowHeight="14.25" x14ac:dyDescent="0.45"/>
  <cols>
    <col min="2" max="2" width="12.33203125" bestFit="1" customWidth="1"/>
    <col min="3" max="3" width="15.6640625" bestFit="1" customWidth="1"/>
    <col min="5" max="6" width="12.06640625" bestFit="1" customWidth="1"/>
    <col min="7" max="7" width="15.6640625" bestFit="1" customWidth="1"/>
    <col min="8" max="8" width="4.3984375" bestFit="1" customWidth="1"/>
    <col min="9" max="9" width="7.59765625" bestFit="1" customWidth="1"/>
    <col min="10" max="10" width="4.06640625" bestFit="1" customWidth="1"/>
    <col min="11" max="11" width="6.53125" bestFit="1" customWidth="1"/>
    <col min="12" max="12" width="10.19921875" bestFit="1" customWidth="1"/>
    <col min="13" max="13" width="6.3984375" bestFit="1" customWidth="1"/>
    <col min="14" max="14" width="10.19921875" bestFit="1" customWidth="1"/>
  </cols>
  <sheetData>
    <row r="1" spans="1:12" x14ac:dyDescent="0.45">
      <c r="A1" t="s">
        <v>201</v>
      </c>
    </row>
    <row r="2" spans="1:12" x14ac:dyDescent="0.45">
      <c r="A2" t="s">
        <v>208</v>
      </c>
    </row>
    <row r="4" spans="1:12" x14ac:dyDescent="0.45">
      <c r="B4" s="16" t="s">
        <v>142</v>
      </c>
      <c r="C4" t="s">
        <v>145</v>
      </c>
      <c r="F4" s="16" t="s">
        <v>142</v>
      </c>
      <c r="G4" t="s">
        <v>145</v>
      </c>
    </row>
    <row r="5" spans="1:12" x14ac:dyDescent="0.45">
      <c r="B5" s="16" t="s">
        <v>9</v>
      </c>
      <c r="C5" t="s">
        <v>72</v>
      </c>
      <c r="F5" s="16" t="s">
        <v>9</v>
      </c>
      <c r="G5" t="s">
        <v>72</v>
      </c>
    </row>
    <row r="6" spans="1:12" x14ac:dyDescent="0.45">
      <c r="B6" s="16" t="s">
        <v>119</v>
      </c>
      <c r="C6" t="s">
        <v>199</v>
      </c>
      <c r="F6" s="16" t="s">
        <v>0</v>
      </c>
      <c r="G6" t="s">
        <v>199</v>
      </c>
    </row>
    <row r="7" spans="1:12" x14ac:dyDescent="0.45">
      <c r="B7" s="16" t="s">
        <v>0</v>
      </c>
      <c r="C7" t="s">
        <v>199</v>
      </c>
    </row>
    <row r="8" spans="1:12" x14ac:dyDescent="0.45">
      <c r="F8" s="16" t="s">
        <v>207</v>
      </c>
      <c r="G8" s="16" t="s">
        <v>209</v>
      </c>
    </row>
    <row r="9" spans="1:12" x14ac:dyDescent="0.45">
      <c r="B9" s="16" t="s">
        <v>163</v>
      </c>
      <c r="C9" t="s">
        <v>207</v>
      </c>
      <c r="F9" s="16" t="s">
        <v>163</v>
      </c>
      <c r="G9" t="s">
        <v>202</v>
      </c>
      <c r="H9" t="s">
        <v>203</v>
      </c>
      <c r="I9" t="s">
        <v>204</v>
      </c>
      <c r="J9" t="s">
        <v>205</v>
      </c>
      <c r="K9" t="s">
        <v>206</v>
      </c>
      <c r="L9" t="s">
        <v>50</v>
      </c>
    </row>
    <row r="10" spans="1:12" x14ac:dyDescent="0.45">
      <c r="B10" s="17" t="s">
        <v>202</v>
      </c>
      <c r="C10" s="20">
        <v>1</v>
      </c>
      <c r="F10" s="17" t="s">
        <v>52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5</v>
      </c>
    </row>
    <row r="11" spans="1:12" x14ac:dyDescent="0.45">
      <c r="B11" s="17" t="s">
        <v>203</v>
      </c>
      <c r="C11" s="20">
        <v>1</v>
      </c>
      <c r="F11" s="17" t="s">
        <v>50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5</v>
      </c>
    </row>
    <row r="12" spans="1:12" x14ac:dyDescent="0.45">
      <c r="B12" s="17" t="s">
        <v>204</v>
      </c>
      <c r="C12" s="20">
        <v>1</v>
      </c>
    </row>
    <row r="13" spans="1:12" x14ac:dyDescent="0.45">
      <c r="B13" s="17" t="s">
        <v>205</v>
      </c>
      <c r="C13" s="20">
        <v>1</v>
      </c>
    </row>
    <row r="14" spans="1:12" x14ac:dyDescent="0.45">
      <c r="B14" s="17" t="s">
        <v>206</v>
      </c>
      <c r="C14" s="20">
        <v>1</v>
      </c>
    </row>
    <row r="15" spans="1:12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142</v>
      </c>
      <c r="C24" t="s">
        <v>227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199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163</v>
      </c>
      <c r="C29" t="s">
        <v>207</v>
      </c>
    </row>
    <row r="30" spans="2:3" x14ac:dyDescent="0.45">
      <c r="B30" s="17" t="s">
        <v>149</v>
      </c>
      <c r="C30" s="20">
        <v>1</v>
      </c>
    </row>
    <row r="31" spans="2:3" x14ac:dyDescent="0.45">
      <c r="B31" s="17" t="s">
        <v>150</v>
      </c>
      <c r="C31" s="20"/>
    </row>
    <row r="32" spans="2:3" x14ac:dyDescent="0.45">
      <c r="B32" s="17" t="s">
        <v>151</v>
      </c>
      <c r="C32" s="20"/>
    </row>
    <row r="33" spans="2:3" x14ac:dyDescent="0.45">
      <c r="B33" s="17" t="s">
        <v>152</v>
      </c>
      <c r="C33" s="20"/>
    </row>
    <row r="34" spans="2:3" x14ac:dyDescent="0.45">
      <c r="B34" s="17" t="s">
        <v>153</v>
      </c>
      <c r="C34" s="20">
        <v>1</v>
      </c>
    </row>
    <row r="35" spans="2:3" x14ac:dyDescent="0.45">
      <c r="B35" s="17" t="s">
        <v>154</v>
      </c>
      <c r="C35" s="20"/>
    </row>
    <row r="36" spans="2:3" x14ac:dyDescent="0.45">
      <c r="B36" s="17" t="s">
        <v>155</v>
      </c>
      <c r="C36" s="20"/>
    </row>
    <row r="37" spans="2:3" x14ac:dyDescent="0.45">
      <c r="B37" s="17" t="s">
        <v>156</v>
      </c>
      <c r="C37" s="20"/>
    </row>
    <row r="38" spans="2:3" x14ac:dyDescent="0.45">
      <c r="B38" s="17" t="s">
        <v>157</v>
      </c>
      <c r="C38" s="20"/>
    </row>
    <row r="39" spans="2:3" x14ac:dyDescent="0.45">
      <c r="B39" s="17" t="s">
        <v>158</v>
      </c>
      <c r="C39" s="20"/>
    </row>
    <row r="40" spans="2:3" x14ac:dyDescent="0.45">
      <c r="B40" s="17" t="s">
        <v>159</v>
      </c>
      <c r="C40" s="20"/>
    </row>
    <row r="41" spans="2:3" x14ac:dyDescent="0.45">
      <c r="B41" s="17" t="s">
        <v>160</v>
      </c>
      <c r="C41" s="20"/>
    </row>
    <row r="42" spans="2:3" x14ac:dyDescent="0.45">
      <c r="B42" s="17" t="s">
        <v>161</v>
      </c>
      <c r="C42" s="20"/>
    </row>
    <row r="43" spans="2:3" x14ac:dyDescent="0.45">
      <c r="B43" s="17" t="s">
        <v>162</v>
      </c>
      <c r="C43" s="20"/>
    </row>
    <row r="44" spans="2:3" x14ac:dyDescent="0.45">
      <c r="B44" s="17" t="s">
        <v>50</v>
      </c>
      <c r="C44" s="20">
        <v>2</v>
      </c>
    </row>
  </sheetData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S91"/>
  <sheetViews>
    <sheetView topLeftCell="AJ1" zoomScaleNormal="100" workbookViewId="0">
      <pane ySplit="1" topLeftCell="A2" activePane="bottomLeft" state="frozen"/>
      <selection activeCell="C3" sqref="C3"/>
      <selection pane="bottomLeft" activeCell="AR2" sqref="AR2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16384" width="9.1328125" style="3"/>
  </cols>
  <sheetData>
    <row r="1" spans="1:45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127</v>
      </c>
      <c r="Z1" s="1" t="s">
        <v>133</v>
      </c>
      <c r="AA1" s="1" t="s">
        <v>135</v>
      </c>
      <c r="AB1" s="1" t="s">
        <v>137</v>
      </c>
      <c r="AC1" s="1" t="s">
        <v>139</v>
      </c>
      <c r="AD1" s="1" t="s">
        <v>141</v>
      </c>
      <c r="AE1" s="1" t="s">
        <v>165</v>
      </c>
      <c r="AF1" s="1" t="s">
        <v>210</v>
      </c>
      <c r="AG1" s="1" t="s">
        <v>142</v>
      </c>
      <c r="AH1" s="1" t="s">
        <v>43</v>
      </c>
      <c r="AI1" s="1" t="s">
        <v>191</v>
      </c>
      <c r="AJ1" s="1" t="s">
        <v>234</v>
      </c>
      <c r="AK1" s="1" t="s">
        <v>44</v>
      </c>
      <c r="AL1" s="1" t="s">
        <v>119</v>
      </c>
      <c r="AM1" s="1" t="s">
        <v>120</v>
      </c>
      <c r="AN1" s="1" t="s">
        <v>218</v>
      </c>
      <c r="AO1" s="1" t="s">
        <v>217</v>
      </c>
      <c r="AP1" s="1" t="s">
        <v>219</v>
      </c>
      <c r="AQ1" s="1" t="s">
        <v>129</v>
      </c>
      <c r="AR1" s="1" t="s">
        <v>48</v>
      </c>
      <c r="AS1" s="3" t="s">
        <v>164</v>
      </c>
    </row>
    <row r="2" spans="1:45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128</v>
      </c>
      <c r="Z2" s="11" t="s">
        <v>134</v>
      </c>
      <c r="AA2" s="11" t="s">
        <v>136</v>
      </c>
      <c r="AB2" s="11" t="s">
        <v>138</v>
      </c>
      <c r="AC2" s="15" t="s">
        <v>140</v>
      </c>
      <c r="AD2" s="15" t="s">
        <v>128</v>
      </c>
      <c r="AE2" s="15" t="s">
        <v>166</v>
      </c>
      <c r="AF2" s="15" t="s">
        <v>211</v>
      </c>
      <c r="AG2" s="15" t="s">
        <v>143</v>
      </c>
      <c r="AH2" s="10" t="s">
        <v>46</v>
      </c>
      <c r="AI2" s="10" t="s">
        <v>192</v>
      </c>
      <c r="AJ2" s="10" t="s">
        <v>233</v>
      </c>
      <c r="AK2" s="14" t="s">
        <v>49</v>
      </c>
      <c r="AL2" s="14" t="s">
        <v>122</v>
      </c>
      <c r="AM2" s="14" t="s">
        <v>121</v>
      </c>
      <c r="AN2" s="11" t="s">
        <v>212</v>
      </c>
      <c r="AO2" s="11" t="s">
        <v>213</v>
      </c>
      <c r="AP2" s="11" t="s">
        <v>214</v>
      </c>
      <c r="AQ2" s="15" t="s">
        <v>130</v>
      </c>
      <c r="AR2" s="15" t="s">
        <v>126</v>
      </c>
      <c r="AS2" s="5" t="s">
        <v>11</v>
      </c>
    </row>
    <row r="3" spans="1:45" x14ac:dyDescent="0.45">
      <c r="A3" s="3" t="s">
        <v>55</v>
      </c>
    </row>
    <row r="4" spans="1:45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169</v>
      </c>
      <c r="AG4" s="5" t="s">
        <v>144</v>
      </c>
      <c r="AI4" s="5" t="s">
        <v>193</v>
      </c>
      <c r="AJ4" s="10" t="s">
        <v>230</v>
      </c>
      <c r="AL4" s="4" t="s">
        <v>56</v>
      </c>
      <c r="AM4" s="4" t="s">
        <v>56</v>
      </c>
      <c r="AN4" s="4"/>
      <c r="AO4" s="4"/>
      <c r="AP4" s="4"/>
      <c r="AQ4" s="4"/>
    </row>
    <row r="5" spans="1:45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V5" s="4" t="s">
        <v>54</v>
      </c>
      <c r="W5" s="4"/>
      <c r="AE5" s="5" t="s">
        <v>170</v>
      </c>
      <c r="AG5" s="5" t="s">
        <v>145</v>
      </c>
      <c r="AI5" s="5" t="s">
        <v>223</v>
      </c>
      <c r="AJ5" s="10" t="s">
        <v>231</v>
      </c>
      <c r="AL5" s="4" t="s">
        <v>54</v>
      </c>
      <c r="AM5" s="4" t="s">
        <v>54</v>
      </c>
      <c r="AN5" s="4"/>
      <c r="AO5" s="4"/>
      <c r="AP5" s="4"/>
      <c r="AQ5" s="4"/>
    </row>
    <row r="6" spans="1:45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V6" s="4" t="s">
        <v>57</v>
      </c>
      <c r="W6" s="4"/>
      <c r="AE6" s="5" t="s">
        <v>171</v>
      </c>
      <c r="AI6" s="5" t="s">
        <v>194</v>
      </c>
      <c r="AJ6" s="10" t="s">
        <v>239</v>
      </c>
      <c r="AL6" s="4" t="s">
        <v>57</v>
      </c>
      <c r="AM6" s="4" t="s">
        <v>57</v>
      </c>
      <c r="AN6" s="4"/>
      <c r="AO6" s="4"/>
      <c r="AP6" s="4"/>
      <c r="AQ6" s="4"/>
    </row>
    <row r="7" spans="1:45" x14ac:dyDescent="0.45">
      <c r="A7" s="5" t="s">
        <v>51</v>
      </c>
      <c r="B7" s="5" t="s">
        <v>70</v>
      </c>
      <c r="D7" s="4" t="s">
        <v>52</v>
      </c>
      <c r="E7" s="19" t="s">
        <v>95</v>
      </c>
      <c r="V7" s="4" t="s">
        <v>52</v>
      </c>
      <c r="W7" s="4"/>
      <c r="AE7" s="5" t="s">
        <v>172</v>
      </c>
      <c r="AI7" s="5" t="s">
        <v>195</v>
      </c>
      <c r="AJ7" s="10" t="s">
        <v>240</v>
      </c>
      <c r="AL7" s="4" t="s">
        <v>52</v>
      </c>
      <c r="AM7" s="4" t="s">
        <v>52</v>
      </c>
      <c r="AN7" s="4"/>
      <c r="AO7" s="4"/>
      <c r="AP7" s="4"/>
      <c r="AQ7" s="4"/>
    </row>
    <row r="8" spans="1:45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173</v>
      </c>
      <c r="AI8" s="5" t="s">
        <v>197</v>
      </c>
      <c r="AL8" s="4" t="s">
        <v>58</v>
      </c>
      <c r="AM8" s="4" t="s">
        <v>58</v>
      </c>
      <c r="AN8" s="4"/>
      <c r="AO8" s="4"/>
      <c r="AP8" s="4"/>
      <c r="AQ8" s="4"/>
    </row>
    <row r="9" spans="1:45" x14ac:dyDescent="0.45">
      <c r="A9" s="5" t="s">
        <v>51</v>
      </c>
      <c r="B9" s="5"/>
      <c r="D9" s="4" t="s">
        <v>59</v>
      </c>
      <c r="E9" s="19" t="s">
        <v>97</v>
      </c>
      <c r="V9" s="4" t="s">
        <v>59</v>
      </c>
      <c r="W9" s="4"/>
      <c r="AE9" s="5" t="s">
        <v>174</v>
      </c>
      <c r="AI9" s="5" t="s">
        <v>196</v>
      </c>
      <c r="AL9" s="4" t="s">
        <v>59</v>
      </c>
      <c r="AM9" s="4" t="s">
        <v>59</v>
      </c>
      <c r="AN9" s="4"/>
      <c r="AO9" s="4"/>
      <c r="AP9" s="4"/>
      <c r="AQ9" s="4"/>
    </row>
    <row r="10" spans="1:45" x14ac:dyDescent="0.45">
      <c r="A10" s="5" t="s">
        <v>51</v>
      </c>
      <c r="B10" s="5"/>
      <c r="D10" s="4" t="s">
        <v>60</v>
      </c>
      <c r="E10" s="19" t="s">
        <v>98</v>
      </c>
      <c r="V10" s="4" t="s">
        <v>60</v>
      </c>
      <c r="W10" s="4"/>
      <c r="AE10" s="5" t="s">
        <v>175</v>
      </c>
      <c r="AI10" s="5" t="s">
        <v>198</v>
      </c>
      <c r="AL10" s="4" t="s">
        <v>60</v>
      </c>
      <c r="AM10" s="4" t="s">
        <v>60</v>
      </c>
      <c r="AN10" s="4"/>
      <c r="AO10" s="4"/>
      <c r="AP10" s="4"/>
      <c r="AQ10" s="4"/>
    </row>
    <row r="11" spans="1:45" x14ac:dyDescent="0.45">
      <c r="A11" s="5" t="s">
        <v>51</v>
      </c>
      <c r="B11" s="5"/>
      <c r="D11" s="4" t="s">
        <v>53</v>
      </c>
      <c r="E11" s="19" t="s">
        <v>99</v>
      </c>
      <c r="V11" s="4" t="s">
        <v>53</v>
      </c>
      <c r="W11" s="4"/>
      <c r="AE11" s="5" t="s">
        <v>176</v>
      </c>
      <c r="AL11" s="4" t="s">
        <v>53</v>
      </c>
      <c r="AM11" s="4" t="s">
        <v>53</v>
      </c>
      <c r="AN11" s="4"/>
      <c r="AO11" s="4"/>
      <c r="AP11" s="4"/>
      <c r="AQ11" s="4"/>
    </row>
    <row r="12" spans="1:45" x14ac:dyDescent="0.45">
      <c r="A12" s="5" t="s">
        <v>51</v>
      </c>
      <c r="B12" s="5"/>
      <c r="D12" s="4" t="s">
        <v>61</v>
      </c>
      <c r="E12" s="19" t="s">
        <v>100</v>
      </c>
      <c r="V12" s="4" t="s">
        <v>61</v>
      </c>
      <c r="W12" s="4"/>
      <c r="AE12" s="5" t="s">
        <v>168</v>
      </c>
      <c r="AF12" s="5" t="s">
        <v>149</v>
      </c>
      <c r="AL12" s="4" t="s">
        <v>61</v>
      </c>
      <c r="AM12" s="4" t="s">
        <v>61</v>
      </c>
      <c r="AN12" s="4"/>
      <c r="AO12" s="4"/>
      <c r="AP12" s="4"/>
      <c r="AQ12" s="4"/>
    </row>
    <row r="13" spans="1:45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177</v>
      </c>
      <c r="AF13" s="5" t="s">
        <v>150</v>
      </c>
      <c r="AL13" s="4"/>
      <c r="AM13" s="4"/>
      <c r="AN13" s="4"/>
      <c r="AO13" s="4"/>
      <c r="AP13" s="4"/>
      <c r="AQ13" s="4"/>
    </row>
    <row r="14" spans="1:45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178</v>
      </c>
      <c r="AF14" s="5" t="s">
        <v>151</v>
      </c>
      <c r="AL14" s="4"/>
      <c r="AM14" s="4"/>
      <c r="AN14" s="4"/>
      <c r="AO14" s="4"/>
      <c r="AP14" s="4"/>
      <c r="AQ14" s="4"/>
    </row>
    <row r="15" spans="1:45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179</v>
      </c>
      <c r="AF15" s="5" t="s">
        <v>152</v>
      </c>
      <c r="AL15" s="4"/>
      <c r="AM15" s="4"/>
      <c r="AN15" s="4"/>
      <c r="AO15" s="4"/>
      <c r="AP15" s="4"/>
      <c r="AQ15" s="4"/>
    </row>
    <row r="16" spans="1:45" x14ac:dyDescent="0.45">
      <c r="A16" s="5" t="s">
        <v>51</v>
      </c>
      <c r="E16" s="19" t="s">
        <v>104</v>
      </c>
      <c r="AE16" s="5" t="s">
        <v>180</v>
      </c>
      <c r="AF16" s="5" t="s">
        <v>153</v>
      </c>
    </row>
    <row r="17" spans="1:35" ht="26.25" x14ac:dyDescent="0.45">
      <c r="A17" s="5" t="s">
        <v>51</v>
      </c>
      <c r="E17" s="19" t="s">
        <v>105</v>
      </c>
      <c r="AE17" s="5" t="s">
        <v>181</v>
      </c>
      <c r="AF17" s="5" t="s">
        <v>154</v>
      </c>
    </row>
    <row r="18" spans="1:35" x14ac:dyDescent="0.45">
      <c r="A18" s="5" t="s">
        <v>51</v>
      </c>
      <c r="E18" s="19" t="s">
        <v>106</v>
      </c>
      <c r="AE18" s="5" t="s">
        <v>182</v>
      </c>
      <c r="AF18" s="5" t="s">
        <v>155</v>
      </c>
    </row>
    <row r="19" spans="1:35" ht="39.4" x14ac:dyDescent="0.45">
      <c r="A19" s="5" t="s">
        <v>51</v>
      </c>
      <c r="E19" s="19" t="s">
        <v>107</v>
      </c>
      <c r="AE19" s="5" t="s">
        <v>183</v>
      </c>
      <c r="AF19" s="5" t="s">
        <v>156</v>
      </c>
    </row>
    <row r="20" spans="1:35" ht="26.25" x14ac:dyDescent="0.45">
      <c r="A20" s="5" t="s">
        <v>51</v>
      </c>
      <c r="E20" s="19" t="s">
        <v>108</v>
      </c>
      <c r="AE20" s="5" t="s">
        <v>184</v>
      </c>
      <c r="AF20" s="5" t="s">
        <v>157</v>
      </c>
    </row>
    <row r="21" spans="1:35" ht="26.25" x14ac:dyDescent="0.45">
      <c r="A21" s="5" t="s">
        <v>51</v>
      </c>
      <c r="E21" s="19" t="s">
        <v>109</v>
      </c>
      <c r="AE21" s="5" t="s">
        <v>185</v>
      </c>
      <c r="AF21" s="5" t="s">
        <v>158</v>
      </c>
    </row>
    <row r="22" spans="1:35" ht="26.25" x14ac:dyDescent="0.45">
      <c r="A22" s="5" t="s">
        <v>51</v>
      </c>
      <c r="E22" s="19" t="s">
        <v>110</v>
      </c>
      <c r="AE22" s="5" t="s">
        <v>186</v>
      </c>
      <c r="AF22" s="5" t="s">
        <v>159</v>
      </c>
    </row>
    <row r="23" spans="1:35" ht="26.25" x14ac:dyDescent="0.45">
      <c r="A23" s="5" t="s">
        <v>51</v>
      </c>
      <c r="E23" s="19" t="s">
        <v>111</v>
      </c>
      <c r="AE23" s="5" t="s">
        <v>187</v>
      </c>
      <c r="AF23" s="5" t="s">
        <v>160</v>
      </c>
    </row>
    <row r="24" spans="1:35" x14ac:dyDescent="0.45">
      <c r="A24" s="5" t="s">
        <v>51</v>
      </c>
      <c r="E24" s="19" t="s">
        <v>112</v>
      </c>
      <c r="AE24" s="5" t="s">
        <v>188</v>
      </c>
      <c r="AF24" s="5" t="s">
        <v>161</v>
      </c>
    </row>
    <row r="25" spans="1:35" x14ac:dyDescent="0.45">
      <c r="A25" s="5" t="s">
        <v>51</v>
      </c>
      <c r="E25" s="19" t="s">
        <v>113</v>
      </c>
      <c r="AE25" s="5" t="s">
        <v>189</v>
      </c>
      <c r="AF25" s="5" t="s">
        <v>162</v>
      </c>
    </row>
    <row r="26" spans="1:35" x14ac:dyDescent="0.45">
      <c r="A26" s="5" t="s">
        <v>51</v>
      </c>
      <c r="E26" s="19" t="s">
        <v>114</v>
      </c>
    </row>
    <row r="27" spans="1:35" x14ac:dyDescent="0.45">
      <c r="A27" s="5" t="s">
        <v>51</v>
      </c>
      <c r="B27" s="5" t="s">
        <v>70</v>
      </c>
      <c r="E27" s="19" t="s">
        <v>115</v>
      </c>
      <c r="N27" s="5">
        <v>30</v>
      </c>
    </row>
    <row r="28" spans="1:35" ht="26.25" x14ac:dyDescent="0.45">
      <c r="A28" s="5" t="s">
        <v>51</v>
      </c>
      <c r="E28" s="19" t="s">
        <v>116</v>
      </c>
    </row>
    <row r="29" spans="1:35" x14ac:dyDescent="0.45">
      <c r="A29" s="5" t="s">
        <v>51</v>
      </c>
      <c r="E29" s="19" t="s">
        <v>73</v>
      </c>
    </row>
    <row r="30" spans="1:35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tr">
        <f>_ActiveSprintData!$B$1</f>
        <v>Quasar11</v>
      </c>
      <c r="AI30" s="5" t="s">
        <v>193</v>
      </c>
    </row>
    <row r="31" spans="1:35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tr">
        <f>_ActiveSprintData!$B$1</f>
        <v>Quasar11</v>
      </c>
      <c r="AI31" s="5" t="s">
        <v>223</v>
      </c>
    </row>
    <row r="32" spans="1:35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tr">
        <f>_ActiveSprintData!$B$1</f>
        <v>Quasar11</v>
      </c>
      <c r="AI32" s="5" t="s">
        <v>194</v>
      </c>
    </row>
    <row r="33" spans="1:38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tr">
        <f>_ActiveSprintData!$B$1</f>
        <v>Quasar11</v>
      </c>
      <c r="AI33" s="5" t="s">
        <v>195</v>
      </c>
    </row>
    <row r="34" spans="1:38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tr">
        <f>_ActiveSprintData!$B$1</f>
        <v>Quasar11</v>
      </c>
      <c r="AI34" s="5" t="s">
        <v>197</v>
      </c>
    </row>
    <row r="35" spans="1:38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tr">
        <f>_ActiveSprintData!$B$1</f>
        <v>Quasar11</v>
      </c>
      <c r="AI35" s="5" t="s">
        <v>196</v>
      </c>
    </row>
    <row r="36" spans="1:38" ht="26.25" x14ac:dyDescent="0.45">
      <c r="A36" s="5" t="s">
        <v>51</v>
      </c>
      <c r="E36" s="19" t="s">
        <v>80</v>
      </c>
      <c r="N36" s="5">
        <v>1</v>
      </c>
      <c r="AE36" s="5" t="str">
        <f>_ActiveSprintData!$B$1</f>
        <v>Quasar11</v>
      </c>
      <c r="AI36" s="5" t="s">
        <v>198</v>
      </c>
    </row>
    <row r="37" spans="1:38" x14ac:dyDescent="0.45">
      <c r="A37" s="5" t="s">
        <v>51</v>
      </c>
      <c r="E37" s="19" t="s">
        <v>81</v>
      </c>
    </row>
    <row r="38" spans="1:38" x14ac:dyDescent="0.45">
      <c r="A38" s="5" t="s">
        <v>51</v>
      </c>
      <c r="E38" s="19" t="s">
        <v>82</v>
      </c>
    </row>
    <row r="39" spans="1:38" x14ac:dyDescent="0.45">
      <c r="A39" s="5" t="s">
        <v>51</v>
      </c>
      <c r="E39" s="19" t="s">
        <v>83</v>
      </c>
    </row>
    <row r="40" spans="1:38" x14ac:dyDescent="0.45">
      <c r="A40" s="5" t="s">
        <v>51</v>
      </c>
      <c r="B40" s="3" t="s">
        <v>72</v>
      </c>
      <c r="E40" s="19" t="s">
        <v>84</v>
      </c>
      <c r="AF40" s="5" t="s">
        <v>149</v>
      </c>
      <c r="AG40" s="5" t="s">
        <v>145</v>
      </c>
      <c r="AH40" s="5" t="s">
        <v>202</v>
      </c>
      <c r="AL40" s="4" t="s">
        <v>52</v>
      </c>
    </row>
    <row r="41" spans="1:38" x14ac:dyDescent="0.45">
      <c r="A41" s="5" t="s">
        <v>51</v>
      </c>
      <c r="B41" s="5" t="s">
        <v>72</v>
      </c>
      <c r="E41" s="19" t="s">
        <v>85</v>
      </c>
      <c r="AF41" s="5" t="s">
        <v>150</v>
      </c>
      <c r="AG41" s="5" t="s">
        <v>145</v>
      </c>
      <c r="AH41" s="5" t="s">
        <v>203</v>
      </c>
      <c r="AL41" s="4" t="s">
        <v>52</v>
      </c>
    </row>
    <row r="42" spans="1:38" x14ac:dyDescent="0.45">
      <c r="A42" s="5" t="s">
        <v>51</v>
      </c>
      <c r="B42" s="5" t="s">
        <v>72</v>
      </c>
      <c r="E42" s="19" t="s">
        <v>86</v>
      </c>
      <c r="AF42" s="5" t="s">
        <v>162</v>
      </c>
      <c r="AG42" s="5" t="s">
        <v>145</v>
      </c>
      <c r="AH42" s="5" t="s">
        <v>204</v>
      </c>
      <c r="AL42" s="4" t="s">
        <v>52</v>
      </c>
    </row>
    <row r="43" spans="1:38" x14ac:dyDescent="0.45">
      <c r="A43" s="5" t="s">
        <v>51</v>
      </c>
      <c r="B43" s="5" t="s">
        <v>72</v>
      </c>
      <c r="E43" s="19" t="s">
        <v>87</v>
      </c>
      <c r="AF43" s="5" t="s">
        <v>153</v>
      </c>
      <c r="AG43" s="5" t="s">
        <v>145</v>
      </c>
      <c r="AH43" s="5" t="s">
        <v>205</v>
      </c>
      <c r="AL43" s="4" t="s">
        <v>52</v>
      </c>
    </row>
    <row r="44" spans="1:38" x14ac:dyDescent="0.45">
      <c r="A44" s="5" t="s">
        <v>51</v>
      </c>
      <c r="B44" s="5" t="s">
        <v>72</v>
      </c>
      <c r="E44" s="19" t="s">
        <v>88</v>
      </c>
      <c r="AF44" s="5" t="s">
        <v>154</v>
      </c>
      <c r="AG44" s="5" t="s">
        <v>145</v>
      </c>
      <c r="AH44" s="5" t="s">
        <v>206</v>
      </c>
      <c r="AL44" s="4" t="s">
        <v>52</v>
      </c>
    </row>
    <row r="45" spans="1:38" ht="26.25" x14ac:dyDescent="0.45">
      <c r="A45" s="5" t="s">
        <v>51</v>
      </c>
      <c r="B45" s="5" t="s">
        <v>72</v>
      </c>
      <c r="E45" s="19" t="s">
        <v>89</v>
      </c>
      <c r="AF45" s="5" t="s">
        <v>155</v>
      </c>
      <c r="AG45" s="5" t="s">
        <v>145</v>
      </c>
      <c r="AH45" s="5" t="s">
        <v>205</v>
      </c>
      <c r="AL45" s="4" t="s">
        <v>52</v>
      </c>
    </row>
    <row r="46" spans="1:38" ht="26.25" x14ac:dyDescent="0.45">
      <c r="A46" s="5" t="s">
        <v>51</v>
      </c>
      <c r="E46" s="19" t="s">
        <v>90</v>
      </c>
    </row>
    <row r="47" spans="1:38" x14ac:dyDescent="0.45">
      <c r="A47" s="5" t="s">
        <v>51</v>
      </c>
      <c r="E47" s="19" t="s">
        <v>91</v>
      </c>
    </row>
    <row r="48" spans="1:38" x14ac:dyDescent="0.45">
      <c r="A48" s="3" t="s">
        <v>51</v>
      </c>
    </row>
    <row r="49" spans="1:42" x14ac:dyDescent="0.45">
      <c r="A49" s="3" t="s">
        <v>51</v>
      </c>
      <c r="B49" s="3" t="s">
        <v>72</v>
      </c>
      <c r="E49" s="19" t="s">
        <v>87</v>
      </c>
      <c r="AF49" s="5" t="s">
        <v>149</v>
      </c>
      <c r="AG49" s="5" t="s">
        <v>145</v>
      </c>
      <c r="AH49" s="5" t="s">
        <v>202</v>
      </c>
      <c r="AL49" s="4" t="s">
        <v>52</v>
      </c>
    </row>
    <row r="50" spans="1:42" x14ac:dyDescent="0.45">
      <c r="A50" s="5" t="s">
        <v>51</v>
      </c>
      <c r="B50" s="5" t="s">
        <v>68</v>
      </c>
      <c r="K50" s="5" t="s">
        <v>225</v>
      </c>
      <c r="P50" s="5">
        <v>200</v>
      </c>
      <c r="Q50" s="5">
        <v>150</v>
      </c>
      <c r="W50" s="5">
        <v>180</v>
      </c>
      <c r="AG50" s="5" t="s">
        <v>145</v>
      </c>
      <c r="AN50" s="5">
        <v>30</v>
      </c>
      <c r="AO50" s="5">
        <v>60</v>
      </c>
      <c r="AP50" s="5">
        <v>40</v>
      </c>
    </row>
    <row r="51" spans="1:42" x14ac:dyDescent="0.45">
      <c r="A51" s="3" t="s">
        <v>51</v>
      </c>
      <c r="B51" s="3" t="s">
        <v>68</v>
      </c>
      <c r="K51" s="5" t="s">
        <v>226</v>
      </c>
      <c r="P51" s="5">
        <v>200</v>
      </c>
      <c r="Q51" s="5">
        <v>150</v>
      </c>
      <c r="W51" s="5">
        <v>180</v>
      </c>
      <c r="AG51" s="5" t="s">
        <v>145</v>
      </c>
      <c r="AN51" s="5">
        <v>30</v>
      </c>
      <c r="AO51" s="5">
        <v>60</v>
      </c>
      <c r="AP51" s="5">
        <v>40</v>
      </c>
    </row>
    <row r="52" spans="1:42" s="5" customFormat="1" x14ac:dyDescent="0.45">
      <c r="A52" s="5" t="s">
        <v>51</v>
      </c>
      <c r="B52" s="5" t="s">
        <v>71</v>
      </c>
      <c r="C52" s="4"/>
      <c r="D52" s="4"/>
      <c r="E52" s="19" t="s">
        <v>100</v>
      </c>
      <c r="N52" s="5">
        <v>10</v>
      </c>
      <c r="AG52" s="5" t="s">
        <v>145</v>
      </c>
      <c r="AI52" s="5" t="s">
        <v>193</v>
      </c>
      <c r="AL52" s="4" t="s">
        <v>58</v>
      </c>
    </row>
    <row r="53" spans="1:42" x14ac:dyDescent="0.45">
      <c r="A53" s="5" t="s">
        <v>51</v>
      </c>
      <c r="B53" s="3" t="s">
        <v>71</v>
      </c>
      <c r="E53" s="19" t="s">
        <v>102</v>
      </c>
      <c r="N53" s="5">
        <v>10</v>
      </c>
      <c r="AG53" s="5" t="s">
        <v>145</v>
      </c>
      <c r="AI53" s="5" t="s">
        <v>223</v>
      </c>
      <c r="AL53" s="4" t="s">
        <v>58</v>
      </c>
    </row>
    <row r="54" spans="1:42" ht="26.25" x14ac:dyDescent="0.45">
      <c r="A54" s="5" t="s">
        <v>51</v>
      </c>
      <c r="B54" s="5" t="s">
        <v>71</v>
      </c>
      <c r="E54" s="19" t="s">
        <v>103</v>
      </c>
      <c r="N54" s="5">
        <v>10</v>
      </c>
      <c r="AG54" s="5" t="s">
        <v>145</v>
      </c>
      <c r="AI54" s="5" t="s">
        <v>194</v>
      </c>
      <c r="AL54" s="4" t="s">
        <v>58</v>
      </c>
    </row>
    <row r="55" spans="1:42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145</v>
      </c>
      <c r="AI55" s="5" t="s">
        <v>195</v>
      </c>
      <c r="AL55" s="4" t="s">
        <v>58</v>
      </c>
    </row>
    <row r="56" spans="1:42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145</v>
      </c>
      <c r="AI56" s="5" t="s">
        <v>197</v>
      </c>
      <c r="AL56" s="4" t="s">
        <v>58</v>
      </c>
    </row>
    <row r="57" spans="1:42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145</v>
      </c>
      <c r="AI57" s="5" t="s">
        <v>193</v>
      </c>
      <c r="AL57" s="4" t="s">
        <v>56</v>
      </c>
    </row>
    <row r="58" spans="1:42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145</v>
      </c>
      <c r="AI58" s="5" t="s">
        <v>223</v>
      </c>
      <c r="AL58" s="4" t="s">
        <v>56</v>
      </c>
    </row>
    <row r="59" spans="1:42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145</v>
      </c>
      <c r="AI59" s="5" t="s">
        <v>194</v>
      </c>
      <c r="AL59" s="4" t="s">
        <v>56</v>
      </c>
    </row>
    <row r="60" spans="1:42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145</v>
      </c>
      <c r="AI60" s="5" t="s">
        <v>195</v>
      </c>
      <c r="AL60" s="4" t="s">
        <v>56</v>
      </c>
    </row>
    <row r="61" spans="1:42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145</v>
      </c>
      <c r="AI61" s="5" t="s">
        <v>197</v>
      </c>
      <c r="AL61" s="4" t="s">
        <v>56</v>
      </c>
    </row>
    <row r="62" spans="1:42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145</v>
      </c>
      <c r="AI62" s="5" t="s">
        <v>193</v>
      </c>
      <c r="AL62" s="4" t="s">
        <v>54</v>
      </c>
    </row>
    <row r="63" spans="1:42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145</v>
      </c>
      <c r="AI63" s="5" t="s">
        <v>223</v>
      </c>
      <c r="AL63" s="4" t="s">
        <v>54</v>
      </c>
    </row>
    <row r="64" spans="1:42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145</v>
      </c>
      <c r="AI64" s="5" t="s">
        <v>194</v>
      </c>
      <c r="AL64" s="4" t="s">
        <v>54</v>
      </c>
    </row>
    <row r="65" spans="1:38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145</v>
      </c>
      <c r="AI65" s="5" t="s">
        <v>195</v>
      </c>
      <c r="AL65" s="4" t="s">
        <v>54</v>
      </c>
    </row>
    <row r="66" spans="1:38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145</v>
      </c>
      <c r="AI66" s="5" t="s">
        <v>197</v>
      </c>
      <c r="AL66" s="4" t="s">
        <v>54</v>
      </c>
    </row>
    <row r="67" spans="1:38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145</v>
      </c>
      <c r="AI67" s="5" t="s">
        <v>193</v>
      </c>
      <c r="AL67" s="4" t="s">
        <v>57</v>
      </c>
    </row>
    <row r="68" spans="1:38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145</v>
      </c>
      <c r="AI68" s="5" t="s">
        <v>223</v>
      </c>
      <c r="AL68" s="4" t="s">
        <v>57</v>
      </c>
    </row>
    <row r="69" spans="1:38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145</v>
      </c>
      <c r="AI69" s="5" t="s">
        <v>194</v>
      </c>
      <c r="AL69" s="4" t="s">
        <v>57</v>
      </c>
    </row>
    <row r="70" spans="1:38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145</v>
      </c>
      <c r="AI70" s="5" t="s">
        <v>195</v>
      </c>
      <c r="AL70" s="4" t="s">
        <v>57</v>
      </c>
    </row>
    <row r="71" spans="1:38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145</v>
      </c>
      <c r="AI71" s="5" t="s">
        <v>197</v>
      </c>
      <c r="AL71" s="4" t="s">
        <v>57</v>
      </c>
    </row>
    <row r="72" spans="1:38" x14ac:dyDescent="0.45">
      <c r="A72" s="5" t="s">
        <v>51</v>
      </c>
    </row>
    <row r="73" spans="1:38" x14ac:dyDescent="0.45">
      <c r="A73" s="5" t="s">
        <v>51</v>
      </c>
      <c r="B73" s="5" t="s">
        <v>68</v>
      </c>
      <c r="P73" s="5">
        <v>200</v>
      </c>
      <c r="AG73" s="5" t="s">
        <v>145</v>
      </c>
      <c r="AJ73" s="10" t="s">
        <v>230</v>
      </c>
    </row>
    <row r="74" spans="1:38" x14ac:dyDescent="0.45">
      <c r="A74" s="5" t="s">
        <v>51</v>
      </c>
      <c r="B74" s="5" t="s">
        <v>68</v>
      </c>
      <c r="P74" s="5">
        <v>200</v>
      </c>
      <c r="AG74" s="5" t="s">
        <v>145</v>
      </c>
      <c r="AJ74" s="10" t="s">
        <v>231</v>
      </c>
    </row>
    <row r="75" spans="1:38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145</v>
      </c>
      <c r="AJ75" s="10" t="s">
        <v>239</v>
      </c>
    </row>
    <row r="76" spans="1:38" x14ac:dyDescent="0.45">
      <c r="A76" s="5" t="s">
        <v>51</v>
      </c>
      <c r="B76" s="5" t="s">
        <v>68</v>
      </c>
      <c r="P76" s="5">
        <v>200</v>
      </c>
      <c r="AG76" s="5" t="s">
        <v>145</v>
      </c>
      <c r="AJ76" s="10" t="s">
        <v>240</v>
      </c>
    </row>
    <row r="77" spans="1:38" x14ac:dyDescent="0.45">
      <c r="A77" s="5" t="s">
        <v>51</v>
      </c>
      <c r="AL77" s="4"/>
    </row>
    <row r="78" spans="1:38" x14ac:dyDescent="0.45">
      <c r="A78" s="5" t="s">
        <v>51</v>
      </c>
      <c r="B78" s="5" t="s">
        <v>71</v>
      </c>
      <c r="E78" s="19" t="s">
        <v>106</v>
      </c>
      <c r="N78" s="5">
        <v>30</v>
      </c>
      <c r="AF78" s="5" t="s">
        <v>149</v>
      </c>
      <c r="AL78" s="4" t="s">
        <v>54</v>
      </c>
    </row>
    <row r="79" spans="1:38" x14ac:dyDescent="0.45">
      <c r="A79" s="5" t="s">
        <v>51</v>
      </c>
      <c r="B79" s="5" t="s">
        <v>71</v>
      </c>
      <c r="E79" s="19" t="s">
        <v>106</v>
      </c>
      <c r="N79" s="5">
        <v>30</v>
      </c>
      <c r="AF79" s="5" t="s">
        <v>150</v>
      </c>
      <c r="AL79" s="4" t="s">
        <v>56</v>
      </c>
    </row>
    <row r="80" spans="1:38" x14ac:dyDescent="0.45">
      <c r="A80" s="5" t="s">
        <v>51</v>
      </c>
      <c r="B80" s="5" t="s">
        <v>71</v>
      </c>
      <c r="E80" s="19" t="s">
        <v>106</v>
      </c>
      <c r="N80" s="5">
        <v>30</v>
      </c>
      <c r="AF80" s="5" t="s">
        <v>151</v>
      </c>
      <c r="AL80" s="4" t="s">
        <v>58</v>
      </c>
    </row>
    <row r="81" spans="1:44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152</v>
      </c>
      <c r="AL81" s="4" t="s">
        <v>52</v>
      </c>
    </row>
    <row r="82" spans="1:44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153</v>
      </c>
      <c r="AL82" s="4" t="s">
        <v>57</v>
      </c>
    </row>
    <row r="83" spans="1:44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154</v>
      </c>
      <c r="AL83" s="4" t="s">
        <v>54</v>
      </c>
    </row>
    <row r="84" spans="1:44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155</v>
      </c>
      <c r="AL84" s="4" t="s">
        <v>56</v>
      </c>
    </row>
    <row r="85" spans="1:44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156</v>
      </c>
      <c r="AL85" s="4" t="s">
        <v>58</v>
      </c>
    </row>
    <row r="86" spans="1:44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157</v>
      </c>
      <c r="AL86" s="4" t="s">
        <v>52</v>
      </c>
    </row>
    <row r="87" spans="1:44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158</v>
      </c>
      <c r="AL87" s="4" t="s">
        <v>57</v>
      </c>
    </row>
    <row r="88" spans="1:44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159</v>
      </c>
      <c r="AL88" s="4" t="s">
        <v>54</v>
      </c>
    </row>
    <row r="89" spans="1:44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160</v>
      </c>
      <c r="AL89" s="4" t="s">
        <v>56</v>
      </c>
    </row>
    <row r="90" spans="1:44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161</v>
      </c>
      <c r="AL90" s="4" t="s">
        <v>58</v>
      </c>
    </row>
    <row r="91" spans="1:44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162</v>
      </c>
      <c r="AL91" s="4" t="s">
        <v>52</v>
      </c>
      <c r="AR91" s="5" t="s">
        <v>125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51" t="s">
        <v>253</v>
      </c>
    </row>
    <row r="3" spans="1:2" x14ac:dyDescent="0.45">
      <c r="A3" t="s">
        <v>250</v>
      </c>
    </row>
    <row r="4" spans="1:2" x14ac:dyDescent="0.45">
      <c r="B4" t="s">
        <v>249</v>
      </c>
    </row>
    <row r="5" spans="1:2" x14ac:dyDescent="0.45">
      <c r="A5" t="s">
        <v>270</v>
      </c>
    </row>
    <row r="6" spans="1:2" x14ac:dyDescent="0.45">
      <c r="B6" t="s">
        <v>271</v>
      </c>
    </row>
    <row r="7" spans="1:2" x14ac:dyDescent="0.45">
      <c r="A7" t="s">
        <v>272</v>
      </c>
    </row>
    <row r="8" spans="1:2" x14ac:dyDescent="0.45">
      <c r="B8" t="s">
        <v>251</v>
      </c>
    </row>
    <row r="9" spans="1:2" x14ac:dyDescent="0.45">
      <c r="A9" t="s">
        <v>273</v>
      </c>
    </row>
    <row r="10" spans="1:2" x14ac:dyDescent="0.45">
      <c r="B10" t="s">
        <v>252</v>
      </c>
    </row>
    <row r="11" spans="1:2" x14ac:dyDescent="0.45">
      <c r="A11" t="s">
        <v>274</v>
      </c>
    </row>
    <row r="12" spans="1:2" x14ac:dyDescent="0.45">
      <c r="B12" t="s">
        <v>254</v>
      </c>
    </row>
    <row r="13" spans="1:2" x14ac:dyDescent="0.45">
      <c r="B13" t="s">
        <v>255</v>
      </c>
    </row>
    <row r="14" spans="1:2" x14ac:dyDescent="0.45">
      <c r="A14" t="s">
        <v>275</v>
      </c>
    </row>
    <row r="15" spans="1:2" x14ac:dyDescent="0.45">
      <c r="B15" t="s">
        <v>256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4" sqref="B4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6"/>
  <sheetViews>
    <sheetView zoomScale="70" zoomScaleNormal="70" workbookViewId="0"/>
  </sheetViews>
  <sheetFormatPr defaultRowHeight="14.25" x14ac:dyDescent="0.45"/>
  <cols>
    <col min="1" max="1" width="22.9296875" bestFit="1" customWidth="1"/>
    <col min="2" max="2" width="9.6640625" bestFit="1" customWidth="1"/>
    <col min="3" max="3" width="10.19921875" bestFit="1" customWidth="1"/>
    <col min="4" max="4" width="15" bestFit="1" customWidth="1"/>
    <col min="5" max="5" width="16.1328125" bestFit="1" customWidth="1"/>
    <col min="7" max="7" width="22.9296875" bestFit="1" customWidth="1"/>
    <col min="8" max="8" width="13.19921875" bestFit="1" customWidth="1"/>
    <col min="9" max="9" width="12" customWidth="1"/>
    <col min="10" max="10" width="9.86328125" customWidth="1"/>
    <col min="11" max="12" width="14.53125" customWidth="1"/>
    <col min="13" max="16" width="14.1328125" customWidth="1"/>
    <col min="17" max="17" width="15.73046875" customWidth="1"/>
    <col min="18" max="18" width="14.1328125" customWidth="1"/>
    <col min="19" max="19" width="15.33203125" customWidth="1"/>
    <col min="20" max="20" width="14.1328125" customWidth="1"/>
    <col min="21" max="21" width="15.73046875" customWidth="1"/>
    <col min="23" max="23" width="22.73046875" customWidth="1"/>
    <col min="25" max="25" width="13.33203125" bestFit="1" customWidth="1"/>
    <col min="26" max="26" width="22.9296875" bestFit="1" customWidth="1"/>
    <col min="27" max="27" width="27.6640625" bestFit="1" customWidth="1"/>
  </cols>
  <sheetData>
    <row r="1" spans="1:27" x14ac:dyDescent="0.45">
      <c r="A1" s="44" t="s">
        <v>232</v>
      </c>
      <c r="B1" t="s">
        <v>201</v>
      </c>
      <c r="K1" t="s">
        <v>259</v>
      </c>
      <c r="L1" t="s">
        <v>231</v>
      </c>
      <c r="M1" t="s">
        <v>142</v>
      </c>
      <c r="N1" t="s">
        <v>230</v>
      </c>
      <c r="O1" t="s">
        <v>231</v>
      </c>
      <c r="P1" s="72" t="s">
        <v>142</v>
      </c>
      <c r="Q1" s="72"/>
      <c r="R1" s="72" t="s">
        <v>230</v>
      </c>
      <c r="S1" s="72"/>
      <c r="T1" s="72" t="s">
        <v>231</v>
      </c>
      <c r="U1" s="72"/>
      <c r="Y1" s="16" t="s">
        <v>142</v>
      </c>
      <c r="Z1" t="s">
        <v>145</v>
      </c>
    </row>
    <row r="2" spans="1:27" x14ac:dyDescent="0.45">
      <c r="A2" t="s">
        <v>146</v>
      </c>
      <c r="B2" s="52">
        <f ca="1">MAX(NETWORKDAYS($D$3,$E$6,$W$3:$W$12)/NETWORKDAYS($D$3,$E$3,$W$3:$W$12),0%)</f>
        <v>0.71551724137931039</v>
      </c>
      <c r="D2" s="30" t="s">
        <v>131</v>
      </c>
      <c r="E2" s="31" t="s">
        <v>132</v>
      </c>
      <c r="G2" s="22" t="s">
        <v>148</v>
      </c>
      <c r="H2" s="22" t="s">
        <v>131</v>
      </c>
      <c r="I2" s="22" t="s">
        <v>132</v>
      </c>
      <c r="J2" s="22" t="s">
        <v>216</v>
      </c>
      <c r="K2" s="22" t="s">
        <v>228</v>
      </c>
      <c r="L2" s="22" t="s">
        <v>228</v>
      </c>
      <c r="M2" s="22" t="s">
        <v>229</v>
      </c>
      <c r="N2" s="22" t="s">
        <v>229</v>
      </c>
      <c r="O2" s="22" t="s">
        <v>229</v>
      </c>
      <c r="P2" s="22" t="s">
        <v>247</v>
      </c>
      <c r="Q2" s="22" t="s">
        <v>248</v>
      </c>
      <c r="R2" s="22" t="s">
        <v>247</v>
      </c>
      <c r="S2" s="22" t="s">
        <v>248</v>
      </c>
      <c r="T2" s="22" t="s">
        <v>247</v>
      </c>
      <c r="U2" s="22" t="s">
        <v>248</v>
      </c>
      <c r="W2" s="27" t="s">
        <v>215</v>
      </c>
      <c r="Y2" s="16" t="s">
        <v>9</v>
      </c>
      <c r="Z2" t="s">
        <v>68</v>
      </c>
    </row>
    <row r="3" spans="1:27" x14ac:dyDescent="0.45">
      <c r="A3" t="s">
        <v>147</v>
      </c>
      <c r="B3" s="32">
        <f ca="1">MAX(100%,B2)-B2</f>
        <v>0.28448275862068961</v>
      </c>
      <c r="D3" s="28">
        <v>43201</v>
      </c>
      <c r="E3" s="29">
        <v>43375</v>
      </c>
      <c r="J3" s="37"/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46">
        <f t="shared" ref="P3:P17" si="0">2380*(100%-K3)</f>
        <v>2380</v>
      </c>
      <c r="Q3" s="46">
        <v>2023</v>
      </c>
      <c r="R3" s="46">
        <f>1400*(100%-K3)</f>
        <v>1400</v>
      </c>
      <c r="S3" s="46">
        <v>918</v>
      </c>
      <c r="T3" s="46">
        <f t="shared" ref="T3:T17" si="1">700*(100%-L3)</f>
        <v>700</v>
      </c>
      <c r="U3" s="46">
        <v>575</v>
      </c>
      <c r="W3" s="27">
        <v>43292</v>
      </c>
    </row>
    <row r="4" spans="1:27" x14ac:dyDescent="0.45">
      <c r="D4" s="53"/>
      <c r="E4" s="54">
        <v>43354</v>
      </c>
      <c r="G4" s="23" t="s">
        <v>149</v>
      </c>
      <c r="H4" s="24">
        <v>43201</v>
      </c>
      <c r="I4" s="24">
        <v>43207</v>
      </c>
      <c r="J4" s="38">
        <f t="shared" ref="J4:J17" si="2">NETWORKDAYS(H4,I4,$W$3:$W$12)</f>
        <v>5</v>
      </c>
      <c r="K4" s="40">
        <f>SUM($J$4:J4)/SUM($J$4:$J$17)</f>
        <v>4.3103448275862072E-2</v>
      </c>
      <c r="L4" s="40">
        <f>SUM($J$4:J4)/SUM($J$4:$J$17)</f>
        <v>4.3103448275862072E-2</v>
      </c>
      <c r="M4" s="43">
        <v>4.8099999999999997E-2</v>
      </c>
      <c r="N4" s="43">
        <v>3.9899999999999998E-2</v>
      </c>
      <c r="O4" s="45">
        <v>6.0299999999999999E-2</v>
      </c>
      <c r="P4" s="46">
        <f t="shared" si="0"/>
        <v>2277.4137931034484</v>
      </c>
      <c r="Q4" s="46">
        <v>2324.5</v>
      </c>
      <c r="R4" s="50">
        <f t="shared" ref="R4:R17" si="3">1400*(100%-K4)</f>
        <v>1339.655172413793</v>
      </c>
      <c r="S4" s="46">
        <v>1274</v>
      </c>
      <c r="T4" s="46">
        <f t="shared" si="1"/>
        <v>669.82758620689651</v>
      </c>
      <c r="U4" s="46">
        <v>654</v>
      </c>
      <c r="W4" s="27">
        <v>43293</v>
      </c>
      <c r="Y4" s="16" t="s">
        <v>163</v>
      </c>
      <c r="Z4" t="s">
        <v>118</v>
      </c>
      <c r="AA4" t="s">
        <v>117</v>
      </c>
    </row>
    <row r="5" spans="1:27" x14ac:dyDescent="0.45">
      <c r="A5" s="44" t="s">
        <v>142</v>
      </c>
      <c r="D5" t="s">
        <v>237</v>
      </c>
      <c r="E5" s="27" t="s">
        <v>235</v>
      </c>
      <c r="G5" s="23" t="s">
        <v>150</v>
      </c>
      <c r="H5" s="24">
        <f>I4+1</f>
        <v>43208</v>
      </c>
      <c r="I5" s="24">
        <f>I4+14</f>
        <v>43221</v>
      </c>
      <c r="J5" s="38">
        <f t="shared" si="2"/>
        <v>10</v>
      </c>
      <c r="K5" s="40">
        <f>SUM($J$4:J5)/SUM($J$4:$J$17)</f>
        <v>0.12931034482758622</v>
      </c>
      <c r="L5" s="40">
        <f>SUM($J$4:J5)/SUM($J$4:$J$17)</f>
        <v>0.12931034482758622</v>
      </c>
      <c r="M5" s="43">
        <v>0.12559999999999999</v>
      </c>
      <c r="N5" s="43">
        <v>7.6499999999999999E-2</v>
      </c>
      <c r="O5" s="43">
        <v>0.18529999999999999</v>
      </c>
      <c r="P5" s="46">
        <f t="shared" si="0"/>
        <v>2072.2413793103447</v>
      </c>
      <c r="Q5" s="46">
        <v>2399.3000000000002</v>
      </c>
      <c r="R5" s="50">
        <f t="shared" si="3"/>
        <v>1218.9655172413793</v>
      </c>
      <c r="S5" s="46">
        <v>1544.3</v>
      </c>
      <c r="T5" s="46">
        <f t="shared" si="1"/>
        <v>609.48275862068965</v>
      </c>
      <c r="U5" s="46">
        <v>525.5</v>
      </c>
      <c r="W5" s="27">
        <v>43294</v>
      </c>
      <c r="Y5" s="17" t="s">
        <v>238</v>
      </c>
      <c r="Z5" s="20">
        <v>800</v>
      </c>
      <c r="AA5" s="20"/>
    </row>
    <row r="6" spans="1:27" x14ac:dyDescent="0.45">
      <c r="A6" t="s">
        <v>146</v>
      </c>
      <c r="B6" s="52">
        <f>100%-GETPIVOTDATA("Epic Remaining Estimate",$Y$4)/GETPIVOTDATA("Epic Total Estimate",$Y$4)</f>
        <v>0.75</v>
      </c>
      <c r="C6" s="21"/>
      <c r="D6" s="21" t="s">
        <v>236</v>
      </c>
      <c r="E6" s="27">
        <f ca="1">TODAY()</f>
        <v>43327</v>
      </c>
      <c r="G6" s="23" t="s">
        <v>151</v>
      </c>
      <c r="H6" s="24">
        <f>I5+1</f>
        <v>43222</v>
      </c>
      <c r="I6" s="24">
        <f>I5+14</f>
        <v>43235</v>
      </c>
      <c r="J6" s="38">
        <f t="shared" si="2"/>
        <v>10</v>
      </c>
      <c r="K6" s="40">
        <f>SUM($J$4:J6)/SUM($J$4:$J$17)</f>
        <v>0.21551724137931033</v>
      </c>
      <c r="L6" s="40">
        <f>SUM($J$4:J6)/SUM($J$4:$J$17)</f>
        <v>0.21551724137931033</v>
      </c>
      <c r="M6" s="43">
        <v>0.2291</v>
      </c>
      <c r="N6" s="43">
        <v>0.14299999999999999</v>
      </c>
      <c r="O6" s="43">
        <v>0.30580000000000002</v>
      </c>
      <c r="P6" s="46">
        <f t="shared" si="0"/>
        <v>1867.0689655172416</v>
      </c>
      <c r="Q6" s="47">
        <v>1859.5</v>
      </c>
      <c r="R6" s="50">
        <f t="shared" si="3"/>
        <v>1098.2758620689656</v>
      </c>
      <c r="S6" s="47">
        <v>1267.5</v>
      </c>
      <c r="T6" s="46">
        <f t="shared" si="1"/>
        <v>549.13793103448279</v>
      </c>
      <c r="U6" s="47">
        <v>462</v>
      </c>
      <c r="W6" s="27">
        <v>43297</v>
      </c>
      <c r="Y6" s="17" t="s">
        <v>225</v>
      </c>
      <c r="Z6" s="20">
        <v>200</v>
      </c>
      <c r="AA6" s="20">
        <v>150</v>
      </c>
    </row>
    <row r="7" spans="1:27" x14ac:dyDescent="0.45">
      <c r="A7" t="s">
        <v>147</v>
      </c>
      <c r="B7" s="32">
        <f>MAX(100%,B6)-B6</f>
        <v>0.25</v>
      </c>
      <c r="D7" s="21"/>
      <c r="E7" s="20"/>
      <c r="G7" s="23" t="s">
        <v>152</v>
      </c>
      <c r="H7" s="24">
        <f t="shared" ref="H7:H17" si="4">I6+1</f>
        <v>43236</v>
      </c>
      <c r="I7" s="24">
        <f t="shared" ref="I7:I16" si="5">I6+14</f>
        <v>43249</v>
      </c>
      <c r="J7" s="38">
        <f t="shared" si="2"/>
        <v>9</v>
      </c>
      <c r="K7" s="40">
        <f>SUM($J$4:J7)/SUM($J$4:$J$17)</f>
        <v>0.29310344827586204</v>
      </c>
      <c r="L7" s="40">
        <f>SUM($J$4:J7)/SUM($J$4:$J$17)</f>
        <v>0.29310344827586204</v>
      </c>
      <c r="M7" s="43">
        <v>0.28570000000000001</v>
      </c>
      <c r="N7" s="43">
        <v>0.1867</v>
      </c>
      <c r="O7" s="43">
        <v>0.376</v>
      </c>
      <c r="P7" s="46">
        <f t="shared" si="0"/>
        <v>1682.4137931034481</v>
      </c>
      <c r="Q7" s="47">
        <v>1741</v>
      </c>
      <c r="R7" s="50">
        <f t="shared" si="3"/>
        <v>989.65517241379303</v>
      </c>
      <c r="S7" s="47">
        <v>1161</v>
      </c>
      <c r="T7" s="46">
        <f t="shared" si="1"/>
        <v>494.82758620689651</v>
      </c>
      <c r="U7" s="47">
        <v>458</v>
      </c>
      <c r="W7" s="34">
        <v>43298</v>
      </c>
      <c r="Y7" s="17" t="s">
        <v>226</v>
      </c>
      <c r="Z7" s="20">
        <v>200</v>
      </c>
      <c r="AA7" s="20">
        <v>150</v>
      </c>
    </row>
    <row r="8" spans="1:27" x14ac:dyDescent="0.45">
      <c r="B8" s="21"/>
      <c r="C8" s="21"/>
      <c r="G8" s="23" t="s">
        <v>153</v>
      </c>
      <c r="H8" s="24">
        <f t="shared" si="4"/>
        <v>43250</v>
      </c>
      <c r="I8" s="24">
        <f t="shared" si="5"/>
        <v>43263</v>
      </c>
      <c r="J8" s="38">
        <f t="shared" si="2"/>
        <v>10</v>
      </c>
      <c r="K8" s="40">
        <f>SUM($J$4:J8)/SUM($J$4:$J$17)</f>
        <v>0.37931034482758619</v>
      </c>
      <c r="L8" s="40">
        <f>SUM($J$4:J8)/SUM($J$4:$J$17)</f>
        <v>0.37931034482758619</v>
      </c>
      <c r="M8" s="43">
        <v>0.35149999999999998</v>
      </c>
      <c r="N8" s="43">
        <v>0.26279999999999998</v>
      </c>
      <c r="O8" s="43">
        <v>0.43969999999999998</v>
      </c>
      <c r="P8" s="46">
        <f t="shared" si="0"/>
        <v>1477.2413793103449</v>
      </c>
      <c r="Q8" s="47">
        <v>1597</v>
      </c>
      <c r="R8" s="50">
        <f t="shared" si="3"/>
        <v>868.9655172413793</v>
      </c>
      <c r="S8" s="47">
        <v>1032.5</v>
      </c>
      <c r="T8" s="46">
        <f t="shared" si="1"/>
        <v>434.48275862068965</v>
      </c>
      <c r="U8" s="47">
        <v>427.5</v>
      </c>
      <c r="W8" s="35">
        <v>43241</v>
      </c>
      <c r="Y8" s="17" t="s">
        <v>50</v>
      </c>
      <c r="Z8" s="20">
        <v>1200</v>
      </c>
      <c r="AA8" s="20">
        <v>300</v>
      </c>
    </row>
    <row r="9" spans="1:27" x14ac:dyDescent="0.45">
      <c r="A9" s="44" t="s">
        <v>230</v>
      </c>
      <c r="B9" s="21"/>
      <c r="C9" s="21"/>
      <c r="D9" s="21"/>
      <c r="G9" s="23" t="s">
        <v>154</v>
      </c>
      <c r="H9" s="24">
        <f t="shared" si="4"/>
        <v>43264</v>
      </c>
      <c r="I9" s="24">
        <f t="shared" si="5"/>
        <v>43277</v>
      </c>
      <c r="J9" s="38">
        <f t="shared" si="2"/>
        <v>10</v>
      </c>
      <c r="K9" s="40">
        <f>SUM($J$4:J9)/SUM($J$4:$J$17)</f>
        <v>0.46551724137931033</v>
      </c>
      <c r="L9" s="40">
        <f>SUM($J$4:J9)/SUM($J$4:$J$17)</f>
        <v>0.46551724137931033</v>
      </c>
      <c r="M9" s="43">
        <v>0.47520000000000001</v>
      </c>
      <c r="N9" s="43">
        <v>0.3755</v>
      </c>
      <c r="O9" s="43">
        <v>0.57920000000000005</v>
      </c>
      <c r="P9" s="46">
        <f t="shared" si="0"/>
        <v>1272.0689655172416</v>
      </c>
      <c r="Q9" s="47">
        <v>1184.5</v>
      </c>
      <c r="R9" s="50">
        <f t="shared" ref="R9" si="6">1400*(100%-K9)</f>
        <v>748.27586206896558</v>
      </c>
      <c r="S9" s="47">
        <v>743.5</v>
      </c>
      <c r="T9" s="46">
        <f t="shared" si="1"/>
        <v>374.13793103448279</v>
      </c>
      <c r="U9" s="47">
        <v>321.5</v>
      </c>
      <c r="W9" s="35">
        <v>43283</v>
      </c>
    </row>
    <row r="10" spans="1:27" x14ac:dyDescent="0.45">
      <c r="A10" t="s">
        <v>146</v>
      </c>
      <c r="B10" s="52">
        <f>100%-GETPIVOTDATA("Epic Remaining Estimate",$Y$4,"ST:Components","Diagram Editor")/GETPIVOTDATA("Epic Total Estimate",$Y$4,"ST:Components","Diagram Editor")</f>
        <v>0.25</v>
      </c>
      <c r="G10" s="23" t="s">
        <v>155</v>
      </c>
      <c r="H10" s="24">
        <f>I9+1</f>
        <v>43278</v>
      </c>
      <c r="I10" s="24">
        <f>I9+14</f>
        <v>43291</v>
      </c>
      <c r="J10" s="38">
        <f t="shared" si="2"/>
        <v>9</v>
      </c>
      <c r="K10" s="40">
        <f>SUM($J$4:J10)/SUM($J$4:$J$17)</f>
        <v>0.5431034482758621</v>
      </c>
      <c r="L10" s="40">
        <f>SUM($J$4:J10)/SUM($J$4:$J$17)</f>
        <v>0.5431034482758621</v>
      </c>
      <c r="M10" s="43">
        <v>0.55800000000000005</v>
      </c>
      <c r="N10" s="43">
        <v>0.45860000000000001</v>
      </c>
      <c r="O10" s="43">
        <v>0.67889999999999995</v>
      </c>
      <c r="P10" s="46">
        <f t="shared" si="0"/>
        <v>1087.4137931034481</v>
      </c>
      <c r="Q10" s="47">
        <v>1001</v>
      </c>
      <c r="R10" s="50">
        <f t="shared" si="3"/>
        <v>639.65517241379303</v>
      </c>
      <c r="S10" s="47">
        <v>634</v>
      </c>
      <c r="T10" s="46">
        <f t="shared" si="1"/>
        <v>319.82758620689651</v>
      </c>
      <c r="U10" s="47">
        <v>249.5</v>
      </c>
      <c r="W10" s="35">
        <v>43318</v>
      </c>
    </row>
    <row r="11" spans="1:27" x14ac:dyDescent="0.45">
      <c r="A11" t="s">
        <v>147</v>
      </c>
      <c r="B11" s="32">
        <f>MAX(100%,B10)-B10</f>
        <v>0.75</v>
      </c>
      <c r="G11" s="23" t="s">
        <v>156</v>
      </c>
      <c r="H11" s="24">
        <f t="shared" si="4"/>
        <v>43292</v>
      </c>
      <c r="I11" s="24">
        <f>I10+7</f>
        <v>43298</v>
      </c>
      <c r="J11" s="38">
        <f t="shared" si="2"/>
        <v>0</v>
      </c>
      <c r="K11" s="40">
        <f>SUM($J$4:J11)/SUM($J$4:$J$17)</f>
        <v>0.5431034482758621</v>
      </c>
      <c r="L11" s="40">
        <f>SUM($J$4:J11)/SUM($J$4:$J$17)</f>
        <v>0.5431034482758621</v>
      </c>
      <c r="M11" s="43">
        <v>0.59019999999999995</v>
      </c>
      <c r="N11" s="43">
        <v>0.52400000000000002</v>
      </c>
      <c r="O11" s="43">
        <v>0.67030000000000001</v>
      </c>
      <c r="P11" s="46">
        <f t="shared" si="0"/>
        <v>1087.4137931034481</v>
      </c>
      <c r="Q11" s="47">
        <v>910</v>
      </c>
      <c r="R11" s="50">
        <f t="shared" si="3"/>
        <v>639.65517241379303</v>
      </c>
      <c r="S11" s="47">
        <v>526.5</v>
      </c>
      <c r="T11" s="46">
        <f t="shared" si="1"/>
        <v>319.82758620689651</v>
      </c>
      <c r="U11" s="47">
        <v>259.5</v>
      </c>
      <c r="W11" s="35">
        <v>43346</v>
      </c>
    </row>
    <row r="12" spans="1:27" x14ac:dyDescent="0.45">
      <c r="G12" s="23" t="s">
        <v>157</v>
      </c>
      <c r="H12" s="24">
        <f t="shared" si="4"/>
        <v>43299</v>
      </c>
      <c r="I12" s="24">
        <f t="shared" si="5"/>
        <v>43312</v>
      </c>
      <c r="J12" s="38">
        <f t="shared" si="2"/>
        <v>10</v>
      </c>
      <c r="K12" s="40">
        <f>SUM($J$4:J12)/SUM($J$4:$J$17)</f>
        <v>0.62931034482758619</v>
      </c>
      <c r="L12" s="40">
        <f>SUM($J$4:J12)/SUM($J$4:$J$17)</f>
        <v>0.62931034482758619</v>
      </c>
      <c r="M12" s="43">
        <v>0.65620000000000001</v>
      </c>
      <c r="N12" s="43">
        <v>0.62719999999999998</v>
      </c>
      <c r="O12" s="43">
        <v>0.70540000000000003</v>
      </c>
      <c r="P12" s="46">
        <f t="shared" si="0"/>
        <v>882.24137931034488</v>
      </c>
      <c r="Q12" s="47">
        <v>793</v>
      </c>
      <c r="R12" s="50">
        <f t="shared" si="3"/>
        <v>518.9655172413793</v>
      </c>
      <c r="S12" s="47">
        <v>401.5</v>
      </c>
      <c r="T12" s="46">
        <f t="shared" si="1"/>
        <v>259.48275862068965</v>
      </c>
      <c r="U12" s="47">
        <v>257</v>
      </c>
      <c r="W12" s="35">
        <v>43381</v>
      </c>
    </row>
    <row r="13" spans="1:27" x14ac:dyDescent="0.45">
      <c r="A13" s="44" t="s">
        <v>231</v>
      </c>
      <c r="G13" s="23" t="s">
        <v>158</v>
      </c>
      <c r="H13" s="24">
        <f t="shared" si="4"/>
        <v>43313</v>
      </c>
      <c r="I13" s="24">
        <f t="shared" si="5"/>
        <v>43326</v>
      </c>
      <c r="J13" s="38">
        <f t="shared" si="2"/>
        <v>9</v>
      </c>
      <c r="K13" s="40">
        <f>SUM($J$4:J13)/SUM($J$4:$J$17)</f>
        <v>0.7068965517241379</v>
      </c>
      <c r="L13" s="40">
        <f>SUM($J$4:J13)/SUM($J$4:$J$17)</f>
        <v>0.7068965517241379</v>
      </c>
      <c r="M13" s="43">
        <v>0.70169999999999999</v>
      </c>
      <c r="N13" s="43">
        <v>0.7147</v>
      </c>
      <c r="O13" s="43">
        <v>0.73460000000000003</v>
      </c>
      <c r="P13" s="46">
        <f t="shared" si="0"/>
        <v>697.58620689655174</v>
      </c>
      <c r="Q13" s="47">
        <v>725.5</v>
      </c>
      <c r="R13" s="50">
        <f t="shared" si="3"/>
        <v>410.34482758620692</v>
      </c>
      <c r="S13" s="47">
        <v>310</v>
      </c>
      <c r="T13" s="46">
        <f t="shared" si="1"/>
        <v>205.17241379310346</v>
      </c>
      <c r="U13" s="47">
        <v>250.5</v>
      </c>
    </row>
    <row r="14" spans="1:27" x14ac:dyDescent="0.45">
      <c r="A14" t="s">
        <v>146</v>
      </c>
      <c r="B14" s="52">
        <f>100%-GETPIVOTDATA("Epic Remaining Estimate",$Y$4,"ST:Components","Artifact List")/GETPIVOTDATA("Epic Total Estimate",$Y$4,"ST:Components","Artifact List")</f>
        <v>0.25</v>
      </c>
      <c r="G14" s="23" t="s">
        <v>159</v>
      </c>
      <c r="H14" s="24">
        <f t="shared" si="4"/>
        <v>43327</v>
      </c>
      <c r="I14" s="24">
        <f t="shared" si="5"/>
        <v>43340</v>
      </c>
      <c r="J14" s="38">
        <f t="shared" si="2"/>
        <v>10</v>
      </c>
      <c r="K14" s="40">
        <f>SUM($J$4:J14)/SUM($J$4:$J$17)</f>
        <v>0.7931034482758621</v>
      </c>
      <c r="L14" s="40">
        <f>SUM($J$4:J14)/SUM($J$4:$J$17)</f>
        <v>0.7931034482758621</v>
      </c>
      <c r="M14" s="43">
        <f>100%-GETPIVOTDATA("Epic Remaining Estimate",$Y$4)/GETPIVOTDATA("Epic Total Estimate",$Y$4)</f>
        <v>0.75</v>
      </c>
      <c r="N14" s="43">
        <f>100%-GETPIVOTDATA("Epic Remaining Estimate",$Y$4,"ST:Components","Diagram Editor")/GETPIVOTDATA("Epic Total Estimate",$Y$4,"ST:Components","Diagram Editor")</f>
        <v>0.25</v>
      </c>
      <c r="O14" s="43">
        <f>100%-GETPIVOTDATA("Epic Remaining Estimate",$Y$4,"ST:Components","Artifact List")/GETPIVOTDATA("Epic Total Estimate",$Y$4,"ST:Components","Artifact List")</f>
        <v>0.25</v>
      </c>
      <c r="P14" s="46">
        <f t="shared" si="0"/>
        <v>492.4137931034482</v>
      </c>
      <c r="Q14" s="47">
        <f>GETPIVOTDATA("Epic Remaining Estimate",$Y$4)</f>
        <v>300</v>
      </c>
      <c r="R14" s="50">
        <f t="shared" si="3"/>
        <v>289.65517241379308</v>
      </c>
      <c r="S14" s="47">
        <f>GETPIVOTDATA("Epic Remaining Estimate",$Y$4,"ST:Components","Diagram Editor")</f>
        <v>150</v>
      </c>
      <c r="T14" s="46">
        <f t="shared" si="1"/>
        <v>144.82758620689654</v>
      </c>
      <c r="U14" s="47">
        <f>GETPIVOTDATA("Epic Remaining Estimate",$Y$4,"ST:Components","Artifact List")</f>
        <v>150</v>
      </c>
    </row>
    <row r="15" spans="1:27" x14ac:dyDescent="0.45">
      <c r="A15" t="s">
        <v>147</v>
      </c>
      <c r="B15" s="32">
        <f>MAX(100%,B14)-B14</f>
        <v>0.75</v>
      </c>
      <c r="G15" s="23" t="s">
        <v>160</v>
      </c>
      <c r="H15" s="24">
        <f t="shared" si="4"/>
        <v>43341</v>
      </c>
      <c r="I15" s="24">
        <f t="shared" si="5"/>
        <v>43354</v>
      </c>
      <c r="J15" s="38">
        <f t="shared" si="2"/>
        <v>9</v>
      </c>
      <c r="K15" s="40">
        <f>SUM($J$4:J15)/SUM($J$4:$J$17)</f>
        <v>0.87068965517241381</v>
      </c>
      <c r="L15" s="40">
        <f>SUM($J$4:J15)/SUM($J$4:$J$17)</f>
        <v>0.87068965517241381</v>
      </c>
      <c r="M15" s="40"/>
      <c r="N15" s="40"/>
      <c r="O15" s="40"/>
      <c r="P15" s="46">
        <f t="shared" si="0"/>
        <v>307.75862068965512</v>
      </c>
      <c r="Q15" s="47"/>
      <c r="R15" s="50">
        <f t="shared" si="3"/>
        <v>181.03448275862067</v>
      </c>
      <c r="S15" s="47"/>
      <c r="T15" s="46">
        <f t="shared" si="1"/>
        <v>90.517241379310335</v>
      </c>
      <c r="U15" s="47"/>
    </row>
    <row r="16" spans="1:27" x14ac:dyDescent="0.45">
      <c r="G16" s="23" t="s">
        <v>161</v>
      </c>
      <c r="H16" s="24">
        <f t="shared" si="4"/>
        <v>43355</v>
      </c>
      <c r="I16" s="24">
        <f t="shared" si="5"/>
        <v>43368</v>
      </c>
      <c r="J16" s="38">
        <f t="shared" si="2"/>
        <v>10</v>
      </c>
      <c r="K16" s="40">
        <f>SUM($J$4:J16)/SUM($J$4:$J$17)</f>
        <v>0.9568965517241379</v>
      </c>
      <c r="L16" s="40">
        <f>SUM($J$4:J16)/SUM($J$4:$J$17)</f>
        <v>0.9568965517241379</v>
      </c>
      <c r="M16" s="40"/>
      <c r="N16" s="40"/>
      <c r="O16" s="40"/>
      <c r="P16" s="46">
        <f t="shared" si="0"/>
        <v>102.5862068965518</v>
      </c>
      <c r="Q16" s="47"/>
      <c r="R16" s="50">
        <f t="shared" si="3"/>
        <v>60.344827586206939</v>
      </c>
      <c r="S16" s="47"/>
      <c r="T16" s="46">
        <f t="shared" si="1"/>
        <v>30.17241379310347</v>
      </c>
      <c r="U16" s="47"/>
    </row>
    <row r="17" spans="1:21" x14ac:dyDescent="0.45">
      <c r="A17" s="44" t="s">
        <v>257</v>
      </c>
      <c r="B17" s="44" t="s">
        <v>258</v>
      </c>
      <c r="G17" s="25" t="s">
        <v>162</v>
      </c>
      <c r="H17" s="26">
        <f t="shared" si="4"/>
        <v>43369</v>
      </c>
      <c r="I17" s="26">
        <f>I16+7</f>
        <v>43375</v>
      </c>
      <c r="J17" s="39">
        <f t="shared" si="2"/>
        <v>5</v>
      </c>
      <c r="K17" s="41">
        <f>SUM($J$4:J17)/SUM($J$4:$J$17)</f>
        <v>1</v>
      </c>
      <c r="L17" s="41">
        <f>SUM($J$4:J17)/SUM($J$4:$J$17)</f>
        <v>1</v>
      </c>
      <c r="M17" s="41"/>
      <c r="N17" s="41"/>
      <c r="O17" s="41"/>
      <c r="P17" s="49">
        <f t="shared" si="0"/>
        <v>0</v>
      </c>
      <c r="Q17" s="48"/>
      <c r="R17" s="49">
        <f t="shared" si="3"/>
        <v>0</v>
      </c>
      <c r="S17" s="48"/>
      <c r="T17" s="49">
        <f t="shared" si="1"/>
        <v>0</v>
      </c>
      <c r="U17" s="48"/>
    </row>
    <row r="18" spans="1:21" x14ac:dyDescent="0.45">
      <c r="A18" t="s">
        <v>146</v>
      </c>
      <c r="B18" s="52">
        <f ca="1">MAX(NETWORKDAYS($D$3,$E$6,$W$3:$W$12)/NETWORKDAYS($D$3,$E$3,$W$3:$W$12),0%)</f>
        <v>0.71551724137931039</v>
      </c>
    </row>
    <row r="19" spans="1:21" x14ac:dyDescent="0.45">
      <c r="A19" t="s">
        <v>147</v>
      </c>
      <c r="B19" s="32">
        <f ca="1">MAX(100%,B18)-B18</f>
        <v>0.28448275862068961</v>
      </c>
    </row>
    <row r="20" spans="1:21" x14ac:dyDescent="0.45">
      <c r="D20" s="16" t="s">
        <v>142</v>
      </c>
      <c r="E20" t="s">
        <v>145</v>
      </c>
      <c r="G20" s="16" t="s">
        <v>142</v>
      </c>
      <c r="H20" t="s">
        <v>145</v>
      </c>
    </row>
    <row r="21" spans="1:21" x14ac:dyDescent="0.45">
      <c r="A21" s="16" t="s">
        <v>142</v>
      </c>
      <c r="B21" t="s">
        <v>145</v>
      </c>
      <c r="C21" s="42"/>
      <c r="D21" s="16" t="s">
        <v>9</v>
      </c>
      <c r="E21" t="s">
        <v>68</v>
      </c>
      <c r="G21" s="16" t="s">
        <v>9</v>
      </c>
      <c r="H21" t="s">
        <v>68</v>
      </c>
    </row>
    <row r="22" spans="1:21" x14ac:dyDescent="0.45">
      <c r="A22" s="16" t="s">
        <v>9</v>
      </c>
      <c r="B22" t="s">
        <v>68</v>
      </c>
      <c r="D22" s="16" t="s">
        <v>20</v>
      </c>
      <c r="E22" t="s">
        <v>226</v>
      </c>
      <c r="G22" s="16" t="s">
        <v>20</v>
      </c>
      <c r="H22" t="s">
        <v>225</v>
      </c>
    </row>
    <row r="24" spans="1:21" x14ac:dyDescent="0.45">
      <c r="A24" s="16" t="s">
        <v>220</v>
      </c>
      <c r="D24" s="16" t="s">
        <v>220</v>
      </c>
      <c r="G24" s="16" t="s">
        <v>220</v>
      </c>
    </row>
    <row r="25" spans="1:21" x14ac:dyDescent="0.45">
      <c r="A25" s="17" t="s">
        <v>221</v>
      </c>
      <c r="B25" s="20">
        <v>900</v>
      </c>
      <c r="D25" s="17" t="s">
        <v>221</v>
      </c>
      <c r="E25" s="20">
        <v>50</v>
      </c>
      <c r="G25" s="17" t="s">
        <v>221</v>
      </c>
      <c r="H25" s="20">
        <v>50</v>
      </c>
    </row>
    <row r="26" spans="1:21" x14ac:dyDescent="0.45">
      <c r="A26" s="17" t="s">
        <v>222</v>
      </c>
      <c r="B26" s="20">
        <v>80</v>
      </c>
      <c r="D26" s="17" t="s">
        <v>222</v>
      </c>
      <c r="E26" s="20">
        <v>40</v>
      </c>
      <c r="G26" s="17" t="s">
        <v>222</v>
      </c>
      <c r="H26" s="20">
        <v>40</v>
      </c>
    </row>
    <row r="27" spans="1:21" x14ac:dyDescent="0.45">
      <c r="A27" s="17" t="s">
        <v>194</v>
      </c>
      <c r="B27" s="20">
        <v>120</v>
      </c>
      <c r="D27" s="17" t="s">
        <v>194</v>
      </c>
      <c r="E27" s="20">
        <v>60</v>
      </c>
      <c r="G27" s="17" t="s">
        <v>194</v>
      </c>
      <c r="H27" s="20">
        <v>60</v>
      </c>
    </row>
    <row r="28" spans="1:21" x14ac:dyDescent="0.45">
      <c r="A28" s="17" t="s">
        <v>223</v>
      </c>
      <c r="B28" s="20">
        <v>60</v>
      </c>
      <c r="D28" s="17" t="s">
        <v>223</v>
      </c>
      <c r="E28" s="20">
        <v>30</v>
      </c>
      <c r="G28" s="17" t="s">
        <v>223</v>
      </c>
      <c r="H28" s="20">
        <v>30</v>
      </c>
    </row>
    <row r="29" spans="1:21" x14ac:dyDescent="0.45">
      <c r="A29" s="17" t="s">
        <v>224</v>
      </c>
      <c r="B29" s="20">
        <v>840</v>
      </c>
      <c r="D29" s="17" t="s">
        <v>224</v>
      </c>
      <c r="E29" s="20">
        <v>20</v>
      </c>
      <c r="G29" s="17" t="s">
        <v>224</v>
      </c>
      <c r="H29" s="20">
        <v>20</v>
      </c>
    </row>
    <row r="31" spans="1:21" x14ac:dyDescent="0.45">
      <c r="A31" s="16" t="s">
        <v>142</v>
      </c>
      <c r="B31" t="s">
        <v>145</v>
      </c>
      <c r="D31" s="16" t="s">
        <v>142</v>
      </c>
      <c r="E31" t="s">
        <v>145</v>
      </c>
      <c r="G31" s="16" t="s">
        <v>142</v>
      </c>
      <c r="H31" t="s">
        <v>145</v>
      </c>
    </row>
    <row r="32" spans="1:21" x14ac:dyDescent="0.45">
      <c r="A32" s="16" t="s">
        <v>9</v>
      </c>
      <c r="B32" t="s">
        <v>68</v>
      </c>
      <c r="D32" s="16" t="s">
        <v>9</v>
      </c>
      <c r="E32" t="s">
        <v>68</v>
      </c>
      <c r="G32" s="16" t="s">
        <v>9</v>
      </c>
      <c r="H32" t="s">
        <v>68</v>
      </c>
    </row>
    <row r="33" spans="1:8" x14ac:dyDescent="0.45">
      <c r="D33" s="16" t="s">
        <v>20</v>
      </c>
      <c r="E33" t="s">
        <v>226</v>
      </c>
      <c r="G33" s="16" t="s">
        <v>20</v>
      </c>
      <c r="H33" t="s">
        <v>225</v>
      </c>
    </row>
    <row r="34" spans="1:8" x14ac:dyDescent="0.45">
      <c r="A34" t="s">
        <v>118</v>
      </c>
    </row>
    <row r="35" spans="1:8" x14ac:dyDescent="0.45">
      <c r="A35" s="20">
        <v>1200</v>
      </c>
      <c r="B35">
        <f>SUM(B25:B29)</f>
        <v>2000</v>
      </c>
      <c r="D35" t="s">
        <v>118</v>
      </c>
      <c r="G35" t="s">
        <v>118</v>
      </c>
    </row>
    <row r="36" spans="1:8" x14ac:dyDescent="0.45">
      <c r="D36" s="20">
        <v>200</v>
      </c>
      <c r="E36">
        <f>SUM(E25:E29)</f>
        <v>200</v>
      </c>
      <c r="G36" s="20">
        <v>200</v>
      </c>
      <c r="H36">
        <f>SUM(H25:H29)</f>
        <v>200</v>
      </c>
    </row>
    <row r="37" spans="1:8" x14ac:dyDescent="0.45">
      <c r="D37" s="20"/>
      <c r="G37" s="20"/>
    </row>
    <row r="38" spans="1:8" x14ac:dyDescent="0.45">
      <c r="D38" s="20"/>
      <c r="G38" s="20"/>
    </row>
    <row r="39" spans="1:8" x14ac:dyDescent="0.45">
      <c r="D39" s="20"/>
      <c r="G39" s="20"/>
    </row>
    <row r="40" spans="1:8" x14ac:dyDescent="0.45">
      <c r="D40" s="20"/>
      <c r="G40" s="20"/>
    </row>
    <row r="41" spans="1:8" x14ac:dyDescent="0.45">
      <c r="D41" s="20"/>
      <c r="G41" s="20"/>
    </row>
    <row r="42" spans="1:8" x14ac:dyDescent="0.45">
      <c r="D42" s="20"/>
      <c r="G42" s="20"/>
    </row>
    <row r="43" spans="1:8" x14ac:dyDescent="0.45">
      <c r="D43" s="20"/>
      <c r="G43" s="20"/>
    </row>
    <row r="44" spans="1:8" x14ac:dyDescent="0.45">
      <c r="D44" s="20"/>
      <c r="G44" s="20"/>
    </row>
    <row r="46" spans="1:8" x14ac:dyDescent="0.45">
      <c r="A46" s="16" t="s">
        <v>9</v>
      </c>
      <c r="B46" t="s">
        <v>68</v>
      </c>
    </row>
    <row r="47" spans="1:8" x14ac:dyDescent="0.45">
      <c r="A47" s="16" t="s">
        <v>142</v>
      </c>
      <c r="B47" t="s">
        <v>145</v>
      </c>
    </row>
    <row r="49" spans="1:2" x14ac:dyDescent="0.45">
      <c r="A49" s="16" t="s">
        <v>163</v>
      </c>
      <c r="B49" t="s">
        <v>118</v>
      </c>
    </row>
    <row r="50" spans="1:2" x14ac:dyDescent="0.45">
      <c r="A50" s="17" t="s">
        <v>230</v>
      </c>
      <c r="B50" s="20">
        <v>200</v>
      </c>
    </row>
    <row r="51" spans="1:2" x14ac:dyDescent="0.45">
      <c r="A51" s="17" t="s">
        <v>231</v>
      </c>
      <c r="B51" s="20">
        <v>200</v>
      </c>
    </row>
    <row r="52" spans="1:2" x14ac:dyDescent="0.45">
      <c r="A52" s="17" t="s">
        <v>239</v>
      </c>
      <c r="B52" s="20">
        <v>200</v>
      </c>
    </row>
    <row r="53" spans="1:2" x14ac:dyDescent="0.45">
      <c r="A53" s="17" t="s">
        <v>240</v>
      </c>
      <c r="B53" s="20">
        <v>200</v>
      </c>
    </row>
    <row r="54" spans="1:2" x14ac:dyDescent="0.45">
      <c r="A54" s="17" t="s">
        <v>50</v>
      </c>
      <c r="B54" s="20">
        <v>800</v>
      </c>
    </row>
    <row r="56" spans="1:2" x14ac:dyDescent="0.45">
      <c r="A56" s="17" t="s">
        <v>50</v>
      </c>
      <c r="B56">
        <f>SUM(B50:B53)</f>
        <v>800</v>
      </c>
    </row>
  </sheetData>
  <mergeCells count="3">
    <mergeCell ref="P1:Q1"/>
    <mergeCell ref="R1:S1"/>
    <mergeCell ref="T1:U1"/>
  </mergeCells>
  <conditionalFormatting sqref="B35">
    <cfRule type="cellIs" dxfId="14" priority="3" operator="notEqual">
      <formula>$A$35</formula>
    </cfRule>
  </conditionalFormatting>
  <conditionalFormatting sqref="E36">
    <cfRule type="cellIs" dxfId="13" priority="2" operator="notEqual">
      <formula>$D$36</formula>
    </cfRule>
  </conditionalFormatting>
  <conditionalFormatting sqref="H36">
    <cfRule type="cellIs" dxfId="12" priority="1" operator="notEqual">
      <formula>$G$36</formula>
    </cfRule>
  </conditionalFormatting>
  <pageMargins left="0.7" right="0.7" top="0.75" bottom="0.75" header="0.3" footer="0.3"/>
  <pageSetup orientation="portrait" r:id="rId9"/>
  <tableParts count="2"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4" sqref="A14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9" customWidth="1"/>
    <col min="5" max="5" width="8.06640625" style="71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55"/>
    <col min="13" max="13" width="9.06640625" style="71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9" customWidth="1"/>
    <col min="21" max="21" width="8" style="71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9.06640625" style="55"/>
    <col min="30" max="30" width="12.59765625" bestFit="1" customWidth="1"/>
    <col min="31" max="31" width="22.46484375" bestFit="1" customWidth="1"/>
    <col min="32" max="32" width="20.19921875" bestFit="1" customWidth="1"/>
    <col min="33" max="33" width="21.53125" bestFit="1" customWidth="1"/>
    <col min="34" max="35" width="27.06640625" bestFit="1" customWidth="1"/>
    <col min="36" max="36" width="24.796875" bestFit="1" customWidth="1"/>
    <col min="37" max="37" width="26.1328125" bestFit="1" customWidth="1"/>
    <col min="38" max="38" width="31.6640625" bestFit="1" customWidth="1"/>
  </cols>
  <sheetData>
    <row r="1" spans="1:34" x14ac:dyDescent="0.45">
      <c r="A1" s="73"/>
      <c r="B1" s="73"/>
      <c r="C1" s="73"/>
      <c r="D1" s="74" t="s">
        <v>142</v>
      </c>
      <c r="E1" s="74"/>
      <c r="F1" s="74"/>
      <c r="G1" s="74"/>
      <c r="H1" s="74"/>
      <c r="I1" s="74"/>
      <c r="J1" s="74"/>
      <c r="K1" s="74"/>
      <c r="L1" s="74" t="s">
        <v>230</v>
      </c>
      <c r="M1" s="74"/>
      <c r="N1" s="74"/>
      <c r="O1" s="74"/>
      <c r="P1" s="74"/>
      <c r="Q1" s="74"/>
      <c r="R1" s="74"/>
      <c r="S1" s="74"/>
      <c r="T1" s="74" t="s">
        <v>231</v>
      </c>
      <c r="U1" s="74"/>
      <c r="V1" s="74"/>
      <c r="W1" s="74"/>
      <c r="X1" s="74"/>
      <c r="Y1" s="74"/>
      <c r="Z1" s="74"/>
      <c r="AA1" s="74"/>
    </row>
    <row r="2" spans="1:34" s="63" customFormat="1" ht="42.75" x14ac:dyDescent="0.45">
      <c r="A2" s="56" t="s">
        <v>242</v>
      </c>
      <c r="B2" s="56" t="s">
        <v>131</v>
      </c>
      <c r="C2" s="56" t="s">
        <v>132</v>
      </c>
      <c r="D2" s="57" t="s">
        <v>260</v>
      </c>
      <c r="E2" s="58" t="s">
        <v>261</v>
      </c>
      <c r="F2" s="59" t="s">
        <v>123</v>
      </c>
      <c r="G2" s="59" t="s">
        <v>262</v>
      </c>
      <c r="H2" s="59" t="s">
        <v>263</v>
      </c>
      <c r="I2" s="59" t="s">
        <v>264</v>
      </c>
      <c r="J2" s="59" t="s">
        <v>265</v>
      </c>
      <c r="K2" s="60" t="s">
        <v>266</v>
      </c>
      <c r="L2" s="57" t="s">
        <v>260</v>
      </c>
      <c r="M2" s="58" t="s">
        <v>261</v>
      </c>
      <c r="N2" s="59" t="s">
        <v>123</v>
      </c>
      <c r="O2" s="59" t="s">
        <v>262</v>
      </c>
      <c r="P2" s="59" t="s">
        <v>263</v>
      </c>
      <c r="Q2" s="59" t="s">
        <v>264</v>
      </c>
      <c r="R2" s="59" t="s">
        <v>265</v>
      </c>
      <c r="S2" s="60" t="s">
        <v>266</v>
      </c>
      <c r="T2" s="61" t="s">
        <v>260</v>
      </c>
      <c r="U2" s="58" t="s">
        <v>261</v>
      </c>
      <c r="V2" s="59" t="s">
        <v>123</v>
      </c>
      <c r="W2" s="59" t="s">
        <v>262</v>
      </c>
      <c r="X2" s="59" t="s">
        <v>263</v>
      </c>
      <c r="Y2" s="59" t="s">
        <v>264</v>
      </c>
      <c r="Z2" s="59" t="s">
        <v>265</v>
      </c>
      <c r="AA2" s="60" t="s">
        <v>266</v>
      </c>
      <c r="AB2" s="62"/>
    </row>
    <row r="3" spans="1:34" x14ac:dyDescent="0.45">
      <c r="A3" t="s">
        <v>267</v>
      </c>
      <c r="B3" s="64"/>
      <c r="C3" s="64"/>
      <c r="D3" s="65">
        <v>2023</v>
      </c>
      <c r="E3" s="66">
        <v>2380</v>
      </c>
      <c r="F3" s="46">
        <v>938.5</v>
      </c>
      <c r="G3" s="46">
        <v>411.5</v>
      </c>
      <c r="H3" s="46">
        <f>D3-I3</f>
        <v>0</v>
      </c>
      <c r="I3" s="46">
        <v>2023</v>
      </c>
      <c r="J3" s="36">
        <f t="shared" ref="J3:J11" si="0" xml:space="preserve"> G3/D3</f>
        <v>0.20341077607513594</v>
      </c>
      <c r="K3" s="36">
        <f xml:space="preserve"> H3/D3</f>
        <v>0</v>
      </c>
      <c r="L3" s="67">
        <v>918</v>
      </c>
      <c r="M3" s="66">
        <v>1400</v>
      </c>
      <c r="N3" s="46">
        <v>141</v>
      </c>
      <c r="O3" s="46">
        <v>83</v>
      </c>
      <c r="P3" s="46">
        <f>L3-Q3</f>
        <v>0</v>
      </c>
      <c r="Q3" s="46">
        <v>918</v>
      </c>
      <c r="R3" s="36">
        <f t="shared" ref="R3:R11" si="1" xml:space="preserve"> O3/L3</f>
        <v>9.0413943355119819E-2</v>
      </c>
      <c r="S3" s="36">
        <f xml:space="preserve"> P3/L3</f>
        <v>0</v>
      </c>
      <c r="T3" s="65">
        <v>575</v>
      </c>
      <c r="U3" s="66">
        <v>700</v>
      </c>
      <c r="V3" s="46">
        <v>350</v>
      </c>
      <c r="W3" s="46">
        <v>215</v>
      </c>
      <c r="X3" s="46">
        <f>T3-Y3</f>
        <v>0</v>
      </c>
      <c r="Y3" s="46">
        <v>575</v>
      </c>
      <c r="Z3" s="36">
        <f t="shared" ref="Z3:Z11" si="2" xml:space="preserve"> W3/T3</f>
        <v>0.37391304347826088</v>
      </c>
      <c r="AA3" s="36">
        <f>X3/T3</f>
        <v>0</v>
      </c>
    </row>
    <row r="4" spans="1:34" x14ac:dyDescent="0.45">
      <c r="A4" t="s">
        <v>149</v>
      </c>
      <c r="B4" s="68">
        <v>43194</v>
      </c>
      <c r="C4" s="68">
        <v>43207</v>
      </c>
      <c r="D4" s="65">
        <v>2442</v>
      </c>
      <c r="E4" s="66">
        <v>2380</v>
      </c>
      <c r="F4" s="46">
        <v>1008</v>
      </c>
      <c r="G4" s="46">
        <v>569.5</v>
      </c>
      <c r="H4" s="46">
        <v>117.5</v>
      </c>
      <c r="I4" s="46">
        <v>2324.5</v>
      </c>
      <c r="J4" s="36">
        <f t="shared" si="0"/>
        <v>0.23321048321048321</v>
      </c>
      <c r="K4" s="36">
        <f t="shared" ref="K4" si="3" xml:space="preserve"> H4/D4</f>
        <v>4.8116298116298119E-2</v>
      </c>
      <c r="L4" s="67">
        <v>1327</v>
      </c>
      <c r="M4" s="66">
        <v>1400</v>
      </c>
      <c r="N4" s="46">
        <v>273</v>
      </c>
      <c r="O4" s="46">
        <v>134</v>
      </c>
      <c r="P4" s="46">
        <v>53</v>
      </c>
      <c r="Q4" s="46">
        <v>1274</v>
      </c>
      <c r="R4" s="36">
        <f t="shared" si="1"/>
        <v>0.10097965335342879</v>
      </c>
      <c r="S4" s="36">
        <f t="shared" ref="S4:S11" si="4" xml:space="preserve"> P4/L4</f>
        <v>3.9939713639788994E-2</v>
      </c>
      <c r="T4" s="65">
        <v>696</v>
      </c>
      <c r="U4" s="66">
        <v>700</v>
      </c>
      <c r="V4" s="46">
        <v>389</v>
      </c>
      <c r="W4" s="46">
        <v>261</v>
      </c>
      <c r="X4" s="46">
        <v>42</v>
      </c>
      <c r="Y4" s="46">
        <v>654</v>
      </c>
      <c r="Z4" s="36">
        <f t="shared" si="2"/>
        <v>0.375</v>
      </c>
      <c r="AA4" s="36">
        <f t="shared" ref="AA4:AA11" si="5">X4/T4</f>
        <v>6.0344827586206899E-2</v>
      </c>
    </row>
    <row r="5" spans="1:34" x14ac:dyDescent="0.45">
      <c r="A5" t="s">
        <v>150</v>
      </c>
      <c r="B5" s="68">
        <v>43208</v>
      </c>
      <c r="C5" s="68">
        <v>43221</v>
      </c>
      <c r="D5" s="65">
        <v>2743.8</v>
      </c>
      <c r="E5" s="66">
        <v>2380</v>
      </c>
      <c r="F5" s="46">
        <v>2218.3000000000002</v>
      </c>
      <c r="G5" s="46">
        <v>811</v>
      </c>
      <c r="H5" s="46">
        <v>344.5</v>
      </c>
      <c r="I5" s="46">
        <v>2399.3000000000002</v>
      </c>
      <c r="J5" s="36">
        <f t="shared" si="0"/>
        <v>0.2955754792623369</v>
      </c>
      <c r="K5" s="36">
        <f xml:space="preserve"> H5/D5</f>
        <v>0.12555579852758947</v>
      </c>
      <c r="L5" s="67">
        <v>1672.3</v>
      </c>
      <c r="M5" s="66">
        <v>1400</v>
      </c>
      <c r="N5" s="46">
        <v>1213.3</v>
      </c>
      <c r="O5" s="46">
        <v>268</v>
      </c>
      <c r="P5" s="46">
        <v>128</v>
      </c>
      <c r="Q5" s="46">
        <v>1544.3</v>
      </c>
      <c r="R5" s="36">
        <f t="shared" si="1"/>
        <v>0.16025832685522934</v>
      </c>
      <c r="S5" s="36">
        <f t="shared" si="4"/>
        <v>7.6541290438318491E-2</v>
      </c>
      <c r="T5" s="65">
        <v>645</v>
      </c>
      <c r="U5" s="66">
        <v>700</v>
      </c>
      <c r="V5" s="46">
        <v>615</v>
      </c>
      <c r="W5" s="46">
        <v>365</v>
      </c>
      <c r="X5" s="46">
        <v>119.5</v>
      </c>
      <c r="Y5" s="46">
        <v>525.5</v>
      </c>
      <c r="Z5" s="36">
        <f t="shared" si="2"/>
        <v>0.56589147286821706</v>
      </c>
      <c r="AA5" s="36">
        <f t="shared" si="5"/>
        <v>0.18527131782945735</v>
      </c>
    </row>
    <row r="6" spans="1:34" x14ac:dyDescent="0.45">
      <c r="A6" t="s">
        <v>151</v>
      </c>
      <c r="B6" s="68">
        <v>43222</v>
      </c>
      <c r="C6" s="68">
        <v>43235</v>
      </c>
      <c r="D6" s="65">
        <v>2412</v>
      </c>
      <c r="E6" s="66">
        <v>2380</v>
      </c>
      <c r="F6" s="46">
        <v>2128.5</v>
      </c>
      <c r="G6" s="46">
        <v>974</v>
      </c>
      <c r="H6" s="46">
        <f t="shared" ref="H6:H11" si="6">D6-I6</f>
        <v>552.5</v>
      </c>
      <c r="I6" s="46">
        <v>1859.5</v>
      </c>
      <c r="J6" s="36">
        <f t="shared" si="0"/>
        <v>0.40381426202321724</v>
      </c>
      <c r="K6" s="36">
        <f t="shared" ref="K6:K11" si="7" xml:space="preserve"> H6/D6</f>
        <v>0.22906301824212272</v>
      </c>
      <c r="L6" s="67">
        <v>1479</v>
      </c>
      <c r="M6" s="66">
        <v>1400</v>
      </c>
      <c r="N6" s="46">
        <v>1226.5</v>
      </c>
      <c r="O6" s="46">
        <v>336.5</v>
      </c>
      <c r="P6" s="46">
        <f t="shared" ref="P6:P11" si="8">L6-Q6</f>
        <v>211.5</v>
      </c>
      <c r="Q6" s="46">
        <v>1267.5</v>
      </c>
      <c r="R6" s="36">
        <f t="shared" si="1"/>
        <v>0.22751859364435428</v>
      </c>
      <c r="S6" s="36">
        <f t="shared" si="4"/>
        <v>0.14300202839756593</v>
      </c>
      <c r="T6" s="65">
        <v>665.5</v>
      </c>
      <c r="U6" s="66">
        <v>700</v>
      </c>
      <c r="V6">
        <v>635.5</v>
      </c>
      <c r="W6" s="46">
        <v>464</v>
      </c>
      <c r="X6" s="46">
        <f t="shared" ref="X6:X11" si="9">T6-Y6</f>
        <v>203.5</v>
      </c>
      <c r="Y6" s="46">
        <v>462</v>
      </c>
      <c r="Z6" s="36">
        <f t="shared" si="2"/>
        <v>0.69722013523666415</v>
      </c>
      <c r="AA6" s="36">
        <f t="shared" si="5"/>
        <v>0.30578512396694213</v>
      </c>
    </row>
    <row r="7" spans="1:34" x14ac:dyDescent="0.45">
      <c r="A7" t="s">
        <v>152</v>
      </c>
      <c r="B7" s="68">
        <v>43236</v>
      </c>
      <c r="C7" s="68">
        <v>43249</v>
      </c>
      <c r="D7" s="65">
        <v>2437.5</v>
      </c>
      <c r="E7" s="66">
        <v>2380</v>
      </c>
      <c r="F7" s="46">
        <v>2265</v>
      </c>
      <c r="G7" s="46">
        <v>1172.5</v>
      </c>
      <c r="H7" s="46">
        <f t="shared" si="6"/>
        <v>696.5</v>
      </c>
      <c r="I7" s="46">
        <v>1741</v>
      </c>
      <c r="J7" s="36">
        <f t="shared" si="0"/>
        <v>0.48102564102564105</v>
      </c>
      <c r="K7" s="36">
        <f t="shared" si="7"/>
        <v>0.28574358974358977</v>
      </c>
      <c r="L7" s="67">
        <v>1427.5</v>
      </c>
      <c r="M7" s="66">
        <v>1400</v>
      </c>
      <c r="N7" s="46">
        <v>1283</v>
      </c>
      <c r="O7" s="46">
        <v>392</v>
      </c>
      <c r="P7" s="46">
        <f t="shared" si="8"/>
        <v>266.5</v>
      </c>
      <c r="Q7" s="46">
        <v>1161</v>
      </c>
      <c r="R7" s="36">
        <f t="shared" si="1"/>
        <v>0.2746059544658494</v>
      </c>
      <c r="S7" s="36">
        <f t="shared" si="4"/>
        <v>0.18669001751313485</v>
      </c>
      <c r="T7" s="65">
        <v>734</v>
      </c>
      <c r="U7" s="66">
        <v>700</v>
      </c>
      <c r="V7" s="46">
        <v>707</v>
      </c>
      <c r="W7" s="46">
        <v>597.5</v>
      </c>
      <c r="X7" s="46">
        <f t="shared" si="9"/>
        <v>276</v>
      </c>
      <c r="Y7" s="46">
        <v>458</v>
      </c>
      <c r="Z7" s="36">
        <f t="shared" si="2"/>
        <v>0.81403269754768393</v>
      </c>
      <c r="AA7" s="36">
        <f t="shared" si="5"/>
        <v>0.37602179836512262</v>
      </c>
    </row>
    <row r="8" spans="1:34" x14ac:dyDescent="0.45">
      <c r="A8" t="s">
        <v>153</v>
      </c>
      <c r="B8" s="68">
        <v>43250</v>
      </c>
      <c r="C8" s="68">
        <v>43263</v>
      </c>
      <c r="D8" s="65">
        <v>2462.5</v>
      </c>
      <c r="E8" s="66">
        <v>2380</v>
      </c>
      <c r="F8" s="46">
        <v>2354.5</v>
      </c>
      <c r="G8" s="46">
        <v>1363.5</v>
      </c>
      <c r="H8" s="46">
        <f t="shared" si="6"/>
        <v>865.5</v>
      </c>
      <c r="I8" s="46">
        <v>1597</v>
      </c>
      <c r="J8" s="36">
        <f t="shared" si="0"/>
        <v>0.55370558375634515</v>
      </c>
      <c r="K8" s="36">
        <f t="shared" si="7"/>
        <v>0.35147208121827411</v>
      </c>
      <c r="L8" s="67">
        <v>1400.5</v>
      </c>
      <c r="M8" s="66">
        <v>1400</v>
      </c>
      <c r="N8" s="46">
        <v>1336.5</v>
      </c>
      <c r="O8" s="46">
        <v>476.5</v>
      </c>
      <c r="P8" s="46">
        <f t="shared" si="8"/>
        <v>368</v>
      </c>
      <c r="Q8" s="46">
        <v>1032.5</v>
      </c>
      <c r="R8" s="36">
        <f t="shared" si="1"/>
        <v>0.34023563013209568</v>
      </c>
      <c r="S8" s="36">
        <f t="shared" si="4"/>
        <v>0.26276329882184934</v>
      </c>
      <c r="T8" s="65">
        <v>763</v>
      </c>
      <c r="U8" s="66">
        <v>700</v>
      </c>
      <c r="V8" s="46">
        <v>726</v>
      </c>
      <c r="W8" s="46">
        <v>675</v>
      </c>
      <c r="X8" s="46">
        <f t="shared" si="9"/>
        <v>335.5</v>
      </c>
      <c r="Y8" s="46">
        <v>427.5</v>
      </c>
      <c r="Z8" s="36">
        <f t="shared" si="2"/>
        <v>0.88466579292267367</v>
      </c>
      <c r="AA8" s="36">
        <f t="shared" si="5"/>
        <v>0.4397116644823067</v>
      </c>
      <c r="AD8" s="16" t="s">
        <v>142</v>
      </c>
      <c r="AE8" t="s">
        <v>227</v>
      </c>
    </row>
    <row r="9" spans="1:34" x14ac:dyDescent="0.45">
      <c r="A9" t="s">
        <v>154</v>
      </c>
      <c r="B9" s="68">
        <v>43264</v>
      </c>
      <c r="C9" s="68">
        <v>43277</v>
      </c>
      <c r="D9" s="65">
        <v>2257</v>
      </c>
      <c r="E9" s="66">
        <v>2380</v>
      </c>
      <c r="F9" s="46">
        <v>2157.5</v>
      </c>
      <c r="G9" s="46">
        <v>1478</v>
      </c>
      <c r="H9" s="46">
        <f t="shared" si="6"/>
        <v>1072.5</v>
      </c>
      <c r="I9" s="46">
        <v>1184.5</v>
      </c>
      <c r="J9" s="36">
        <f t="shared" si="0"/>
        <v>0.6548515728843598</v>
      </c>
      <c r="K9" s="36">
        <f t="shared" si="7"/>
        <v>0.47518830305715554</v>
      </c>
      <c r="L9" s="67">
        <v>1190.5</v>
      </c>
      <c r="M9" s="66">
        <v>1400</v>
      </c>
      <c r="N9" s="46">
        <v>1130</v>
      </c>
      <c r="O9" s="46">
        <v>558.5</v>
      </c>
      <c r="P9" s="46">
        <f t="shared" si="8"/>
        <v>447</v>
      </c>
      <c r="Q9" s="46">
        <v>743.5</v>
      </c>
      <c r="R9" s="36">
        <f t="shared" si="1"/>
        <v>0.46913061738765227</v>
      </c>
      <c r="S9" s="36">
        <f t="shared" si="4"/>
        <v>0.375472490550189</v>
      </c>
      <c r="T9" s="65">
        <v>764</v>
      </c>
      <c r="U9" s="66">
        <v>700</v>
      </c>
      <c r="V9" s="46">
        <v>733</v>
      </c>
      <c r="W9" s="46">
        <v>682</v>
      </c>
      <c r="X9" s="46">
        <f t="shared" si="9"/>
        <v>442.5</v>
      </c>
      <c r="Y9" s="46">
        <v>321.5</v>
      </c>
      <c r="Z9" s="36">
        <f t="shared" si="2"/>
        <v>0.89267015706806285</v>
      </c>
      <c r="AA9" s="36">
        <f t="shared" si="5"/>
        <v>0.57918848167539272</v>
      </c>
    </row>
    <row r="10" spans="1:34" ht="13.9" customHeight="1" x14ac:dyDescent="0.45">
      <c r="A10" t="s">
        <v>155</v>
      </c>
      <c r="B10" s="68">
        <v>43278</v>
      </c>
      <c r="C10" s="68">
        <v>43291</v>
      </c>
      <c r="D10" s="65">
        <v>2264.5</v>
      </c>
      <c r="E10" s="66">
        <v>2380</v>
      </c>
      <c r="F10" s="46">
        <v>2177</v>
      </c>
      <c r="G10" s="46">
        <v>1563.5</v>
      </c>
      <c r="H10" s="46">
        <f t="shared" si="6"/>
        <v>1263.5</v>
      </c>
      <c r="I10" s="46">
        <v>1001</v>
      </c>
      <c r="J10" s="36">
        <f t="shared" si="0"/>
        <v>0.6904393905939501</v>
      </c>
      <c r="K10" s="36">
        <f t="shared" si="7"/>
        <v>0.55795981452859356</v>
      </c>
      <c r="L10" s="67">
        <v>1171</v>
      </c>
      <c r="M10" s="66">
        <v>1400</v>
      </c>
      <c r="N10" s="46">
        <v>1113.5</v>
      </c>
      <c r="O10" s="46">
        <v>614</v>
      </c>
      <c r="P10" s="46">
        <f t="shared" si="8"/>
        <v>537</v>
      </c>
      <c r="Q10" s="46">
        <v>634</v>
      </c>
      <c r="R10" s="36">
        <f t="shared" si="1"/>
        <v>0.52433817250213488</v>
      </c>
      <c r="S10" s="36">
        <f t="shared" si="4"/>
        <v>0.45858240819812124</v>
      </c>
      <c r="T10" s="65">
        <v>777</v>
      </c>
      <c r="U10" s="66">
        <v>700</v>
      </c>
      <c r="V10" s="46">
        <v>755</v>
      </c>
      <c r="W10" s="46">
        <v>704</v>
      </c>
      <c r="X10" s="46">
        <f t="shared" si="9"/>
        <v>527.5</v>
      </c>
      <c r="Y10" s="46">
        <v>249.5</v>
      </c>
      <c r="Z10" s="36">
        <f t="shared" si="2"/>
        <v>0.90604890604890609</v>
      </c>
      <c r="AA10" s="36">
        <f t="shared" si="5"/>
        <v>0.67889317889317891</v>
      </c>
      <c r="AE10" s="16" t="s">
        <v>209</v>
      </c>
    </row>
    <row r="11" spans="1:34" x14ac:dyDescent="0.45">
      <c r="A11" t="s">
        <v>156</v>
      </c>
      <c r="B11" s="68">
        <v>43292</v>
      </c>
      <c r="C11" s="68">
        <v>43298</v>
      </c>
      <c r="D11" s="65">
        <v>2220.5</v>
      </c>
      <c r="E11" s="66">
        <v>2380</v>
      </c>
      <c r="F11" s="46">
        <v>2144</v>
      </c>
      <c r="G11" s="46">
        <v>1699.5</v>
      </c>
      <c r="H11" s="46">
        <f t="shared" si="6"/>
        <v>1310.5</v>
      </c>
      <c r="I11" s="46">
        <v>910</v>
      </c>
      <c r="J11" s="36">
        <f t="shared" si="0"/>
        <v>0.76536816032425126</v>
      </c>
      <c r="K11" s="36">
        <f t="shared" si="7"/>
        <v>0.59018239135329875</v>
      </c>
      <c r="L11" s="67">
        <v>1106</v>
      </c>
      <c r="M11" s="66">
        <v>1400</v>
      </c>
      <c r="N11" s="46">
        <v>1050.5</v>
      </c>
      <c r="O11" s="46">
        <v>709</v>
      </c>
      <c r="P11" s="46">
        <f t="shared" si="8"/>
        <v>579.5</v>
      </c>
      <c r="Q11" s="46">
        <v>526.5</v>
      </c>
      <c r="R11" s="36">
        <f t="shared" si="1"/>
        <v>0.6410488245931284</v>
      </c>
      <c r="S11" s="36">
        <f t="shared" si="4"/>
        <v>0.52396021699819173</v>
      </c>
      <c r="T11" s="65">
        <v>787</v>
      </c>
      <c r="U11" s="66">
        <v>700</v>
      </c>
      <c r="V11" s="46">
        <v>777</v>
      </c>
      <c r="W11" s="46">
        <v>734</v>
      </c>
      <c r="X11" s="46">
        <f t="shared" si="9"/>
        <v>527.5</v>
      </c>
      <c r="Y11" s="46">
        <v>259.5</v>
      </c>
      <c r="Z11" s="36">
        <f t="shared" si="2"/>
        <v>0.93265565438373565</v>
      </c>
      <c r="AA11" s="36">
        <f t="shared" si="5"/>
        <v>0.67026683608640403</v>
      </c>
      <c r="AE11" t="s">
        <v>68</v>
      </c>
    </row>
    <row r="12" spans="1:34" x14ac:dyDescent="0.45">
      <c r="A12" t="s">
        <v>157</v>
      </c>
      <c r="B12" s="68">
        <v>43299</v>
      </c>
      <c r="C12" s="68">
        <v>43312</v>
      </c>
      <c r="D12" s="65">
        <v>2306.5</v>
      </c>
      <c r="E12" s="66">
        <v>2380</v>
      </c>
      <c r="F12" s="46">
        <v>2212</v>
      </c>
      <c r="G12" s="46">
        <v>1865.5</v>
      </c>
      <c r="H12" s="46">
        <f t="shared" ref="H12" si="10">D12-I12</f>
        <v>1513.5</v>
      </c>
      <c r="I12" s="46">
        <v>793</v>
      </c>
      <c r="J12" s="36">
        <f t="shared" ref="J12" si="11" xml:space="preserve"> G12/D12</f>
        <v>0.80880121396054627</v>
      </c>
      <c r="K12" s="36">
        <f t="shared" ref="K12" si="12" xml:space="preserve"> H12/D12</f>
        <v>0.65618903099934967</v>
      </c>
      <c r="L12" s="67">
        <v>1077</v>
      </c>
      <c r="M12" s="66">
        <v>1400</v>
      </c>
      <c r="N12" s="46">
        <v>1053.5</v>
      </c>
      <c r="O12" s="46">
        <v>827.5</v>
      </c>
      <c r="P12" s="46">
        <f t="shared" ref="P12" si="13">L12-Q12</f>
        <v>675.5</v>
      </c>
      <c r="Q12" s="46">
        <v>401.5</v>
      </c>
      <c r="R12" s="36">
        <f t="shared" ref="R12" si="14" xml:space="preserve"> O12/L12</f>
        <v>0.76833797585886721</v>
      </c>
      <c r="S12" s="36">
        <f t="shared" ref="S12" si="15" xml:space="preserve"> P12/L12</f>
        <v>0.627205199628598</v>
      </c>
      <c r="T12" s="65">
        <v>872.5</v>
      </c>
      <c r="U12" s="66">
        <v>700</v>
      </c>
      <c r="V12" s="46">
        <v>822.5</v>
      </c>
      <c r="W12" s="46">
        <v>751.5</v>
      </c>
      <c r="X12" s="46">
        <f t="shared" ref="X12" si="16">T12-Y12</f>
        <v>615.5</v>
      </c>
      <c r="Y12" s="46">
        <v>257</v>
      </c>
      <c r="Z12" s="36">
        <f t="shared" ref="Z12" si="17" xml:space="preserve"> W12/T12</f>
        <v>0.86131805157593122</v>
      </c>
      <c r="AA12" s="36">
        <f t="shared" ref="AA12" si="18">X12/T12</f>
        <v>0.70544412607449858</v>
      </c>
      <c r="AD12" s="16" t="s">
        <v>163</v>
      </c>
      <c r="AE12" t="s">
        <v>118</v>
      </c>
      <c r="AF12" t="s">
        <v>268</v>
      </c>
      <c r="AG12" t="s">
        <v>269</v>
      </c>
      <c r="AH12" t="s">
        <v>117</v>
      </c>
    </row>
    <row r="13" spans="1:34" x14ac:dyDescent="0.45">
      <c r="A13" t="s">
        <v>158</v>
      </c>
      <c r="B13" s="68">
        <v>43313</v>
      </c>
      <c r="C13" s="68">
        <v>43326</v>
      </c>
      <c r="D13" s="65">
        <v>2432.5</v>
      </c>
      <c r="E13" s="66">
        <v>2380</v>
      </c>
      <c r="F13" s="46">
        <v>2284.5</v>
      </c>
      <c r="G13" s="46">
        <v>2016.5</v>
      </c>
      <c r="H13" s="46">
        <f t="shared" ref="H13" si="19">D13-I13</f>
        <v>1707</v>
      </c>
      <c r="I13" s="46">
        <v>725.5</v>
      </c>
      <c r="J13" s="36">
        <f t="shared" ref="J13" si="20" xml:space="preserve"> G13/D13</f>
        <v>0.82898252826310381</v>
      </c>
      <c r="K13" s="36">
        <f t="shared" ref="K13" si="21" xml:space="preserve"> H13/D13</f>
        <v>0.7017471736896197</v>
      </c>
      <c r="L13" s="67">
        <v>1086.5</v>
      </c>
      <c r="M13" s="66">
        <v>1400</v>
      </c>
      <c r="N13" s="46">
        <v>1064.5</v>
      </c>
      <c r="O13" s="46">
        <v>885</v>
      </c>
      <c r="P13" s="46">
        <f t="shared" ref="P13" si="22">L13-Q13</f>
        <v>776.5</v>
      </c>
      <c r="Q13" s="46">
        <v>310</v>
      </c>
      <c r="R13" s="36">
        <f t="shared" ref="R13" si="23" xml:space="preserve"> O13/L13</f>
        <v>0.81454210768522783</v>
      </c>
      <c r="S13" s="36">
        <f t="shared" ref="S13" si="24" xml:space="preserve"> P13/L13</f>
        <v>0.71468016566958126</v>
      </c>
      <c r="T13" s="65">
        <v>944</v>
      </c>
      <c r="U13" s="66">
        <v>700</v>
      </c>
      <c r="V13" s="46">
        <v>874</v>
      </c>
      <c r="W13" s="46">
        <v>822.5</v>
      </c>
      <c r="X13" s="46">
        <f t="shared" ref="X13" si="25">T13-Y13</f>
        <v>693.5</v>
      </c>
      <c r="Y13" s="46">
        <v>250.5</v>
      </c>
      <c r="Z13" s="36">
        <f t="shared" ref="Z13" si="26" xml:space="preserve"> W13/T13</f>
        <v>0.87129237288135597</v>
      </c>
      <c r="AA13" s="36">
        <f t="shared" ref="AA13" si="27">X13/T13</f>
        <v>0.73463983050847459</v>
      </c>
      <c r="AD13" s="17" t="s">
        <v>225</v>
      </c>
      <c r="AE13" s="20">
        <v>200</v>
      </c>
      <c r="AF13" s="20"/>
      <c r="AG13" s="20">
        <v>180</v>
      </c>
      <c r="AH13" s="20">
        <v>150</v>
      </c>
    </row>
    <row r="14" spans="1:34" x14ac:dyDescent="0.45">
      <c r="A14" t="s">
        <v>159</v>
      </c>
      <c r="B14" s="68">
        <v>43327</v>
      </c>
      <c r="C14" s="68">
        <v>43340</v>
      </c>
      <c r="D14" s="65">
        <f>GETPIVOTDATA("Epic Total Estimate", $AD$8, "Type", "Epic")</f>
        <v>1200</v>
      </c>
      <c r="E14" s="66">
        <v>2380</v>
      </c>
      <c r="F14" s="46">
        <f>GETPIVOTDATA("Stories Estimate", $AD$8, "Type", "Epic")</f>
        <v>0</v>
      </c>
      <c r="G14" s="46">
        <f>GETPIVOTDATA("Epic Decomposed", $AD$8, "Type", "Epic")</f>
        <v>360</v>
      </c>
      <c r="H14" s="46">
        <f t="shared" ref="H14" si="28">D14-I14</f>
        <v>900</v>
      </c>
      <c r="I14" s="46">
        <f>GETPIVOTDATA("Epic Remaining Estimate", $AD$8, "Type", "Epic")</f>
        <v>300</v>
      </c>
      <c r="J14" s="36">
        <f t="shared" ref="J14" si="29" xml:space="preserve"> G14/D14</f>
        <v>0.3</v>
      </c>
      <c r="K14" s="36">
        <f t="shared" ref="K14" si="30" xml:space="preserve"> H14/D14</f>
        <v>0.75</v>
      </c>
      <c r="L14" s="67">
        <f>GETPIVOTDATA("Epic Total Estimate", $AD$8, "Type", "Epic", "ST:Components", "Diagram Editor")</f>
        <v>200</v>
      </c>
      <c r="M14" s="66">
        <v>1400</v>
      </c>
      <c r="N14" s="46">
        <f>GETPIVOTDATA("Stories Estimate", $AD$8, "Type", "Epic", "ST:Components", "Diagram Editor")</f>
        <v>0</v>
      </c>
      <c r="O14" s="46">
        <f>GETPIVOTDATA("Epic Decomposed", $AD$8, "Type", "Epic", "ST:Components", "Diagram Editor")</f>
        <v>180</v>
      </c>
      <c r="P14" s="46">
        <f t="shared" ref="P14" si="31">L14-Q14</f>
        <v>50</v>
      </c>
      <c r="Q14" s="46">
        <f>GETPIVOTDATA("Epic Remaining Estimate", $AD$8, "Type", "Epic", "ST:Components", "Diagram Editor")</f>
        <v>150</v>
      </c>
      <c r="R14" s="36">
        <f t="shared" ref="R14" si="32" xml:space="preserve"> O14/L14</f>
        <v>0.9</v>
      </c>
      <c r="S14" s="36">
        <f t="shared" ref="S14" si="33" xml:space="preserve"> P14/L14</f>
        <v>0.25</v>
      </c>
      <c r="T14" s="65">
        <f>GETPIVOTDATA("Epic Total Estimate", $AD$8, "Type", "Epic", "ST:Components", "Artifact List")</f>
        <v>200</v>
      </c>
      <c r="U14" s="66">
        <v>700</v>
      </c>
      <c r="V14" s="46">
        <f>GETPIVOTDATA("Stories Estimate", $AD$8, "Type", "Epic", "ST:Components", "Artifact List")</f>
        <v>0</v>
      </c>
      <c r="W14" s="46">
        <f>GETPIVOTDATA("Epic Decomposed", $AD$8, "Type", "Epic", "ST:Components", "Artifact List")</f>
        <v>180</v>
      </c>
      <c r="X14" s="46">
        <f t="shared" ref="X14" si="34">T14-Y14</f>
        <v>50</v>
      </c>
      <c r="Y14" s="46">
        <f>GETPIVOTDATA("Epic Remaining Estimate", $AD$8, "Type", "Epic", "ST:Components", "Artifact List")</f>
        <v>150</v>
      </c>
      <c r="Z14" s="36">
        <f t="shared" ref="Z14" si="35" xml:space="preserve"> W14/T14</f>
        <v>0.9</v>
      </c>
      <c r="AA14" s="36">
        <f t="shared" ref="AA14" si="36">X14/T14</f>
        <v>0.25</v>
      </c>
      <c r="AD14" s="17" t="s">
        <v>226</v>
      </c>
      <c r="AE14" s="20">
        <v>200</v>
      </c>
      <c r="AF14" s="20"/>
      <c r="AG14" s="20">
        <v>180</v>
      </c>
      <c r="AH14" s="20">
        <v>150</v>
      </c>
    </row>
    <row r="15" spans="1:34" x14ac:dyDescent="0.45">
      <c r="A15" t="s">
        <v>160</v>
      </c>
      <c r="B15" s="68">
        <v>43341</v>
      </c>
      <c r="C15" s="68">
        <v>43354</v>
      </c>
      <c r="E15" s="66">
        <v>2380</v>
      </c>
      <c r="M15" s="66">
        <v>1400</v>
      </c>
      <c r="U15" s="66">
        <v>700</v>
      </c>
      <c r="AD15" s="17" t="s">
        <v>238</v>
      </c>
      <c r="AE15" s="20">
        <v>800</v>
      </c>
      <c r="AF15" s="20"/>
      <c r="AG15" s="20"/>
      <c r="AH15" s="20"/>
    </row>
    <row r="16" spans="1:34" x14ac:dyDescent="0.45">
      <c r="A16" t="s">
        <v>161</v>
      </c>
      <c r="B16" s="68">
        <v>43355</v>
      </c>
      <c r="C16" s="68">
        <v>43368</v>
      </c>
      <c r="E16" s="66">
        <v>2380</v>
      </c>
      <c r="M16" s="66">
        <v>1400</v>
      </c>
      <c r="U16" s="66">
        <v>700</v>
      </c>
      <c r="AD16" s="17" t="s">
        <v>50</v>
      </c>
      <c r="AE16" s="20">
        <v>1200</v>
      </c>
      <c r="AF16" s="20"/>
      <c r="AG16" s="20">
        <v>360</v>
      </c>
      <c r="AH16" s="20">
        <v>300</v>
      </c>
    </row>
    <row r="17" spans="1:21" x14ac:dyDescent="0.45">
      <c r="A17" t="s">
        <v>162</v>
      </c>
      <c r="B17" s="70">
        <v>43369</v>
      </c>
      <c r="C17" s="70">
        <v>43382</v>
      </c>
      <c r="E17" s="66">
        <v>2380</v>
      </c>
      <c r="M17" s="66">
        <v>1400</v>
      </c>
      <c r="U17" s="66">
        <v>700</v>
      </c>
    </row>
    <row r="18" spans="1:21" x14ac:dyDescent="0.45">
      <c r="B18" s="71"/>
    </row>
  </sheetData>
  <mergeCells count="4">
    <mergeCell ref="A1:C1"/>
    <mergeCell ref="D1:K1"/>
    <mergeCell ref="L1:S1"/>
    <mergeCell ref="T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D34"/>
  <sheetViews>
    <sheetView topLeftCell="A13" workbookViewId="0">
      <selection activeCell="B31" sqref="B31"/>
    </sheetView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0.9296875" bestFit="1" customWidth="1"/>
    <col min="8" max="8" width="10.19921875" bestFit="1" customWidth="1"/>
    <col min="9" max="9" width="10.9296875" bestFit="1" customWidth="1"/>
    <col min="10" max="10" width="10.19921875" bestFit="1" customWidth="1"/>
  </cols>
  <sheetData>
    <row r="3" spans="2:3" x14ac:dyDescent="0.45">
      <c r="B3" s="16" t="s">
        <v>163</v>
      </c>
      <c r="C3" t="s">
        <v>244</v>
      </c>
    </row>
    <row r="4" spans="2:3" x14ac:dyDescent="0.45">
      <c r="B4" s="17" t="s">
        <v>68</v>
      </c>
      <c r="C4" s="20">
        <v>840</v>
      </c>
    </row>
    <row r="5" spans="2:3" x14ac:dyDescent="0.45">
      <c r="B5" s="17" t="s">
        <v>50</v>
      </c>
      <c r="C5" s="20">
        <v>840</v>
      </c>
    </row>
    <row r="9" spans="2:3" x14ac:dyDescent="0.45">
      <c r="B9" s="16" t="s">
        <v>9</v>
      </c>
      <c r="C9" t="s">
        <v>199</v>
      </c>
    </row>
    <row r="10" spans="2:3" x14ac:dyDescent="0.45">
      <c r="B10" s="16" t="s">
        <v>0</v>
      </c>
      <c r="C10" t="s">
        <v>199</v>
      </c>
    </row>
    <row r="12" spans="2:3" x14ac:dyDescent="0.45">
      <c r="B12" t="s">
        <v>190</v>
      </c>
    </row>
    <row r="13" spans="2:3" x14ac:dyDescent="0.45">
      <c r="B13" s="20">
        <v>150</v>
      </c>
    </row>
    <row r="20" spans="2:4" x14ac:dyDescent="0.45">
      <c r="B20" t="s">
        <v>242</v>
      </c>
      <c r="C20" t="s">
        <v>245</v>
      </c>
      <c r="D20" t="s">
        <v>246</v>
      </c>
    </row>
    <row r="21" spans="2:4" x14ac:dyDescent="0.45">
      <c r="B21" t="s">
        <v>149</v>
      </c>
      <c r="C21">
        <v>1872.5</v>
      </c>
      <c r="D21">
        <v>227.5</v>
      </c>
    </row>
    <row r="22" spans="2:4" x14ac:dyDescent="0.45">
      <c r="B22" t="s">
        <v>150</v>
      </c>
      <c r="C22">
        <v>1932.75</v>
      </c>
      <c r="D22">
        <v>291</v>
      </c>
    </row>
    <row r="23" spans="2:4" x14ac:dyDescent="0.45">
      <c r="B23" t="s">
        <v>151</v>
      </c>
      <c r="C23">
        <v>1438</v>
      </c>
      <c r="D23">
        <v>286</v>
      </c>
    </row>
    <row r="24" spans="2:4" x14ac:dyDescent="0.45">
      <c r="B24" t="s">
        <v>152</v>
      </c>
      <c r="C24">
        <v>1265</v>
      </c>
      <c r="D24">
        <v>339.5</v>
      </c>
    </row>
    <row r="25" spans="2:4" x14ac:dyDescent="0.45">
      <c r="B25" t="s">
        <v>153</v>
      </c>
      <c r="C25">
        <v>1099</v>
      </c>
      <c r="D25">
        <v>348</v>
      </c>
    </row>
    <row r="26" spans="2:4" x14ac:dyDescent="0.45">
      <c r="B26" t="s">
        <v>154</v>
      </c>
      <c r="C26">
        <v>779</v>
      </c>
      <c r="D26">
        <v>348</v>
      </c>
    </row>
    <row r="27" spans="2:4" x14ac:dyDescent="0.45">
      <c r="B27" t="s">
        <v>155</v>
      </c>
      <c r="C27">
        <v>701</v>
      </c>
      <c r="D27">
        <v>217</v>
      </c>
    </row>
    <row r="28" spans="2:4" x14ac:dyDescent="0.45">
      <c r="B28" t="s">
        <v>156</v>
      </c>
      <c r="C28">
        <v>521</v>
      </c>
      <c r="D28">
        <v>222.5</v>
      </c>
    </row>
    <row r="29" spans="2:4" x14ac:dyDescent="0.45">
      <c r="B29" t="s">
        <v>157</v>
      </c>
      <c r="C29">
        <v>441</v>
      </c>
      <c r="D29">
        <v>205</v>
      </c>
    </row>
    <row r="30" spans="2:4" x14ac:dyDescent="0.45">
      <c r="B30" t="s">
        <v>158</v>
      </c>
      <c r="C30">
        <v>416</v>
      </c>
      <c r="D30">
        <v>161</v>
      </c>
    </row>
    <row r="31" spans="2:4" x14ac:dyDescent="0.45">
      <c r="B31" t="s">
        <v>159</v>
      </c>
      <c r="C31">
        <f t="shared" ref="C30:C31" si="0">GETPIVOTDATA("Epic Not Decomposed Estimate",$B$3)</f>
        <v>840</v>
      </c>
      <c r="D31">
        <f t="shared" ref="D30:D31" si="1">GETPIVOTDATA("Story Points",$B$12)</f>
        <v>150</v>
      </c>
    </row>
    <row r="32" spans="2:4" x14ac:dyDescent="0.45">
      <c r="B32" t="s">
        <v>160</v>
      </c>
    </row>
    <row r="33" spans="2:2" x14ac:dyDescent="0.45">
      <c r="B33" t="s">
        <v>161</v>
      </c>
    </row>
    <row r="34" spans="2:2" x14ac:dyDescent="0.45">
      <c r="B34" t="s">
        <v>162</v>
      </c>
    </row>
  </sheetData>
  <pageMargins left="0.7" right="0.7" top="0.75" bottom="0.75" header="0.3" footer="0.3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"/>
  <sheetViews>
    <sheetView workbookViewId="0">
      <pivotSelection pane="bottomRight" click="1" r:id="rId3">
        <pivotArea field="32" type="button" dataOnly="0" labelOnly="1" outline="0" axis="axisPage" fieldPosition="0"/>
      </pivotSelection>
    </sheetView>
  </sheetViews>
  <sheetFormatPr defaultRowHeight="14.25" x14ac:dyDescent="0.45"/>
  <cols>
    <col min="1" max="1" width="12.33203125" bestFit="1" customWidth="1"/>
    <col min="2" max="2" width="16.86328125" bestFit="1" customWidth="1"/>
    <col min="3" max="3" width="10.19921875" bestFit="1" customWidth="1"/>
    <col min="4" max="4" width="12.33203125" bestFit="1" customWidth="1"/>
    <col min="5" max="5" width="16.86328125" bestFit="1" customWidth="1"/>
    <col min="6" max="6" width="3.73046875" bestFit="1" customWidth="1"/>
    <col min="7" max="7" width="12.33203125" bestFit="1" customWidth="1"/>
    <col min="8" max="8" width="16.86328125" bestFit="1" customWidth="1"/>
    <col min="9" max="9" width="9.796875" bestFit="1" customWidth="1"/>
    <col min="10" max="10" width="12.33203125" bestFit="1" customWidth="1"/>
    <col min="11" max="11" width="16.86328125" bestFit="1" customWidth="1"/>
    <col min="12" max="12" width="6.3984375" bestFit="1" customWidth="1"/>
    <col min="13" max="13" width="10.19921875" bestFit="1" customWidth="1"/>
  </cols>
  <sheetData>
    <row r="1" spans="1:11" x14ac:dyDescent="0.45">
      <c r="A1" s="16" t="s">
        <v>142</v>
      </c>
      <c r="B1" t="s">
        <v>145</v>
      </c>
      <c r="D1" s="16" t="s">
        <v>142</v>
      </c>
      <c r="E1" t="s">
        <v>145</v>
      </c>
      <c r="G1" s="16" t="s">
        <v>142</v>
      </c>
      <c r="H1" t="s">
        <v>145</v>
      </c>
      <c r="J1" s="16" t="s">
        <v>142</v>
      </c>
      <c r="K1" t="s">
        <v>145</v>
      </c>
    </row>
    <row r="2" spans="1:11" x14ac:dyDescent="0.45">
      <c r="A2" s="16" t="s">
        <v>9</v>
      </c>
      <c r="B2" t="s">
        <v>199</v>
      </c>
      <c r="D2" s="16" t="s">
        <v>9</v>
      </c>
      <c r="E2" t="s">
        <v>199</v>
      </c>
      <c r="G2" s="16" t="s">
        <v>9</v>
      </c>
      <c r="H2" t="s">
        <v>199</v>
      </c>
      <c r="J2" s="16" t="s">
        <v>9</v>
      </c>
      <c r="K2" t="s">
        <v>199</v>
      </c>
    </row>
    <row r="3" spans="1:11" x14ac:dyDescent="0.45">
      <c r="A3" s="16" t="s">
        <v>119</v>
      </c>
      <c r="B3" t="s">
        <v>58</v>
      </c>
      <c r="D3" s="16" t="s">
        <v>119</v>
      </c>
      <c r="E3" t="s">
        <v>56</v>
      </c>
      <c r="G3" s="16" t="s">
        <v>119</v>
      </c>
      <c r="H3" t="s">
        <v>54</v>
      </c>
      <c r="J3" s="16" t="s">
        <v>119</v>
      </c>
      <c r="K3" t="s">
        <v>57</v>
      </c>
    </row>
    <row r="5" spans="1:11" x14ac:dyDescent="0.45">
      <c r="A5" s="16" t="s">
        <v>163</v>
      </c>
      <c r="B5" t="s">
        <v>190</v>
      </c>
      <c r="D5" s="16" t="s">
        <v>163</v>
      </c>
      <c r="E5" t="s">
        <v>190</v>
      </c>
      <c r="G5" s="16" t="s">
        <v>163</v>
      </c>
      <c r="H5" t="s">
        <v>190</v>
      </c>
      <c r="J5" s="16" t="s">
        <v>163</v>
      </c>
      <c r="K5" t="s">
        <v>190</v>
      </c>
    </row>
    <row r="6" spans="1:11" x14ac:dyDescent="0.45">
      <c r="A6" s="17" t="s">
        <v>197</v>
      </c>
      <c r="B6" s="20">
        <v>10</v>
      </c>
      <c r="D6" s="17" t="s">
        <v>197</v>
      </c>
      <c r="E6" s="20">
        <v>20</v>
      </c>
      <c r="G6" s="17" t="s">
        <v>197</v>
      </c>
      <c r="H6" s="20">
        <v>30</v>
      </c>
      <c r="J6" s="17" t="s">
        <v>197</v>
      </c>
      <c r="K6" s="20">
        <v>40</v>
      </c>
    </row>
    <row r="7" spans="1:11" x14ac:dyDescent="0.45">
      <c r="A7" s="17" t="s">
        <v>195</v>
      </c>
      <c r="B7" s="20">
        <v>10</v>
      </c>
      <c r="D7" s="17" t="s">
        <v>195</v>
      </c>
      <c r="E7" s="20">
        <v>20</v>
      </c>
      <c r="G7" s="17" t="s">
        <v>195</v>
      </c>
      <c r="H7" s="20">
        <v>30</v>
      </c>
      <c r="J7" s="17" t="s">
        <v>195</v>
      </c>
      <c r="K7" s="20">
        <v>40</v>
      </c>
    </row>
    <row r="8" spans="1:11" x14ac:dyDescent="0.45">
      <c r="A8" s="17" t="s">
        <v>194</v>
      </c>
      <c r="B8" s="20">
        <v>10</v>
      </c>
      <c r="D8" s="17" t="s">
        <v>194</v>
      </c>
      <c r="E8" s="20">
        <v>20</v>
      </c>
      <c r="G8" s="17" t="s">
        <v>194</v>
      </c>
      <c r="H8" s="20">
        <v>30</v>
      </c>
      <c r="J8" s="17" t="s">
        <v>194</v>
      </c>
      <c r="K8" s="20">
        <v>40</v>
      </c>
    </row>
    <row r="9" spans="1:11" x14ac:dyDescent="0.45">
      <c r="A9" s="17" t="s">
        <v>223</v>
      </c>
      <c r="B9" s="20">
        <v>10</v>
      </c>
      <c r="D9" s="17" t="s">
        <v>223</v>
      </c>
      <c r="E9" s="20">
        <v>20</v>
      </c>
      <c r="G9" s="17" t="s">
        <v>223</v>
      </c>
      <c r="H9" s="20">
        <v>30</v>
      </c>
      <c r="J9" s="17" t="s">
        <v>223</v>
      </c>
      <c r="K9" s="20">
        <v>40</v>
      </c>
    </row>
    <row r="10" spans="1:11" x14ac:dyDescent="0.45">
      <c r="A10" s="17" t="s">
        <v>193</v>
      </c>
      <c r="B10" s="20">
        <v>10</v>
      </c>
      <c r="D10" s="17" t="s">
        <v>193</v>
      </c>
      <c r="E10" s="20">
        <v>20</v>
      </c>
      <c r="G10" s="17" t="s">
        <v>193</v>
      </c>
      <c r="H10" s="20">
        <v>30</v>
      </c>
      <c r="J10" s="17" t="s">
        <v>193</v>
      </c>
      <c r="K10" s="20">
        <v>40</v>
      </c>
    </row>
    <row r="11" spans="1:11" x14ac:dyDescent="0.45">
      <c r="A11" s="17" t="s">
        <v>50</v>
      </c>
      <c r="B11" s="20">
        <v>50</v>
      </c>
      <c r="D11" s="17" t="s">
        <v>50</v>
      </c>
      <c r="E11" s="20">
        <v>100</v>
      </c>
      <c r="G11" s="17" t="s">
        <v>50</v>
      </c>
      <c r="H11" s="20">
        <v>150</v>
      </c>
      <c r="J11" s="17" t="s">
        <v>50</v>
      </c>
      <c r="K11" s="20">
        <v>200</v>
      </c>
    </row>
    <row r="12" spans="1:11" x14ac:dyDescent="0.45">
      <c r="A12" s="17" t="s">
        <v>50</v>
      </c>
      <c r="B12">
        <f>GETPIVOTDATA("Story Points", $A$5)</f>
        <v>50</v>
      </c>
      <c r="D12" s="17" t="s">
        <v>50</v>
      </c>
      <c r="E12">
        <f>GETPIVOTDATA("Story Points", $D$5)</f>
        <v>100</v>
      </c>
      <c r="G12" s="17" t="s">
        <v>50</v>
      </c>
      <c r="H12">
        <f>GETPIVOTDATA("Story Points", $H$5)</f>
        <v>150</v>
      </c>
      <c r="J12" s="17" t="s">
        <v>50</v>
      </c>
      <c r="K12">
        <f>GETPIVOTDATA("Story Points", $K$5)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Release</vt:lpstr>
      <vt:lpstr>UME</vt:lpstr>
      <vt:lpstr>Artifact List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2018-08-15T12:52:08Z</dcterms:modified>
</cp:coreProperties>
</file>