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7AE18A4A-4FFE-4466-AC3A-124C94680B95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51" r:id="rId18"/>
  </pivotCaches>
  <fileRecoveryPr autoRecover="0"/>
</workbook>
</file>

<file path=xl/calcChain.xml><?xml version="1.0" encoding="utf-8"?>
<calcChain xmlns="http://schemas.openxmlformats.org/spreadsheetml/2006/main">
  <c r="T3" i="9" l="1"/>
  <c r="P3" i="9"/>
  <c r="D31" i="24"/>
  <c r="Y14" i="26"/>
  <c r="I14" i="26"/>
  <c r="S14" i="9"/>
  <c r="L14" i="26"/>
  <c r="N14" i="26"/>
  <c r="O14" i="9"/>
  <c r="T14" i="26"/>
  <c r="F14" i="26"/>
  <c r="N14" i="9"/>
  <c r="C31" i="24"/>
  <c r="M14" i="9"/>
  <c r="V14" i="26"/>
  <c r="D14" i="26"/>
  <c r="W14" i="26"/>
  <c r="G14" i="26"/>
  <c r="U14" i="9"/>
  <c r="Q14" i="9"/>
  <c r="Q14" i="26"/>
  <c r="O14" i="26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2" i="15"/>
  <c r="B10" i="9"/>
  <c r="E12" i="15"/>
  <c r="H12" i="15"/>
  <c r="K12" i="15"/>
  <c r="B14" i="9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T15" i="9" s="1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P14" i="9" s="1"/>
  <c r="K13" i="9"/>
  <c r="K12" i="9"/>
  <c r="P12" i="9" s="1"/>
  <c r="K15" i="9"/>
  <c r="P15" i="9" s="1"/>
  <c r="B7" i="9"/>
  <c r="P13" i="9" l="1"/>
  <c r="R13" i="9"/>
  <c r="R16" i="9"/>
  <c r="R15" i="9"/>
  <c r="R8" i="9"/>
  <c r="R12" i="9"/>
  <c r="R5" i="9"/>
  <c r="R4" i="9"/>
  <c r="R17" i="9"/>
  <c r="R7" i="9"/>
  <c r="R14" i="9"/>
  <c r="R9" i="9"/>
  <c r="R6" i="9"/>
  <c r="R10" i="9"/>
  <c r="R11" i="9"/>
</calcChain>
</file>

<file path=xl/sharedStrings.xml><?xml version="1.0" encoding="utf-8"?>
<sst xmlns="http://schemas.openxmlformats.org/spreadsheetml/2006/main" count="976" uniqueCount="281">
  <si>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</si>
  <si>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</si>
  <si>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</si>
  <si>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</si>
  <si>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</si>
  <si>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</si>
  <si>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</si>
  <si>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</si>
  <si>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</si>
  <si>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</si>
  <si>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</si>
  <si>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</si>
  <si>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</si>
  <si>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</si>
  <si>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</si>
  <si>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</si>
  <si>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</si>
  <si>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</si>
  <si>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</si>
  <si>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</si>
  <si>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</si>
  <si>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</si>
  <si>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</si>
  <si>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</si>
  <si>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</si>
  <si>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</si>
  <si>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</si>
  <si>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</si>
  <si>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</si>
  <si>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</si>
  <si>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</si>
  <si>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</si>
  <si>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</si>
  <si>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</si>
  <si>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</si>
  <si>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</si>
  <si>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</si>
  <si>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</si>
  <si>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</si>
  <si>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</si>
  <si>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</si>
  <si>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</si>
  <si>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</si>
  <si>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</si>
  <si>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</si>
  <si>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</si>
  <si>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</si>
  <si>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</si>
  <si>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</si>
  <si>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</si>
  <si>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</si>
  <si>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</si>
  <si>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</si>
  <si>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</si>
  <si>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</si>
  <si>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</si>
  <si>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</si>
  <si>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</si>
  <si>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</si>
  <si>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</si>
  <si>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</si>
  <si>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</si>
  <si>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</si>
  <si>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</si>
  <si>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</si>
  <si>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</si>
  <si>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</si>
  <si>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</si>
  <si>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</si>
  <si>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</si>
  <si>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</si>
  <si>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</si>
  <si>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</si>
  <si>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</si>
  <si>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</si>
  <si>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</si>
  <si>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</si>
  <si>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</si>
  <si>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</si>
  <si>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</si>
  <si>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</si>
  <si>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</si>
  <si>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</si>
  <si>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</si>
  <si>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</si>
  <si>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</si>
  <si>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</si>
  <si>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</si>
  <si>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</si>
  <si>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</si>
  <si>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</si>
  <si>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</si>
  <si>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</si>
  <si>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</si>
  <si>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</si>
  <si>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</si>
  <si>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</si>
  <si>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</si>
  <si>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</si>
  <si>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</si>
  <si>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</si>
  <si>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</si>
  <si>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</si>
  <si>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</si>
  <si>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</si>
  <si>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</si>
  <si>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</si>
  <si>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</si>
  <si>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</si>
  <si>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</si>
  <si>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</si>
  <si>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</si>
  <si>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</si>
  <si>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</si>
  <si>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</si>
  <si>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</si>
  <si>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</si>
  <si>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</si>
  <si>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</si>
  <si>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</si>
  <si>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</si>
  <si>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</si>
  <si>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</si>
  <si>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</si>
  <si>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</si>
  <si>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</si>
  <si>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</si>
  <si>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</si>
  <si>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</si>
  <si>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</si>
  <si>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</si>
  <si>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</si>
  <si>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</si>
  <si>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</si>
  <si>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</si>
  <si>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</si>
  <si>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</si>
  <si>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</si>
  <si>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</si>
  <si>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</si>
  <si>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</si>
  <si>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</si>
  <si>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</si>
  <si>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</si>
  <si>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</si>
  <si>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</si>
  <si>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</si>
  <si>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</si>
  <si>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</si>
  <si>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</si>
  <si>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</si>
  <si>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</si>
  <si>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</si>
  <si>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</si>
  <si>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</si>
  <si>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</si>
  <si>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</si>
  <si>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</si>
  <si>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</si>
  <si>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</si>
  <si>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</si>
  <si>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</si>
  <si>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</si>
  <si>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</si>
  <si>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</si>
  <si>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</si>
  <si>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</si>
  <si>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</si>
  <si>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</si>
  <si>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</si>
  <si>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</si>
  <si>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</si>
  <si>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</si>
  <si>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</si>
  <si>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</si>
  <si>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</si>
  <si>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</si>
  <si>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</si>
  <si>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</si>
  <si>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</si>
  <si>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</si>
  <si>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</si>
  <si>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</si>
  <si>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</si>
  <si>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</si>
  <si>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</si>
  <si>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</si>
  <si>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</si>
  <si>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</si>
  <si>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</si>
  <si>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</si>
  <si>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</si>
  <si>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</si>
  <si>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</si>
  <si>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</si>
  <si>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</si>
  <si>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</si>
  <si>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</si>
  <si>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</si>
  <si>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</si>
  <si>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</si>
  <si>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</si>
  <si>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</si>
  <si>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</si>
  <si>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</si>
  <si>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</si>
  <si>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</si>
  <si>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</si>
  <si>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</si>
  <si>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</si>
  <si>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</si>
  <si>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</si>
  <si>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</si>
  <si>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</si>
  <si>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</si>
  <si>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</si>
  <si>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</si>
  <si>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</si>
  <si>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</si>
  <si>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</si>
  <si>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</si>
  <si>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</si>
  <si>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</si>
  <si>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</si>
  <si>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</si>
  <si>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</si>
  <si>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</si>
  <si>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</si>
  <si>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</si>
  <si>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</si>
  <si>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</si>
  <si>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</si>
  <si>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</si>
  <si>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</si>
  <si>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</si>
  <si>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</si>
  <si>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</si>
  <si>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</si>
  <si>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</si>
  <si>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</si>
  <si>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</si>
  <si>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</si>
  <si>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</si>
  <si>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</si>
  <si>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</si>
  <si>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</si>
  <si>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</si>
  <si>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</si>
  <si>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</si>
  <si>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</si>
  <si>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</si>
  <si>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</si>
  <si>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</si>
  <si>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</si>
  <si>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</si>
  <si>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</si>
  <si>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</si>
  <si>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</si>
  <si>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</si>
  <si>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</si>
  <si>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</si>
  <si>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</si>
  <si>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</si>
  <si>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</si>
  <si>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</si>
  <si>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</si>
  <si>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</si>
  <si>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</si>
  <si>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</si>
  <si>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</si>
  <si>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</si>
  <si>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</si>
  <si>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</si>
  <si>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</si>
  <si>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</si>
  <si>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</si>
  <si>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</si>
  <si>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$[IF(OR(E2="Story: Ready",E2="Tech Debt: Ready",AND(B2="Spike",E2="Story: New")), "Yes", "No")]&lt;/jt:forEach&gt;</t>
  </si>
  <si>
    <t>Rocket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</si>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</sst>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_ReadinessData!$C$20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_ReadinessData!$C$21:$C$34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_ReadinessData!$D$20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_ReadinessData!$D$21:$D$34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0.75862068965517238</c:v>
                </c:pt>
                <c:pt idx="1">
                  <c:v>0.24137931034482762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34.355159837964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[IF(OR(E2=&quot;Story: Ready&quot;,E2=&quot;Tech Debt: Ready&quot;,AND(B2=&quot;Spike&quot;,E2=&quot;Story: New&quot;)), &quot;Yes&quot;, &quot;No&quot;)]&lt;/jt:forEach&gt;"/>
        <m/>
        <s v="Yes"/>
        <s v="No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2"/>
  </r>
  <r>
    <s v="key"/>
    <x v="3"/>
    <m/>
    <s v="NW"/>
    <x v="3"/>
    <m/>
    <m/>
    <m/>
    <m/>
    <m/>
    <x v="1"/>
    <m/>
    <m/>
    <m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3"/>
  </r>
  <r>
    <s v="key"/>
    <x v="4"/>
    <s v="NEEDS FOR FILTERING IN PIVOT TABLES"/>
    <s v="SoftTeco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m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3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1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1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1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1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0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s v="&lt;/jt:forEach&gt;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1000000}" name="PivotTable7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howAll="0">
      <items count="5">
        <item x="0"/>
        <item x="3"/>
        <item x="2"/>
        <item x="1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hier="-1"/>
    <pageField fld="44" item="2" hier="-1"/>
  </pageFields>
  <dataFields count="1">
    <dataField name="Sum of Story Points" fld="13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1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5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1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20:D34" totalsRowShown="0">
  <autoFilter ref="B20:D34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Points",$B$12)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>
      <selection activeCell="K15" sqref="K15"/>
    </sheetView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242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241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240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R16">
        <f t="shared" si="0"/>
        <v>0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R17">
        <f t="shared" si="0"/>
        <v>0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240</v>
      </c>
      <c r="L20">
        <f>SUBTOTAL(109,Table1[Alpha])</f>
        <v>184</v>
      </c>
      <c r="M20">
        <f>SUBTOTAL(109,Table1[ngStars])</f>
        <v>424.5</v>
      </c>
      <c r="N20">
        <f>SUBTOTAL(109,Table1[NW])</f>
        <v>508.5</v>
      </c>
      <c r="O20">
        <f>SUBTOTAL(109,Table1[SoftTeco])</f>
        <v>686.5</v>
      </c>
      <c r="P20">
        <f>SUBTOTAL(109,Table1[Titan])</f>
        <v>25.5</v>
      </c>
      <c r="Q20">
        <f>SUBTOTAL(109,Table1[QA])</f>
        <v>29.5</v>
      </c>
      <c r="R20">
        <f>SUBTOTAL(109,Table1[Total])</f>
        <v>1858.5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Quasar11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185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222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11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226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233</v>
      </c>
      <c r="AK1" s="1" t="s">
        <v>44</v>
      </c>
      <c r="AL1" s="1" t="s">
        <v>119</v>
      </c>
      <c r="AM1" s="1" t="s">
        <v>120</v>
      </c>
      <c r="AN1" s="1" t="s">
        <v>217</v>
      </c>
      <c r="AO1" s="1" t="s">
        <v>216</v>
      </c>
      <c r="AP1" s="1" t="s">
        <v>218</v>
      </c>
      <c r="AQ1" s="1" t="s">
        <v>128</v>
      </c>
      <c r="AR1" s="1" t="s">
        <v>48</v>
      </c>
      <c r="AS1" s="1" t="s">
        <v>276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210</v>
      </c>
      <c r="AG2" s="15" t="s">
        <v>142</v>
      </c>
      <c r="AH2" s="10" t="s">
        <v>46</v>
      </c>
      <c r="AI2" s="10" t="s">
        <v>191</v>
      </c>
      <c r="AJ2" s="10" t="s">
        <v>232</v>
      </c>
      <c r="AK2" s="14" t="s">
        <v>49</v>
      </c>
      <c r="AL2" s="14" t="s">
        <v>122</v>
      </c>
      <c r="AM2" s="14" t="s">
        <v>121</v>
      </c>
      <c r="AN2" s="11" t="s">
        <v>211</v>
      </c>
      <c r="AO2" s="11" t="s">
        <v>212</v>
      </c>
      <c r="AP2" s="11" t="s">
        <v>213</v>
      </c>
      <c r="AQ2" s="15" t="s">
        <v>129</v>
      </c>
      <c r="AR2" s="15" t="s">
        <v>275</v>
      </c>
      <c r="AS2" s="15" t="s">
        <v>277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229</v>
      </c>
      <c r="AL4" s="4" t="s">
        <v>56</v>
      </c>
      <c r="AM4" s="4" t="s">
        <v>56</v>
      </c>
      <c r="AN4" s="4"/>
      <c r="AO4" s="4"/>
      <c r="AP4" s="4"/>
      <c r="AQ4" s="4"/>
      <c r="AS4" s="5" t="s">
        <v>279</v>
      </c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V5" s="4" t="s">
        <v>54</v>
      </c>
      <c r="W5" s="4"/>
      <c r="AE5" s="5" t="s">
        <v>169</v>
      </c>
      <c r="AG5" s="5" t="s">
        <v>144</v>
      </c>
      <c r="AI5" s="5" t="s">
        <v>222</v>
      </c>
      <c r="AJ5" s="10" t="s">
        <v>230</v>
      </c>
      <c r="AL5" s="4" t="s">
        <v>54</v>
      </c>
      <c r="AM5" s="4" t="s">
        <v>54</v>
      </c>
      <c r="AN5" s="4"/>
      <c r="AO5" s="4"/>
      <c r="AP5" s="4"/>
      <c r="AQ5" s="4"/>
      <c r="AS5" s="5" t="s">
        <v>280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V6" s="4" t="s">
        <v>57</v>
      </c>
      <c r="W6" s="4"/>
      <c r="AE6" s="5" t="s">
        <v>170</v>
      </c>
      <c r="AG6" s="5" t="s">
        <v>278</v>
      </c>
      <c r="AI6" s="5" t="s">
        <v>193</v>
      </c>
      <c r="AJ6" s="10" t="s">
        <v>238</v>
      </c>
      <c r="AL6" s="4" t="s">
        <v>57</v>
      </c>
      <c r="AM6" s="4" t="s">
        <v>57</v>
      </c>
      <c r="AN6" s="4"/>
      <c r="AO6" s="4"/>
      <c r="AP6" s="4"/>
      <c r="AQ6" s="4"/>
      <c r="AS6" s="5" t="s">
        <v>279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V7" s="4" t="s">
        <v>52</v>
      </c>
      <c r="W7" s="4"/>
      <c r="AE7" s="5" t="s">
        <v>171</v>
      </c>
      <c r="AI7" s="5" t="s">
        <v>194</v>
      </c>
      <c r="AJ7" s="10" t="s">
        <v>239</v>
      </c>
      <c r="AL7" s="4" t="s">
        <v>52</v>
      </c>
      <c r="AM7" s="4" t="s">
        <v>52</v>
      </c>
      <c r="AN7" s="4"/>
      <c r="AO7" s="4"/>
      <c r="AP7" s="4"/>
      <c r="AQ7" s="4"/>
      <c r="AS7" s="5" t="s">
        <v>280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Quasar11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Quasar11</v>
      </c>
      <c r="AI31" s="5" t="s">
        <v>222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Quasar11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Quasar11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Quasar11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Quasar11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Quasar11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224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225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222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230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238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239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4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4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4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4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4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4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4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4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4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4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4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R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252</v>
      </c>
    </row>
    <row r="3" spans="1:2" x14ac:dyDescent="0.45">
      <c r="A3" t="s">
        <v>249</v>
      </c>
    </row>
    <row r="4" spans="1:2" x14ac:dyDescent="0.45">
      <c r="B4" t="s">
        <v>248</v>
      </c>
    </row>
    <row r="5" spans="1:2" x14ac:dyDescent="0.45">
      <c r="A5" t="s">
        <v>269</v>
      </c>
    </row>
    <row r="6" spans="1:2" x14ac:dyDescent="0.45">
      <c r="B6" t="s">
        <v>270</v>
      </c>
    </row>
    <row r="7" spans="1:2" x14ac:dyDescent="0.45">
      <c r="A7" t="s">
        <v>271</v>
      </c>
    </row>
    <row r="8" spans="1:2" x14ac:dyDescent="0.45">
      <c r="B8" t="s">
        <v>250</v>
      </c>
    </row>
    <row r="9" spans="1:2" x14ac:dyDescent="0.45">
      <c r="A9" t="s">
        <v>272</v>
      </c>
    </row>
    <row r="10" spans="1:2" x14ac:dyDescent="0.45">
      <c r="B10" t="s">
        <v>251</v>
      </c>
    </row>
    <row r="11" spans="1:2" x14ac:dyDescent="0.45">
      <c r="A11" t="s">
        <v>273</v>
      </c>
    </row>
    <row r="12" spans="1:2" x14ac:dyDescent="0.45">
      <c r="B12" t="s">
        <v>253</v>
      </c>
    </row>
    <row r="13" spans="1:2" x14ac:dyDescent="0.45">
      <c r="B13" t="s">
        <v>254</v>
      </c>
    </row>
    <row r="14" spans="1:2" x14ac:dyDescent="0.45">
      <c r="A14" t="s">
        <v>274</v>
      </c>
    </row>
    <row r="15" spans="1:2" x14ac:dyDescent="0.45">
      <c r="B15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15" bestFit="1" customWidth="1"/>
    <col min="2" max="2" width="9.664062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22.929687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231</v>
      </c>
      <c r="B1" t="s">
        <v>200</v>
      </c>
      <c r="K1" t="s">
        <v>258</v>
      </c>
      <c r="L1" t="s">
        <v>230</v>
      </c>
      <c r="M1" t="s">
        <v>141</v>
      </c>
      <c r="N1" t="s">
        <v>229</v>
      </c>
      <c r="O1" t="s">
        <v>230</v>
      </c>
      <c r="P1" s="72" t="s">
        <v>141</v>
      </c>
      <c r="Q1" s="72"/>
      <c r="R1" s="72" t="s">
        <v>229</v>
      </c>
      <c r="S1" s="72"/>
      <c r="T1" s="72" t="s">
        <v>230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0.75862068965517238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215</v>
      </c>
      <c r="K2" s="22" t="s">
        <v>227</v>
      </c>
      <c r="L2" s="22" t="s">
        <v>227</v>
      </c>
      <c r="M2" s="22" t="s">
        <v>228</v>
      </c>
      <c r="N2" s="22" t="s">
        <v>228</v>
      </c>
      <c r="O2" s="22" t="s">
        <v>228</v>
      </c>
      <c r="P2" s="22" t="s">
        <v>246</v>
      </c>
      <c r="Q2" s="22" t="s">
        <v>247</v>
      </c>
      <c r="R2" s="22" t="s">
        <v>246</v>
      </c>
      <c r="S2" s="22" t="s">
        <v>247</v>
      </c>
      <c r="T2" s="22" t="s">
        <v>246</v>
      </c>
      <c r="U2" s="22" t="s">
        <v>247</v>
      </c>
      <c r="W2" s="27" t="s">
        <v>214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0.24137931034482762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236</v>
      </c>
      <c r="E5" s="27" t="s">
        <v>234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237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235</v>
      </c>
      <c r="E6" s="27">
        <f ca="1">TODAY()</f>
        <v>43334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224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229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230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f>100%-GETPIVOTDATA("Epic Remaining Estimate",$Y$4)/GETPIVOTDATA("Epic Total Estimate",$Y$4)</f>
        <v>0.75</v>
      </c>
      <c r="N14" s="43">
        <f>100%-GETPIVOTDATA("Epic Remaining Estimate",$Y$4,"ST:Components","Diagram Editor")/GETPIVOTDATA("Epic Total Estimate",$Y$4,"ST:Components","Diagram Editor")</f>
        <v>0.25</v>
      </c>
      <c r="O14" s="43">
        <f>100%-GETPIVOTDATA("Epic Remaining Estimate",$Y$4,"ST:Components","Artifact List")/GETPIVOTDATA("Epic Total Estimate",$Y$4,"ST:Components","Artifact List")</f>
        <v>0.25</v>
      </c>
      <c r="P14" s="46">
        <f t="shared" si="0"/>
        <v>492.4137931034482</v>
      </c>
      <c r="Q14" s="47">
        <f>GETPIVOTDATA("Epic Remaining Estimate",$Y$4)</f>
        <v>300</v>
      </c>
      <c r="R14" s="50">
        <f t="shared" si="3"/>
        <v>289.65517241379308</v>
      </c>
      <c r="S14" s="47">
        <f>GETPIVOTDATA("Epic Remaining Estimate",$Y$4,"ST:Components","Diagram Editor")</f>
        <v>150</v>
      </c>
      <c r="T14" s="46">
        <f t="shared" si="1"/>
        <v>144.82758620689654</v>
      </c>
      <c r="U14" s="47">
        <f>GETPIVOTDATA("Epic Remaining Estimate",$Y$4,"ST:Components","Artifact List")</f>
        <v>150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0"/>
      <c r="N15" s="40"/>
      <c r="O15" s="40"/>
      <c r="P15" s="46">
        <f t="shared" si="0"/>
        <v>307.75862068965512</v>
      </c>
      <c r="Q15" s="47"/>
      <c r="R15" s="50">
        <f t="shared" si="3"/>
        <v>181.03448275862067</v>
      </c>
      <c r="S15" s="47"/>
      <c r="T15" s="46">
        <f t="shared" si="1"/>
        <v>90.517241379310335</v>
      </c>
      <c r="U15" s="47"/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256</v>
      </c>
      <c r="B17" s="44" t="s">
        <v>257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0.75862068965517238</v>
      </c>
    </row>
    <row r="19" spans="1:21" x14ac:dyDescent="0.45">
      <c r="A19" t="s">
        <v>146</v>
      </c>
      <c r="B19" s="32">
        <f ca="1">MAX(100%,B18)-B18</f>
        <v>0.24137931034482762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225</v>
      </c>
      <c r="G22" s="16" t="s">
        <v>20</v>
      </c>
      <c r="H22" t="s">
        <v>224</v>
      </c>
    </row>
    <row r="24" spans="1:21" x14ac:dyDescent="0.45">
      <c r="A24" s="16" t="s">
        <v>219</v>
      </c>
      <c r="D24" s="16" t="s">
        <v>219</v>
      </c>
      <c r="G24" s="16" t="s">
        <v>219</v>
      </c>
    </row>
    <row r="25" spans="1:21" x14ac:dyDescent="0.45">
      <c r="A25" s="17" t="s">
        <v>220</v>
      </c>
      <c r="B25" s="20">
        <v>900</v>
      </c>
      <c r="D25" s="17" t="s">
        <v>220</v>
      </c>
      <c r="E25" s="20">
        <v>50</v>
      </c>
      <c r="G25" s="17" t="s">
        <v>220</v>
      </c>
      <c r="H25" s="20">
        <v>50</v>
      </c>
    </row>
    <row r="26" spans="1:21" x14ac:dyDescent="0.45">
      <c r="A26" s="17" t="s">
        <v>221</v>
      </c>
      <c r="B26" s="20">
        <v>80</v>
      </c>
      <c r="D26" s="17" t="s">
        <v>221</v>
      </c>
      <c r="E26" s="20">
        <v>40</v>
      </c>
      <c r="G26" s="17" t="s">
        <v>221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222</v>
      </c>
      <c r="B28" s="20">
        <v>60</v>
      </c>
      <c r="D28" s="17" t="s">
        <v>222</v>
      </c>
      <c r="E28" s="20">
        <v>30</v>
      </c>
      <c r="G28" s="17" t="s">
        <v>222</v>
      </c>
      <c r="H28" s="20">
        <v>30</v>
      </c>
    </row>
    <row r="29" spans="1:21" x14ac:dyDescent="0.45">
      <c r="A29" s="17" t="s">
        <v>223</v>
      </c>
      <c r="B29" s="20">
        <v>840</v>
      </c>
      <c r="D29" s="17" t="s">
        <v>223</v>
      </c>
      <c r="E29" s="20">
        <v>20</v>
      </c>
      <c r="G29" s="17" t="s">
        <v>223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225</v>
      </c>
      <c r="G33" s="16" t="s">
        <v>20</v>
      </c>
      <c r="H33" t="s">
        <v>224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229</v>
      </c>
      <c r="B50" s="20">
        <v>200</v>
      </c>
    </row>
    <row r="51" spans="1:2" x14ac:dyDescent="0.45">
      <c r="A51" s="17" t="s">
        <v>230</v>
      </c>
      <c r="B51" s="20">
        <v>200</v>
      </c>
    </row>
    <row r="52" spans="1:2" x14ac:dyDescent="0.45">
      <c r="A52" s="17" t="s">
        <v>238</v>
      </c>
      <c r="B52" s="20">
        <v>200</v>
      </c>
    </row>
    <row r="53" spans="1:2" x14ac:dyDescent="0.45">
      <c r="A53" s="17" t="s">
        <v>239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229</v>
      </c>
      <c r="M1" s="74"/>
      <c r="N1" s="74"/>
      <c r="O1" s="74"/>
      <c r="P1" s="74"/>
      <c r="Q1" s="74"/>
      <c r="R1" s="74"/>
      <c r="S1" s="74"/>
      <c r="T1" s="74" t="s">
        <v>230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241</v>
      </c>
      <c r="B2" s="56" t="s">
        <v>130</v>
      </c>
      <c r="C2" s="56" t="s">
        <v>131</v>
      </c>
      <c r="D2" s="57" t="s">
        <v>259</v>
      </c>
      <c r="E2" s="58" t="s">
        <v>260</v>
      </c>
      <c r="F2" s="59" t="s">
        <v>123</v>
      </c>
      <c r="G2" s="59" t="s">
        <v>261</v>
      </c>
      <c r="H2" s="59" t="s">
        <v>262</v>
      </c>
      <c r="I2" s="59" t="s">
        <v>263</v>
      </c>
      <c r="J2" s="59" t="s">
        <v>264</v>
      </c>
      <c r="K2" s="60" t="s">
        <v>265</v>
      </c>
      <c r="L2" s="57" t="s">
        <v>259</v>
      </c>
      <c r="M2" s="58" t="s">
        <v>260</v>
      </c>
      <c r="N2" s="59" t="s">
        <v>123</v>
      </c>
      <c r="O2" s="59" t="s">
        <v>261</v>
      </c>
      <c r="P2" s="59" t="s">
        <v>262</v>
      </c>
      <c r="Q2" s="59" t="s">
        <v>263</v>
      </c>
      <c r="R2" s="59" t="s">
        <v>264</v>
      </c>
      <c r="S2" s="60" t="s">
        <v>265</v>
      </c>
      <c r="T2" s="61" t="s">
        <v>259</v>
      </c>
      <c r="U2" s="58" t="s">
        <v>260</v>
      </c>
      <c r="V2" s="59" t="s">
        <v>123</v>
      </c>
      <c r="W2" s="59" t="s">
        <v>261</v>
      </c>
      <c r="X2" s="59" t="s">
        <v>262</v>
      </c>
      <c r="Y2" s="59" t="s">
        <v>263</v>
      </c>
      <c r="Z2" s="59" t="s">
        <v>264</v>
      </c>
      <c r="AA2" s="60" t="s">
        <v>265</v>
      </c>
      <c r="AB2" s="62"/>
    </row>
    <row r="3" spans="1:34" x14ac:dyDescent="0.45">
      <c r="A3" t="s">
        <v>266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267</v>
      </c>
      <c r="AG12" t="s">
        <v>268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224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f>GETPIVOTDATA("Epic Total Estimate", $AD$8, "Type", "Epic")</f>
        <v>1200</v>
      </c>
      <c r="E14" s="66">
        <v>2380</v>
      </c>
      <c r="F14" s="46">
        <f>GETPIVOTDATA("Stories Estimate", $AD$8, "Type", "Epic")</f>
        <v>0</v>
      </c>
      <c r="G14" s="46">
        <f>GETPIVOTDATA("Epic Decomposed", $AD$8, "Type", "Epic")</f>
        <v>360</v>
      </c>
      <c r="H14" s="46">
        <f t="shared" ref="H14" si="28">D14-I14</f>
        <v>900</v>
      </c>
      <c r="I14" s="46">
        <f>GETPIVOTDATA("Epic Remaining Estimate", $AD$8, "Type", "Epic")</f>
        <v>300</v>
      </c>
      <c r="J14" s="36">
        <f t="shared" ref="J14" si="29" xml:space="preserve"> G14/D14</f>
        <v>0.3</v>
      </c>
      <c r="K14" s="36">
        <f t="shared" ref="K14" si="30" xml:space="preserve"> H14/D14</f>
        <v>0.75</v>
      </c>
      <c r="L14" s="67">
        <f>GETPIVOTDATA("Epic Total Estimate", $AD$8, "Type", "Epic", "ST:Components", "Diagram Editor")</f>
        <v>200</v>
      </c>
      <c r="M14" s="66">
        <v>1400</v>
      </c>
      <c r="N14" s="46">
        <f>GETPIVOTDATA("Stories Estimate", $AD$8, "Type", "Epic", "ST:Components", "Diagram Editor")</f>
        <v>0</v>
      </c>
      <c r="O14" s="46">
        <f>GETPIVOTDATA("Epic Decomposed", $AD$8, "Type", "Epic", "ST:Components", "Diagram Editor")</f>
        <v>180</v>
      </c>
      <c r="P14" s="46">
        <f t="shared" ref="P14" si="31">L14-Q14</f>
        <v>50</v>
      </c>
      <c r="Q14" s="46">
        <f>GETPIVOTDATA("Epic Remaining Estimate", $AD$8, "Type", "Epic", "ST:Components", "Diagram Editor")</f>
        <v>150</v>
      </c>
      <c r="R14" s="36">
        <f t="shared" ref="R14" si="32" xml:space="preserve"> O14/L14</f>
        <v>0.9</v>
      </c>
      <c r="S14" s="36">
        <f t="shared" ref="S14" si="33" xml:space="preserve"> P14/L14</f>
        <v>0.25</v>
      </c>
      <c r="T14" s="65">
        <f>GETPIVOTDATA("Epic Total Estimate", $AD$8, "Type", "Epic", "ST:Components", "Artifact List")</f>
        <v>200</v>
      </c>
      <c r="U14" s="66">
        <v>700</v>
      </c>
      <c r="V14" s="46">
        <f>GETPIVOTDATA("Stories Estimate", $AD$8, "Type", "Epic", "ST:Components", "Artifact List")</f>
        <v>0</v>
      </c>
      <c r="W14" s="46">
        <f>GETPIVOTDATA("Epic Decomposed", $AD$8, "Type", "Epic", "ST:Components", "Artifact List")</f>
        <v>180</v>
      </c>
      <c r="X14" s="46">
        <f t="shared" ref="X14" si="34">T14-Y14</f>
        <v>50</v>
      </c>
      <c r="Y14" s="46">
        <f>GETPIVOTDATA("Epic Remaining Estimate", $AD$8, "Type", "Epic", "ST:Components", "Artifact List")</f>
        <v>150</v>
      </c>
      <c r="Z14" s="36">
        <f t="shared" ref="Z14" si="35" xml:space="preserve"> W14/T14</f>
        <v>0.9</v>
      </c>
      <c r="AA14" s="36">
        <f t="shared" ref="AA14" si="36">X14/T14</f>
        <v>0.25</v>
      </c>
      <c r="AD14" s="17" t="s">
        <v>225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E15" s="66">
        <v>2380</v>
      </c>
      <c r="M15" s="66">
        <v>1400</v>
      </c>
      <c r="U15" s="66">
        <v>700</v>
      </c>
      <c r="AD15" s="17" t="s">
        <v>237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D34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14.33203125" customWidth="1"/>
    <col min="5" max="5" width="9.46484375" customWidth="1"/>
    <col min="6" max="6" width="8.19921875" bestFit="1" customWidth="1"/>
    <col min="7" max="7" width="10.9296875" bestFit="1" customWidth="1"/>
    <col min="8" max="8" width="10.19921875" bestFit="1" customWidth="1"/>
    <col min="9" max="9" width="10.9296875" bestFit="1" customWidth="1"/>
    <col min="10" max="10" width="10.19921875" bestFit="1" customWidth="1"/>
  </cols>
  <sheetData>
    <row r="3" spans="2:3" x14ac:dyDescent="0.45">
      <c r="B3" s="16" t="s">
        <v>162</v>
      </c>
      <c r="C3" t="s">
        <v>243</v>
      </c>
    </row>
    <row r="4" spans="2:3" x14ac:dyDescent="0.45">
      <c r="B4" s="17" t="s">
        <v>68</v>
      </c>
      <c r="C4" s="20">
        <v>840</v>
      </c>
    </row>
    <row r="5" spans="2:3" x14ac:dyDescent="0.45">
      <c r="B5" s="17" t="s">
        <v>50</v>
      </c>
      <c r="C5" s="20">
        <v>840</v>
      </c>
    </row>
    <row r="9" spans="2:3" x14ac:dyDescent="0.45">
      <c r="B9" s="16" t="s">
        <v>9</v>
      </c>
      <c r="C9" t="s">
        <v>198</v>
      </c>
    </row>
    <row r="10" spans="2:3" x14ac:dyDescent="0.45">
      <c r="B10" s="16" t="s">
        <v>276</v>
      </c>
      <c r="C10" t="s">
        <v>279</v>
      </c>
    </row>
    <row r="12" spans="2:3" x14ac:dyDescent="0.45">
      <c r="B12" t="s">
        <v>189</v>
      </c>
    </row>
    <row r="13" spans="2:3" x14ac:dyDescent="0.45">
      <c r="B13" s="20"/>
    </row>
    <row r="20" spans="2:4" x14ac:dyDescent="0.45">
      <c r="B20" t="s">
        <v>241</v>
      </c>
      <c r="C20" t="s">
        <v>244</v>
      </c>
      <c r="D20" t="s">
        <v>245</v>
      </c>
    </row>
    <row r="21" spans="2:4" x14ac:dyDescent="0.45">
      <c r="B21" t="s">
        <v>148</v>
      </c>
      <c r="C21">
        <v>1872.5</v>
      </c>
      <c r="D21">
        <v>227.5</v>
      </c>
    </row>
    <row r="22" spans="2:4" x14ac:dyDescent="0.45">
      <c r="B22" t="s">
        <v>149</v>
      </c>
      <c r="C22">
        <v>1932.75</v>
      </c>
      <c r="D22">
        <v>291</v>
      </c>
    </row>
    <row r="23" spans="2:4" x14ac:dyDescent="0.45">
      <c r="B23" t="s">
        <v>150</v>
      </c>
      <c r="C23">
        <v>1438</v>
      </c>
      <c r="D23">
        <v>286</v>
      </c>
    </row>
    <row r="24" spans="2:4" x14ac:dyDescent="0.45">
      <c r="B24" t="s">
        <v>151</v>
      </c>
      <c r="C24">
        <v>1265</v>
      </c>
      <c r="D24">
        <v>339.5</v>
      </c>
    </row>
    <row r="25" spans="2:4" x14ac:dyDescent="0.45">
      <c r="B25" t="s">
        <v>152</v>
      </c>
      <c r="C25">
        <v>1099</v>
      </c>
      <c r="D25">
        <v>348</v>
      </c>
    </row>
    <row r="26" spans="2:4" x14ac:dyDescent="0.45">
      <c r="B26" t="s">
        <v>153</v>
      </c>
      <c r="C26">
        <v>779</v>
      </c>
      <c r="D26">
        <v>348</v>
      </c>
    </row>
    <row r="27" spans="2:4" x14ac:dyDescent="0.45">
      <c r="B27" t="s">
        <v>154</v>
      </c>
      <c r="C27">
        <v>701</v>
      </c>
      <c r="D27">
        <v>217</v>
      </c>
    </row>
    <row r="28" spans="2:4" x14ac:dyDescent="0.45">
      <c r="B28" t="s">
        <v>155</v>
      </c>
      <c r="C28">
        <v>521</v>
      </c>
      <c r="D28">
        <v>222.5</v>
      </c>
    </row>
    <row r="29" spans="2:4" x14ac:dyDescent="0.45">
      <c r="B29" t="s">
        <v>156</v>
      </c>
      <c r="C29">
        <v>441</v>
      </c>
      <c r="D29">
        <v>205</v>
      </c>
    </row>
    <row r="30" spans="2:4" x14ac:dyDescent="0.45">
      <c r="B30" t="s">
        <v>157</v>
      </c>
      <c r="C30">
        <v>416</v>
      </c>
      <c r="D30">
        <v>161</v>
      </c>
    </row>
    <row r="31" spans="2:4" x14ac:dyDescent="0.45">
      <c r="B31" t="s">
        <v>158</v>
      </c>
      <c r="C31">
        <f t="shared" ref="C31" si="0">GETPIVOTDATA("Epic Not Decomposed Estimate",$B$3)</f>
        <v>840</v>
      </c>
      <c r="D31">
        <f t="shared" ref="D31" si="1">GETPIVOTDATA("Story Points",$B$12)</f>
        <v>0</v>
      </c>
    </row>
    <row r="32" spans="2:4" x14ac:dyDescent="0.45">
      <c r="B32" t="s">
        <v>159</v>
      </c>
    </row>
    <row r="33" spans="2:2" x14ac:dyDescent="0.45">
      <c r="B33" t="s">
        <v>160</v>
      </c>
    </row>
    <row r="34" spans="2:2" x14ac:dyDescent="0.45">
      <c r="B34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222</v>
      </c>
      <c r="B9" s="20">
        <v>10</v>
      </c>
      <c r="D9" s="17" t="s">
        <v>222</v>
      </c>
      <c r="E9" s="20">
        <v>20</v>
      </c>
      <c r="G9" s="17" t="s">
        <v>222</v>
      </c>
      <c r="H9" s="20">
        <v>30</v>
      </c>
      <c r="J9" s="17" t="s">
        <v>222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2018-08-22T12:32:24Z</dcterms:modified>
</cp:coreProperties>
</file>