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BDEBAF73-7C56-496B-8DC9-B5F27D420929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Version Compare" sheetId="19" r:id="rId2"/>
    <sheet name="Traces" sheetId="20" r:id="rId3"/>
    <sheet name="Process Artifac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6" r:id="rId19"/>
  </pivotCaches>
  <fileRecoveryPr autoRecover="0"/>
</workbook>
</file>

<file path=xl/calcChain.xml><?xml version="1.0" encoding="utf-8"?>
<calcChain xmlns="http://schemas.openxmlformats.org/spreadsheetml/2006/main">
  <c r="AC9" i="26" l="1"/>
  <c r="U9" i="26"/>
  <c r="M9" i="26"/>
  <c r="E9" i="26"/>
  <c r="C21" i="24"/>
  <c r="D21" i="24"/>
  <c r="Y9" i="26"/>
  <c r="Q9" i="26"/>
  <c r="G9" i="26"/>
  <c r="V9" i="26"/>
  <c r="L9" i="26"/>
  <c r="AG9" i="26"/>
  <c r="I9" i="26"/>
  <c r="F9" i="26"/>
  <c r="T9" i="26"/>
  <c r="AE9" i="26"/>
  <c r="W9" i="26"/>
  <c r="O9" i="26"/>
  <c r="AD9" i="26"/>
  <c r="N9" i="26"/>
  <c r="AB9" i="26"/>
  <c r="D9" i="26"/>
  <c r="H9" i="26" l="1"/>
  <c r="K9" i="26" s="1"/>
  <c r="AF9" i="26"/>
  <c r="AI9" i="26" s="1"/>
  <c r="R9" i="26"/>
  <c r="Z9" i="26"/>
  <c r="AH9" i="26"/>
  <c r="X9" i="26"/>
  <c r="AA9" i="26" s="1"/>
  <c r="P9" i="26"/>
  <c r="S9" i="26" s="1"/>
  <c r="J9" i="26"/>
  <c r="AC8" i="26"/>
  <c r="U8" i="26"/>
  <c r="M8" i="26"/>
  <c r="E8" i="26"/>
  <c r="X9" i="9"/>
  <c r="V9" i="9"/>
  <c r="T9" i="9"/>
  <c r="R9" i="9"/>
  <c r="P9" i="9"/>
  <c r="M9" i="9"/>
  <c r="N9" i="9"/>
  <c r="O9" i="9"/>
  <c r="X8" i="26" l="1"/>
  <c r="AA8" i="26" s="1"/>
  <c r="H8" i="26"/>
  <c r="K8" i="26" s="1"/>
  <c r="Z8" i="26"/>
  <c r="AH8" i="26"/>
  <c r="P8" i="26"/>
  <c r="S8" i="26" s="1"/>
  <c r="J8" i="26"/>
  <c r="R8" i="26"/>
  <c r="AF8" i="26"/>
  <c r="AI8" i="26" s="1"/>
  <c r="AC7" i="26"/>
  <c r="U7" i="26"/>
  <c r="M7" i="26"/>
  <c r="E7" i="26"/>
  <c r="H7" i="26" l="1"/>
  <c r="K7" i="26" s="1"/>
  <c r="P7" i="26"/>
  <c r="S7" i="26" s="1"/>
  <c r="X7" i="26"/>
  <c r="AA7" i="26" s="1"/>
  <c r="AF7" i="26"/>
  <c r="AI7" i="26" s="1"/>
  <c r="J7" i="26"/>
  <c r="AH7" i="26"/>
  <c r="R7" i="26"/>
  <c r="Z7" i="26"/>
  <c r="AC6" i="26" l="1"/>
  <c r="U6" i="26"/>
  <c r="M6" i="26"/>
  <c r="E6" i="26"/>
  <c r="AF6" i="26" l="1"/>
  <c r="AI6" i="26" s="1"/>
  <c r="H6" i="26"/>
  <c r="K6" i="26" s="1"/>
  <c r="J6" i="26"/>
  <c r="AH6" i="26"/>
  <c r="P6" i="26"/>
  <c r="S6" i="26" s="1"/>
  <c r="X6" i="26"/>
  <c r="AA6" i="26" s="1"/>
  <c r="R6" i="26"/>
  <c r="Z6" i="26"/>
  <c r="AC5" i="26"/>
  <c r="U5" i="26"/>
  <c r="M5" i="26"/>
  <c r="E5" i="26"/>
  <c r="H5" i="26" l="1"/>
  <c r="K5" i="26" s="1"/>
  <c r="J5" i="26"/>
  <c r="Z5" i="26"/>
  <c r="X5" i="26"/>
  <c r="AA5" i="26" s="1"/>
  <c r="R5" i="26"/>
  <c r="AH5" i="26"/>
  <c r="P5" i="26"/>
  <c r="S5" i="26" s="1"/>
  <c r="AF5" i="26"/>
  <c r="AI5" i="26" s="1"/>
  <c r="AC10" i="26"/>
  <c r="U10" i="26"/>
  <c r="M10" i="26"/>
  <c r="E10" i="26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B18" i="9"/>
  <c r="B10" i="9"/>
  <c r="B14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K7" i="9" s="1"/>
  <c r="B7" i="9"/>
  <c r="K6" i="9" l="1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L5" i="9"/>
  <c r="U8" i="9"/>
  <c r="U5" i="9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<sst xmlns="http://schemas.openxmlformats.org/spreadsheetml/2006/main" count="1136" uniqueCount="289">
  <si>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</si>
  <si>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</si>
  <si>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</si>
  <si>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</si>
  <si>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</si>
  <si>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</si>
  <si>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</si>
  <si>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</si>
  <si>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</si>
  <si>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</si>
  <si>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</si>
  <si>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</si>
  <si>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</si>
  <si>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</si>
  <si>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</si>
  <si>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</si>
  <si>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</si>
  <si>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</si>
  <si>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</si>
  <si>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</si>
  <si>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</si>
  <si>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</si>
  <si>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</si>
  <si>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</si>
  <si>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</si>
  <si>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</si>
  <si>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</si>
  <si>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</si>
  <si>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</si>
  <si>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</si>
  <si>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</si>
  <si>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</si>
  <si>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</si>
  <si>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</si>
  <si>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</si>
  <si>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</si>
  <si>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</si>
  <si>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</si>
  <si>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</si>
  <si>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</si>
  <si>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</si>
  <si>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</si>
  <si>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</si>
  <si>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</si>
  <si>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</si>
  <si>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</si>
  <si>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</si>
  <si>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</si>
  <si>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</si>
  <si>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</si>
  <si>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</si>
  <si>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</si>
  <si>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</si>
  <si>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</si>
  <si>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</si>
  <si>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</si>
  <si>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</si>
  <si>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</si>
  <si>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</si>
  <si>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</si>
  <si>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</si>
  <si>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</si>
  <si>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</si>
  <si>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</si>
  <si>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</si>
  <si>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</si>
  <si>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</si>
  <si>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</si>
  <si>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</si>
  <si>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</si>
  <si>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</si>
  <si>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</si>
  <si>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</si>
  <si>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</si>
  <si>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</si>
  <si>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</si>
  <si>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</si>
  <si>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</si>
  <si>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</si>
  <si>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</si>
  <si>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</si>
  <si>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</si>
  <si>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</si>
  <si>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</si>
  <si>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</si>
  <si>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</si>
  <si>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</si>
  <si>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</si>
  <si>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</si>
  <si>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</si>
  <si>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</si>
  <si>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</si>
  <si>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</si>
  <si>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</si>
  <si>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</si>
  <si>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</si>
  <si>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</si>
  <si>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</si>
  <si>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</si>
  <si>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</si>
  <si>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</si>
  <si>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</si>
  <si>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</si>
  <si>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</si>
  <si>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</si>
  <si>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</si>
  <si>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</si>
  <si>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</si>
  <si>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</si>
  <si>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</si>
  <si>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</si>
  <si>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</si>
  <si>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</si>
  <si>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</si>
  <si>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</si>
  <si>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</si>
  <si>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</si>
  <si>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</si>
  <si>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</si>
  <si>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</si>
  <si>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</si>
  <si>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</si>
  <si>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</si>
  <si>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</si>
  <si>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</si>
  <si>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</si>
  <si>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</si>
  <si>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</si>
  <si>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</si>
  <si>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</si>
  <si>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</si>
  <si>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</si>
  <si>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</si>
  <si>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</si>
  <si>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</si>
  <si>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</si>
  <si>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</si>
  <si>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</si>
  <si>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</si>
  <si>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</si>
  <si>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</si>
  <si>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</si>
  <si>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</si>
  <si>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</si>
  <si>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</si>
  <si>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</si>
  <si>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</si>
  <si>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</si>
  <si>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</si>
  <si>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</si>
  <si>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</si>
  <si>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</si>
  <si>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</si>
  <si>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</si>
  <si>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</si>
  <si>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</si>
  <si>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</si>
  <si>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</si>
  <si>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</si>
  <si>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</si>
  <si>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</si>
  <si>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</si>
  <si>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</si>
  <si>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</si>
  <si>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</si>
  <si>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</si>
  <si>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</si>
  <si>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</si>
  <si>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</si>
  <si>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</si>
  <si>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</si>
  <si>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</si>
  <si>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</si>
  <si>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</si>
  <si>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</si>
  <si>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</si>
  <si>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</si>
  <si>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</si>
  <si>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</si>
  <si>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</si>
  <si>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</si>
  <si>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</si>
  <si>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</si>
  <si>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</si>
  <si>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</si>
  <si>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</si>
  <si>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</si>
  <si>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</si>
  <si>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</si>
  <si>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</si>
  <si>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</si>
  <si>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</si>
  <si>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</si>
  <si>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</si>
  <si>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</si>
  <si>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</si>
  <si>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</si>
  <si>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</si>
  <si>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</si>
  <si>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</si>
  <si>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</si>
  <si>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</si>
  <si>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</si>
  <si>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</si>
  <si>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</si>
  <si>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</si>
  <si>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</si>
  <si>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</si>
  <si>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</si>
  <si>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</si>
  <si>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</si>
  <si>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</si>
  <si>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</si>
  <si>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</si>
  <si>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</si>
  <si>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</si>
  <si>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</si>
  <si>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</si>
  <si>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</si>
  <si>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</si>
  <si>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</si>
  <si>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</si>
  <si>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</si>
  <si>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</si>
  <si>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</si>
  <si>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</si>
  <si>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</si>
  <si>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</si>
  <si>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</si>
  <si>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</si>
  <si>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</si>
  <si>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</si>
  <si>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</si>
  <si>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</si>
  <si>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</si>
  <si>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</si>
  <si>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</si>
  <si>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</si>
  <si>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</si>
  <si>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</si>
  <si>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</si>
  <si>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</si>
  <si>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</si>
  <si>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</si>
  <si>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</si>
  <si>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</si>
  <si>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</si>
  <si>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</si>
  <si>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</si>
  <si>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</si>
  <si>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</si>
  <si>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</si>
  <si>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</si>
  <si>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Glossary</t>
  </si>
  <si>
    <t>Time Elapsed Glossary</t>
  </si>
  <si>
    <t>T1</t>
  </si>
  <si>
    <t>T2</t>
  </si>
  <si>
    <t>T3</t>
  </si>
  <si>
    <t>T4</t>
  </si>
  <si>
    <t>T5</t>
  </si>
  <si>
    <t>T6</t>
  </si>
  <si>
    <t>T7</t>
  </si>
  <si>
    <t>Chart Total</t>
  </si>
  <si>
    <t>&lt;mt:execute script="field-helper-tool.groovy"/&gt;&lt;mt:execute script="blueprint-helper.groovy"/&gt;&lt;mt:execute script="blueprint-ursa-dashboard-helper.groovy"/&gt;</t>
  </si>
  <si>
    <t>${bpHelper.getUrsaComponent(issue)}</t>
  </si>
  <si>
    <t>Ursa Component</t>
  </si>
  <si>
    <t>Process Improvements</t>
  </si>
  <si>
    <t>Version Compare</t>
  </si>
  <si>
    <t>Traces</t>
  </si>
  <si>
    <t>Ursa</t>
  </si>
  <si>
    <t>U1</t>
  </si>
  <si>
    <t>U2</t>
  </si>
  <si>
    <t>U3</t>
  </si>
  <si>
    <t>U4</t>
  </si>
  <si>
    <t>U5</t>
  </si>
  <si>
    <t>U6</t>
  </si>
  <si>
    <t>U7</t>
  </si>
  <si>
    <t>Ursa1</t>
  </si>
  <si>
    <t>Ursa2</t>
  </si>
  <si>
    <t>Ursa3</t>
  </si>
  <si>
    <t>Ursa4</t>
  </si>
  <si>
    <t>Ursa5</t>
  </si>
  <si>
    <t>Ursa6</t>
  </si>
  <si>
    <t>Ursa7</t>
  </si>
  <si>
    <t>Process Artifact</t>
  </si>
  <si>
    <t>Release, Version Compare, Process Artifact</t>
  </si>
  <si>
    <t>Sum of Stories Estimate</t>
  </si>
  <si>
    <t>Sum of Epic Decomposed</t>
  </si>
  <si>
    <t>$[SUBSTITUTE(SUBSTITUTE(AE2, "rsa", ""), "itan",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</si>
</sst>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0.73134328358208955</c:v>
                </c:pt>
                <c:pt idx="1">
                  <c:v>0.26865671641791045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Version Compare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0.28999999999999998</c:v>
                </c:pt>
                <c:pt idx="3">
                  <c:v>0.63</c:v>
                </c:pt>
                <c:pt idx="4">
                  <c:v>0.67</c:v>
                </c:pt>
                <c:pt idx="5">
                  <c:v>0.86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129.85074626865674</c:v>
                </c:pt>
                <c:pt idx="2">
                  <c:v>107.46268656716418</c:v>
                </c:pt>
                <c:pt idx="3">
                  <c:v>87.313432835820905</c:v>
                </c:pt>
                <c:pt idx="4">
                  <c:v>64.925373134328368</c:v>
                </c:pt>
                <c:pt idx="5">
                  <c:v>42.53731343283583</c:v>
                </c:pt>
                <c:pt idx="6">
                  <c:v>22.388059701492537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148</c:v>
                </c:pt>
                <c:pt idx="1">
                  <c:v>137</c:v>
                </c:pt>
                <c:pt idx="2">
                  <c:v>100</c:v>
                </c:pt>
                <c:pt idx="3">
                  <c:v>49</c:v>
                </c:pt>
                <c:pt idx="4">
                  <c:v>45</c:v>
                </c:pt>
                <c:pt idx="5">
                  <c:v>18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131</c:v>
                </c:pt>
                <c:pt idx="4">
                  <c:v>137</c:v>
                </c:pt>
                <c:pt idx="5">
                  <c:v>129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131</c:v>
                </c:pt>
                <c:pt idx="4">
                  <c:v>137</c:v>
                </c:pt>
                <c:pt idx="5">
                  <c:v>129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131</c:v>
                </c:pt>
                <c:pt idx="4">
                  <c:v>137</c:v>
                </c:pt>
                <c:pt idx="5">
                  <c:v>129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82</c:v>
                </c:pt>
                <c:pt idx="4">
                  <c:v>92</c:v>
                </c:pt>
                <c:pt idx="5">
                  <c:v>111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0.73134328358208955</c:v>
                </c:pt>
                <c:pt idx="1">
                  <c:v>0.26865671641791045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Traces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Traces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0.48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0.82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120</c:v>
                </c:pt>
                <c:pt idx="1">
                  <c:v>103.88059701492539</c:v>
                </c:pt>
                <c:pt idx="2">
                  <c:v>85.97014925373135</c:v>
                </c:pt>
                <c:pt idx="3">
                  <c:v>69.850746268656721</c:v>
                </c:pt>
                <c:pt idx="4">
                  <c:v>51.940298507462693</c:v>
                </c:pt>
                <c:pt idx="5">
                  <c:v>34.029850746268664</c:v>
                </c:pt>
                <c:pt idx="6">
                  <c:v>17.910447761194028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118</c:v>
                </c:pt>
                <c:pt idx="1">
                  <c:v>97</c:v>
                </c:pt>
                <c:pt idx="2">
                  <c:v>61</c:v>
                </c:pt>
                <c:pt idx="3">
                  <c:v>53</c:v>
                </c:pt>
                <c:pt idx="4">
                  <c:v>42</c:v>
                </c:pt>
                <c:pt idx="5">
                  <c:v>26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141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141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103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141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57</c:v>
                </c:pt>
                <c:pt idx="3">
                  <c:v>65</c:v>
                </c:pt>
                <c:pt idx="4">
                  <c:v>78</c:v>
                </c:pt>
                <c:pt idx="5">
                  <c:v>115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0.73134328358208955</c:v>
                </c:pt>
                <c:pt idx="1">
                  <c:v>0.26865671641791045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Process Artifact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0.28999999999999998</c:v>
                </c:pt>
                <c:pt idx="2">
                  <c:v>0.54</c:v>
                </c:pt>
                <c:pt idx="3">
                  <c:v>0.79</c:v>
                </c:pt>
                <c:pt idx="4">
                  <c:v>0.89</c:v>
                </c:pt>
                <c:pt idx="5">
                  <c:v>1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47.611940298507463</c:v>
                </c:pt>
                <c:pt idx="2">
                  <c:v>39.402985074626869</c:v>
                </c:pt>
                <c:pt idx="3">
                  <c:v>32.014925373134332</c:v>
                </c:pt>
                <c:pt idx="4">
                  <c:v>23.805970149253731</c:v>
                </c:pt>
                <c:pt idx="5">
                  <c:v>15.597014925373136</c:v>
                </c:pt>
                <c:pt idx="6">
                  <c:v>8.2089552238805972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55</c:v>
                </c:pt>
                <c:pt idx="1">
                  <c:v>39</c:v>
                </c:pt>
                <c:pt idx="2">
                  <c:v>24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Artifact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52.5</c:v>
                </c:pt>
                <c:pt idx="5">
                  <c:v>48.5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52.5</c:v>
                </c:pt>
                <c:pt idx="5">
                  <c:v>48.5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52.5</c:v>
                </c:pt>
                <c:pt idx="5">
                  <c:v>48.5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41</c:v>
                </c:pt>
                <c:pt idx="4">
                  <c:v>46.5</c:v>
                </c:pt>
                <c:pt idx="5">
                  <c:v>48.5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[Ursa-Dashboard.xlsx]_ReleaseData!PivotTable6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74</c:v>
                </c:pt>
                <c:pt idx="1">
                  <c:v>67</c:v>
                </c:pt>
                <c:pt idx="2">
                  <c:v>51</c:v>
                </c:pt>
                <c:pt idx="3">
                  <c:v>0</c:v>
                </c:pt>
                <c:pt idx="4">
                  <c:v>241</c:v>
                </c:pt>
                <c:pt idx="5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239</c:v>
                </c:pt>
                <c:pt idx="1">
                  <c:v>177</c:v>
                </c:pt>
                <c:pt idx="2">
                  <c:v>144</c:v>
                </c:pt>
                <c:pt idx="3">
                  <c:v>150</c:v>
                </c:pt>
                <c:pt idx="4">
                  <c:v>224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0.13</c:v>
                </c:pt>
                <c:pt idx="2">
                  <c:v>0.32</c:v>
                </c:pt>
                <c:pt idx="3">
                  <c:v>0.5</c:v>
                </c:pt>
                <c:pt idx="4">
                  <c:v>0.56999999999999995</c:v>
                </c:pt>
                <c:pt idx="5">
                  <c:v>0.75</c:v>
                </c:pt>
                <c:pt idx="6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6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Ursa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Version Compare</c:v>
                </c:pt>
                <c:pt idx="1">
                  <c:v>Traces</c:v>
                </c:pt>
                <c:pt idx="2">
                  <c:v>Process Improvements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363.58208955223881</c:v>
                </c:pt>
                <c:pt idx="2">
                  <c:v>300.8955223880597</c:v>
                </c:pt>
                <c:pt idx="3">
                  <c:v>244.47761194029852</c:v>
                </c:pt>
                <c:pt idx="4">
                  <c:v>181.79104477611941</c:v>
                </c:pt>
                <c:pt idx="5">
                  <c:v>119.10447761194031</c:v>
                </c:pt>
                <c:pt idx="6">
                  <c:v>62.686567164179095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435</c:v>
                </c:pt>
                <c:pt idx="1">
                  <c:v>391</c:v>
                </c:pt>
                <c:pt idx="2">
                  <c:v>298</c:v>
                </c:pt>
                <c:pt idx="3">
                  <c:v>214</c:v>
                </c:pt>
                <c:pt idx="4">
                  <c:v>195</c:v>
                </c:pt>
                <c:pt idx="5">
                  <c:v>110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430</c:v>
                </c:pt>
                <c:pt idx="4">
                  <c:v>449</c:v>
                </c:pt>
                <c:pt idx="5">
                  <c:v>440.5</c:v>
                </c:pt>
                <c:pt idx="6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430</c:v>
                </c:pt>
                <c:pt idx="4">
                  <c:v>449</c:v>
                </c:pt>
                <c:pt idx="5">
                  <c:v>440.5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350</c:v>
                </c:pt>
                <c:pt idx="1">
                  <c:v>375</c:v>
                </c:pt>
                <c:pt idx="2">
                  <c:v>373</c:v>
                </c:pt>
                <c:pt idx="3">
                  <c:v>379</c:v>
                </c:pt>
                <c:pt idx="4">
                  <c:v>449</c:v>
                </c:pt>
                <c:pt idx="5">
                  <c:v>440.5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57</c:v>
                </c:pt>
                <c:pt idx="2">
                  <c:v>142</c:v>
                </c:pt>
                <c:pt idx="3">
                  <c:v>216</c:v>
                </c:pt>
                <c:pt idx="4">
                  <c:v>254</c:v>
                </c:pt>
                <c:pt idx="5">
                  <c:v>330.5</c:v>
                </c:pt>
                <c:pt idx="6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0.73134328358208955</c:v>
                </c:pt>
                <c:pt idx="1">
                  <c:v>0.26865671641791045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47.40610104167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4">
        <s v="${fieldHelper.getFieldValueByName(issue, &quot;ST:Components&quot;)}"/>
        <m/>
        <s v="Version Compare"/>
        <s v="Traces"/>
        <s v="Process Artifact"/>
        <s v="Doc Gen" u="1"/>
        <s v="Reuse" u="1"/>
        <s v="Diagram Editor" u="1"/>
        <s v="DevOps" u="1"/>
        <s v="Artifact List" u="1"/>
        <s v="Glossary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2">
        <s v="${bpHelper.getLastSprint(issue)}"/>
        <m/>
        <s v="Ursa1"/>
        <s v="Ursa2"/>
        <s v="Ursa3"/>
        <s v="Ursa4"/>
        <s v="Ursa5"/>
        <s v="Ursa6"/>
        <s v="Ursa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Titan1" u="1"/>
        <s v="Quasar12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Quasar7" u="1"/>
        <s v="Titan6" u="1"/>
        <s v="Quasar11" u="1"/>
        <s v="Titan7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57">
        <s v="$[SUBSTITUTE(SUBSTITUTE(AE2, &quot;rsa&quot;, &quot;&quot;), &quot;itan&quot;, &quot;&quot;)]"/>
        <m/>
        <s v="U1"/>
        <s v="U2"/>
        <s v="U3"/>
        <s v="U4"/>
        <s v="U5"/>
        <s v="U6"/>
        <s v="U7"/>
        <s v="$[SUBSTITUTE(SUBSTITUTE(AE2, &quot;itan&quot;, &quot;&quot;), &quot;aturn&quot;, &quot;&quot;)]" u="1"/>
        <s v="T1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T2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8">
        <s v="${issue.fixVersions.name}"/>
        <m/>
        <s v="Ursa"/>
        <s v="Titan"/>
        <s v="Rocket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Ursa Component" numFmtId="0">
      <sharedItems containsBlank="1" count="9">
        <s v="${bpHelper.getUrsaComponent(issue)}"/>
        <m/>
        <s v="Process Improvements"/>
        <s v="Version Compare"/>
        <s v="Traces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7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58">
        <item h="1" m="1" x="55"/>
        <item h="1" m="1" x="47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3">
        <item x="0"/>
        <item m="1" x="16"/>
        <item m="1" x="9"/>
        <item m="1" x="48"/>
        <item m="1" x="35"/>
        <item m="1" x="24"/>
        <item m="1" x="17"/>
        <item m="1" x="11"/>
        <item m="1" x="49"/>
        <item m="1" x="23"/>
        <item m="1" x="51"/>
        <item m="1" x="45"/>
        <item m="1" x="31"/>
        <item m="1" x="22"/>
        <item m="1" x="14"/>
        <item m="1" x="26"/>
        <item m="1" x="28"/>
        <item m="1" x="32"/>
        <item m="1" x="37"/>
        <item m="1" x="40"/>
        <item m="1" x="43"/>
        <item m="1" x="47"/>
        <item m="1" x="50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4"/>
        <item m="1" x="38"/>
        <item m="1" x="41"/>
        <item m="1" x="30"/>
        <item m="1" x="33"/>
        <item m="1" x="36"/>
        <item m="1" x="39"/>
        <item m="1" x="42"/>
        <item m="1" x="44"/>
        <item m="1" x="46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0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8">
        <item h="1" m="1" x="55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47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7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h="1" x="0"/>
        <item h="1" x="8"/>
        <item h="1" x="5"/>
        <item x="3"/>
        <item x="4"/>
        <item x="2"/>
        <item x="6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7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3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3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x="1"/>
        <item m="1" x="9"/>
        <item m="1" x="7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9">
        <item h="1" x="0"/>
        <item m="1" x="7"/>
        <item m="1" x="6"/>
        <item h="1" x="1"/>
        <item m="1" x="4"/>
        <item m="1" x="5"/>
        <item h="1"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269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270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271</v>
      </c>
      <c r="C7" s="20">
        <v>60</v>
      </c>
      <c r="K7" t="s">
        <v>255</v>
      </c>
      <c r="L7">
        <v>62.5</v>
      </c>
    </row>
    <row r="8" spans="2:13" x14ac:dyDescent="0.45">
      <c r="B8" s="17" t="s">
        <v>272</v>
      </c>
      <c r="C8" s="20">
        <v>30</v>
      </c>
      <c r="K8" t="s">
        <v>256</v>
      </c>
      <c r="L8">
        <v>88</v>
      </c>
    </row>
    <row r="9" spans="2:13" x14ac:dyDescent="0.45">
      <c r="B9" s="17" t="s">
        <v>273</v>
      </c>
      <c r="C9" s="20">
        <v>60</v>
      </c>
      <c r="K9" t="s">
        <v>257</v>
      </c>
      <c r="L9">
        <v>77</v>
      </c>
    </row>
    <row r="10" spans="2:13" x14ac:dyDescent="0.45">
      <c r="B10" s="17" t="s">
        <v>274</v>
      </c>
      <c r="C10" s="20">
        <v>60</v>
      </c>
      <c r="K10" t="s">
        <v>258</v>
      </c>
      <c r="L10">
        <v>40.5</v>
      </c>
    </row>
    <row r="11" spans="2:13" x14ac:dyDescent="0.45">
      <c r="B11" s="17" t="s">
        <v>275</v>
      </c>
      <c r="C11" s="20">
        <v>60</v>
      </c>
      <c r="K11" t="s">
        <v>259</v>
      </c>
      <c r="L11">
        <v>85.5</v>
      </c>
    </row>
    <row r="12" spans="2:13" x14ac:dyDescent="0.45">
      <c r="B12" s="17" t="s">
        <v>276</v>
      </c>
      <c r="C12" s="20"/>
      <c r="K12" t="s">
        <v>260</v>
      </c>
    </row>
    <row r="13" spans="2:13" x14ac:dyDescent="0.45">
      <c r="B13" s="17" t="s">
        <v>50</v>
      </c>
      <c r="C13" s="20">
        <v>370</v>
      </c>
      <c r="K13" t="s">
        <v>261</v>
      </c>
      <c r="M13" s="20"/>
    </row>
    <row r="14" spans="2:13" x14ac:dyDescent="0.45">
      <c r="K14" t="s">
        <v>187</v>
      </c>
      <c r="L14">
        <f>SUBTOTAL(109,Table1[R&amp;D])</f>
        <v>353.5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Ursa6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282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262</v>
      </c>
      <c r="E16" t="str">
        <f>"Sprint " &amp; SUBSTITUTE($B$1,"Ursa", "") &amp; " Progress"</f>
        <v>Sprint 6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269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269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270</v>
      </c>
      <c r="C30" s="20">
        <v>1</v>
      </c>
    </row>
    <row r="31" spans="2:3" x14ac:dyDescent="0.45">
      <c r="B31" s="17" t="s">
        <v>271</v>
      </c>
      <c r="C31" s="20"/>
    </row>
    <row r="32" spans="2:3" x14ac:dyDescent="0.45">
      <c r="B32" s="17" t="s">
        <v>272</v>
      </c>
      <c r="C32" s="20"/>
    </row>
    <row r="33" spans="2:3" x14ac:dyDescent="0.45">
      <c r="B33" s="17" t="s">
        <v>273</v>
      </c>
      <c r="C33" s="20">
        <v>1</v>
      </c>
    </row>
    <row r="34" spans="2:3" x14ac:dyDescent="0.45">
      <c r="B34" s="17" t="s">
        <v>274</v>
      </c>
      <c r="C34" s="20"/>
    </row>
    <row r="35" spans="2:3" x14ac:dyDescent="0.45">
      <c r="B35" s="17" t="s">
        <v>275</v>
      </c>
      <c r="C35" s="20"/>
    </row>
    <row r="36" spans="2:3" x14ac:dyDescent="0.45">
      <c r="B36" s="17" t="s">
        <v>276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265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263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288</v>
      </c>
      <c r="AG2" s="15" t="s">
        <v>136</v>
      </c>
      <c r="AH2" s="10" t="s">
        <v>46</v>
      </c>
      <c r="AI2" s="10" t="s">
        <v>146</v>
      </c>
      <c r="AJ2" s="10" t="s">
        <v>264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277</v>
      </c>
      <c r="AG4" s="5" t="s">
        <v>269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278</v>
      </c>
      <c r="AI5" s="5" t="s">
        <v>175</v>
      </c>
      <c r="AJ5" s="10" t="s">
        <v>267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279</v>
      </c>
      <c r="AI6" s="5" t="s">
        <v>148</v>
      </c>
      <c r="AJ6" s="5" t="s">
        <v>268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280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281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282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283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278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279</v>
      </c>
      <c r="AF12" s="5" t="s">
        <v>270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280</v>
      </c>
      <c r="AF13" s="5" t="s">
        <v>271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281</v>
      </c>
      <c r="AF14" s="5" t="s">
        <v>272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282</v>
      </c>
      <c r="AF15" s="5" t="s">
        <v>273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277</v>
      </c>
      <c r="AF16" s="5" t="s">
        <v>274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283</v>
      </c>
      <c r="AF17" s="5" t="s">
        <v>275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279</v>
      </c>
      <c r="AF18" s="5" t="s">
        <v>270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280</v>
      </c>
      <c r="AF19" s="5" t="s">
        <v>271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281</v>
      </c>
      <c r="AF20" s="5" t="s">
        <v>272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282</v>
      </c>
      <c r="AF21" s="5" t="s">
        <v>273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277</v>
      </c>
      <c r="AF22" s="5" t="s">
        <v>274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278</v>
      </c>
      <c r="AF23" s="5" t="s">
        <v>275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283</v>
      </c>
      <c r="AF24" s="5" t="s">
        <v>270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280</v>
      </c>
      <c r="AF25" s="5" t="s">
        <v>270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52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Ursa6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Ursa6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Ursa6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Ursa6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Ursa6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Ursa6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Ursa6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277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270</v>
      </c>
      <c r="AG40" s="5" t="s">
        <v>269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271</v>
      </c>
      <c r="AG41" s="5" t="s">
        <v>269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272</v>
      </c>
      <c r="AG42" s="5" t="s">
        <v>269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273</v>
      </c>
      <c r="AG43" s="5" t="s">
        <v>269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274</v>
      </c>
      <c r="AG44" s="5" t="s">
        <v>269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275</v>
      </c>
      <c r="AG45" s="5" t="s">
        <v>269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276</v>
      </c>
      <c r="AG46" s="5" t="s">
        <v>269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270</v>
      </c>
      <c r="AG49" s="5" t="s">
        <v>269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267</v>
      </c>
      <c r="P50" s="5">
        <v>200</v>
      </c>
      <c r="Q50" s="5">
        <v>150</v>
      </c>
      <c r="W50" s="5">
        <v>180</v>
      </c>
      <c r="AG50" s="5" t="s">
        <v>269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268</v>
      </c>
      <c r="P51" s="5">
        <v>200</v>
      </c>
      <c r="Q51" s="5">
        <v>150</v>
      </c>
      <c r="W51" s="5">
        <v>180</v>
      </c>
      <c r="AG51" s="5" t="s">
        <v>269</v>
      </c>
      <c r="AJ51" s="10" t="s">
        <v>267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284</v>
      </c>
      <c r="N52" s="5">
        <v>10</v>
      </c>
      <c r="P52" s="5">
        <v>200</v>
      </c>
      <c r="Q52" s="5">
        <v>150</v>
      </c>
      <c r="W52" s="5">
        <v>180</v>
      </c>
      <c r="AG52" s="5" t="s">
        <v>269</v>
      </c>
      <c r="AI52" s="5" t="s">
        <v>147</v>
      </c>
      <c r="AJ52" s="10" t="s">
        <v>266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284</v>
      </c>
      <c r="N53" s="5">
        <v>10</v>
      </c>
      <c r="P53" s="5">
        <v>200</v>
      </c>
      <c r="Q53" s="5">
        <v>150</v>
      </c>
      <c r="AG53" s="5" t="s">
        <v>269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284</v>
      </c>
      <c r="N54" s="5">
        <v>10</v>
      </c>
      <c r="P54" s="5">
        <v>200</v>
      </c>
      <c r="Q54" s="5">
        <v>150</v>
      </c>
      <c r="AG54" s="5" t="s">
        <v>269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269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269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269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269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269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269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269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269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269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269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269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269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269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269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269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269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269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269</v>
      </c>
      <c r="AJ73" s="10" t="s">
        <v>266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269</v>
      </c>
      <c r="AJ74" s="10" t="s">
        <v>267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269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269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269</v>
      </c>
      <c r="AJ77" s="5" t="s">
        <v>268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270</v>
      </c>
      <c r="AG78" s="5" t="s">
        <v>269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271</v>
      </c>
      <c r="AG79" s="5" t="s">
        <v>269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272</v>
      </c>
      <c r="AG80" s="5" t="s">
        <v>269</v>
      </c>
      <c r="AJ80" s="10" t="s">
        <v>267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273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274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275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270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271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272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273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274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275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270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271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270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8.9296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28.6640625" bestFit="1" customWidth="1"/>
    <col min="6" max="6" width="16.86328125" bestFit="1" customWidth="1"/>
    <col min="7" max="7" width="14.6640625" bestFit="1" customWidth="1"/>
    <col min="8" max="8" width="8.265625" bestFit="1" customWidth="1"/>
    <col min="9" max="9" width="12" customWidth="1"/>
    <col min="10" max="10" width="14.6640625" bestFit="1" customWidth="1"/>
    <col min="11" max="11" width="15.53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4.53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285</v>
      </c>
      <c r="L1" t="s">
        <v>253</v>
      </c>
      <c r="M1" t="s">
        <v>135</v>
      </c>
      <c r="N1" t="s">
        <v>267</v>
      </c>
      <c r="O1" t="s">
        <v>268</v>
      </c>
      <c r="P1" t="s">
        <v>284</v>
      </c>
      <c r="Q1" s="79" t="s">
        <v>135</v>
      </c>
      <c r="R1" s="79"/>
      <c r="S1" s="79" t="s">
        <v>267</v>
      </c>
      <c r="T1" s="79"/>
      <c r="U1" s="79" t="s">
        <v>268</v>
      </c>
      <c r="V1" s="79"/>
      <c r="W1" s="79" t="s">
        <v>284</v>
      </c>
      <c r="X1" s="79"/>
      <c r="AB1" s="16" t="s">
        <v>135</v>
      </c>
      <c r="AC1" t="s">
        <v>269</v>
      </c>
    </row>
    <row r="2" spans="1:30" x14ac:dyDescent="0.45">
      <c r="A2" t="s">
        <v>137</v>
      </c>
      <c r="B2" s="44">
        <f ca="1">MAX(NETWORKDAYS($D$3,$E$6,$Z$3:$Z$9)/NETWORKDAYS($D$3,$E$3,$Z$3:$Z$9),0%)</f>
        <v>0.73134328358208955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0.26865671641791045</v>
      </c>
      <c r="D3" s="26">
        <v>43677</v>
      </c>
      <c r="E3" s="27">
        <v>43774</v>
      </c>
      <c r="J3" s="34"/>
      <c r="K3" s="33">
        <v>0</v>
      </c>
      <c r="L3" s="33">
        <v>0</v>
      </c>
      <c r="M3" s="78">
        <v>0</v>
      </c>
      <c r="N3" s="76">
        <v>0</v>
      </c>
      <c r="O3" s="76">
        <v>0</v>
      </c>
      <c r="P3" s="76">
        <v>0</v>
      </c>
      <c r="Q3" s="40">
        <f>$Q$25*(100%-K3)</f>
        <v>420</v>
      </c>
      <c r="R3" s="42">
        <v>435</v>
      </c>
      <c r="S3" s="40">
        <f>$Q$26*(100%-K3)</f>
        <v>150</v>
      </c>
      <c r="T3" s="42">
        <v>148</v>
      </c>
      <c r="U3" s="40">
        <f>$Q$27*(100%-L3)</f>
        <v>120</v>
      </c>
      <c r="V3" s="42">
        <v>118</v>
      </c>
      <c r="W3" s="40">
        <f>$Q$28*(100%-K3)</f>
        <v>55</v>
      </c>
      <c r="X3" s="42">
        <v>55</v>
      </c>
      <c r="Z3" s="32">
        <v>43682</v>
      </c>
      <c r="AB3" s="16" t="s">
        <v>248</v>
      </c>
      <c r="AC3" t="s">
        <v>218</v>
      </c>
    </row>
    <row r="4" spans="1:30" x14ac:dyDescent="0.45">
      <c r="D4" s="45"/>
      <c r="E4" s="46">
        <v>43774</v>
      </c>
      <c r="G4" s="23" t="s">
        <v>270</v>
      </c>
      <c r="H4" s="24">
        <v>43677</v>
      </c>
      <c r="I4" s="24">
        <f>H4+13</f>
        <v>43690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0.13</v>
      </c>
      <c r="N4" s="76">
        <v>0.06</v>
      </c>
      <c r="O4" s="76">
        <v>0.19</v>
      </c>
      <c r="P4" s="76">
        <v>0.28999999999999998</v>
      </c>
      <c r="Q4" s="40">
        <f>$Q$25*(100%-K4)</f>
        <v>363.58208955223881</v>
      </c>
      <c r="R4" s="42">
        <v>391</v>
      </c>
      <c r="S4" s="42">
        <f>$Q$26*(100%-K4)</f>
        <v>129.85074626865674</v>
      </c>
      <c r="T4" s="42">
        <v>137</v>
      </c>
      <c r="U4" s="40">
        <f>$Q$27*(100%-L4)</f>
        <v>103.88059701492539</v>
      </c>
      <c r="V4" s="42">
        <v>97</v>
      </c>
      <c r="W4" s="40">
        <f>$Q$28*(100%-K4)</f>
        <v>47.611940298507463</v>
      </c>
      <c r="X4" s="42">
        <v>39</v>
      </c>
      <c r="Z4" s="32">
        <v>43710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271</v>
      </c>
      <c r="H5" s="24">
        <f>I4+1</f>
        <v>43691</v>
      </c>
      <c r="I5" s="24">
        <f>I4+14</f>
        <v>43704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v>0.32</v>
      </c>
      <c r="N5" s="76">
        <v>0.28999999999999998</v>
      </c>
      <c r="O5" s="76">
        <v>0.48</v>
      </c>
      <c r="P5" s="76">
        <v>0.54</v>
      </c>
      <c r="Q5" s="40">
        <f t="shared" ref="Q5:Q9" si="1">$Q$25*(100%-K5)</f>
        <v>300.8955223880597</v>
      </c>
      <c r="R5" s="42">
        <v>298</v>
      </c>
      <c r="S5" s="42">
        <f t="shared" ref="S5:S9" si="2">$Q$26*(100%-K5)</f>
        <v>107.46268656716418</v>
      </c>
      <c r="T5" s="42">
        <v>100</v>
      </c>
      <c r="U5" s="40">
        <f t="shared" ref="U5:U9" si="3">$Q$27*(100%-L5)</f>
        <v>85.97014925373135</v>
      </c>
      <c r="V5" s="42">
        <v>61</v>
      </c>
      <c r="W5" s="40">
        <f t="shared" ref="W5:W9" si="4">$Q$28*(100%-K5)</f>
        <v>39.402985074626869</v>
      </c>
      <c r="X5" s="42">
        <v>24</v>
      </c>
      <c r="Z5" s="32">
        <v>43752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43747</v>
      </c>
      <c r="G6" s="23" t="s">
        <v>272</v>
      </c>
      <c r="H6" s="24">
        <f>I5+1</f>
        <v>43705</v>
      </c>
      <c r="I6" s="24">
        <f>I5+14</f>
        <v>43718</v>
      </c>
      <c r="J6" s="35">
        <f t="shared" si="0"/>
        <v>9</v>
      </c>
      <c r="K6" s="36">
        <f>SUM($J$4:J6)/SUM($J$4:$J$10)</f>
        <v>0.41791044776119401</v>
      </c>
      <c r="L6" s="36">
        <f>SUM($J$4:J6)/SUM($J$4:$J$10)</f>
        <v>0.41791044776119401</v>
      </c>
      <c r="M6" s="70">
        <v>0.5</v>
      </c>
      <c r="N6" s="76">
        <v>0.63</v>
      </c>
      <c r="O6" s="76">
        <v>0.55000000000000004</v>
      </c>
      <c r="P6" s="76">
        <v>0.79</v>
      </c>
      <c r="Q6" s="40">
        <f t="shared" ref="Q6" si="5">$Q$25*(100%-K6)</f>
        <v>244.47761194029852</v>
      </c>
      <c r="R6" s="42">
        <v>214</v>
      </c>
      <c r="S6" s="42">
        <f t="shared" ref="S6" si="6">$Q$26*(100%-K6)</f>
        <v>87.313432835820905</v>
      </c>
      <c r="T6" s="42">
        <v>49</v>
      </c>
      <c r="U6" s="40">
        <f t="shared" ref="U6" si="7">$Q$27*(100%-L6)</f>
        <v>69.850746268656721</v>
      </c>
      <c r="V6" s="42">
        <v>53</v>
      </c>
      <c r="W6" s="40">
        <f t="shared" ref="W6" si="8">$Q$28*(100%-K6)</f>
        <v>32.014925373134332</v>
      </c>
      <c r="X6" s="42">
        <v>11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273</v>
      </c>
      <c r="H7" s="24">
        <f t="shared" ref="H7:H9" si="9">I6+1</f>
        <v>43719</v>
      </c>
      <c r="I7" s="24">
        <f t="shared" ref="I7:I10" si="10">I6+14</f>
        <v>43732</v>
      </c>
      <c r="J7" s="35">
        <f t="shared" si="0"/>
        <v>10</v>
      </c>
      <c r="K7" s="36">
        <f>SUM($J$4:J7)/SUM($J$4:$J$10)</f>
        <v>0.56716417910447758</v>
      </c>
      <c r="L7" s="36">
        <f>SUM($J$4:J7)/SUM($J$4:$J$10)</f>
        <v>0.56716417910447758</v>
      </c>
      <c r="M7" s="70">
        <v>0.56999999999999995</v>
      </c>
      <c r="N7" s="76">
        <v>0.67</v>
      </c>
      <c r="O7" s="76">
        <v>0.65</v>
      </c>
      <c r="P7" s="76">
        <v>0.89</v>
      </c>
      <c r="Q7" s="40">
        <f t="shared" si="1"/>
        <v>181.79104477611941</v>
      </c>
      <c r="R7" s="42">
        <v>195</v>
      </c>
      <c r="S7" s="42">
        <f t="shared" si="2"/>
        <v>64.925373134328368</v>
      </c>
      <c r="T7" s="42">
        <v>45</v>
      </c>
      <c r="U7" s="40">
        <f t="shared" si="3"/>
        <v>51.940298507462693</v>
      </c>
      <c r="V7" s="42">
        <v>42</v>
      </c>
      <c r="W7" s="40">
        <f t="shared" si="4"/>
        <v>23.805970149253731</v>
      </c>
      <c r="X7" s="42">
        <v>6</v>
      </c>
      <c r="Z7" s="32"/>
      <c r="AB7" s="17" t="s">
        <v>267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274</v>
      </c>
      <c r="H8" s="24">
        <f t="shared" si="9"/>
        <v>43733</v>
      </c>
      <c r="I8" s="24">
        <f t="shared" si="10"/>
        <v>43746</v>
      </c>
      <c r="J8" s="35">
        <f t="shared" si="0"/>
        <v>10</v>
      </c>
      <c r="K8" s="36">
        <f>SUM($J$4:J8)/SUM($J$4:$J$10)</f>
        <v>0.71641791044776115</v>
      </c>
      <c r="L8" s="36">
        <f>SUM($J$4:J8)/SUM($J$4:$J$10)</f>
        <v>0.71641791044776115</v>
      </c>
      <c r="M8" s="70">
        <v>0.75</v>
      </c>
      <c r="N8" s="76">
        <v>0.86</v>
      </c>
      <c r="O8" s="76">
        <v>0.82</v>
      </c>
      <c r="P8" s="76">
        <v>1</v>
      </c>
      <c r="Q8" s="40">
        <f t="shared" si="1"/>
        <v>119.10447761194031</v>
      </c>
      <c r="R8" s="42">
        <v>110</v>
      </c>
      <c r="S8" s="42">
        <f t="shared" si="2"/>
        <v>42.53731343283583</v>
      </c>
      <c r="T8" s="42">
        <v>18</v>
      </c>
      <c r="U8" s="40">
        <f t="shared" si="3"/>
        <v>34.029850746268664</v>
      </c>
      <c r="V8" s="42">
        <v>26</v>
      </c>
      <c r="W8" s="40">
        <f t="shared" si="4"/>
        <v>15.597014925373136</v>
      </c>
      <c r="X8" s="42">
        <v>0</v>
      </c>
      <c r="Z8" s="32"/>
      <c r="AB8" s="17" t="s">
        <v>268</v>
      </c>
      <c r="AC8" s="20">
        <v>200</v>
      </c>
      <c r="AD8" s="20">
        <v>150</v>
      </c>
    </row>
    <row r="9" spans="1:30" x14ac:dyDescent="0.45">
      <c r="A9" s="39" t="s">
        <v>267</v>
      </c>
      <c r="B9" s="21"/>
      <c r="C9" s="21"/>
      <c r="D9" s="21"/>
      <c r="G9" s="67" t="s">
        <v>275</v>
      </c>
      <c r="H9" s="68">
        <f t="shared" si="9"/>
        <v>43747</v>
      </c>
      <c r="I9" s="68">
        <f t="shared" si="10"/>
        <v>43760</v>
      </c>
      <c r="J9" s="69">
        <f t="shared" si="0"/>
        <v>9</v>
      </c>
      <c r="K9" s="70">
        <f>SUM($J$4:J9)/SUM($J$4:$J$10)</f>
        <v>0.85074626865671643</v>
      </c>
      <c r="L9" s="70">
        <f>SUM($J$4:J9)/SUM($J$4:$J$10)</f>
        <v>0.85074626865671643</v>
      </c>
      <c r="M9" s="70">
        <f>100%-GETPIVOTDATA("Epic Remaining Estimate",$AB$4)/GETPIVOTDATA("Epic Total Estimate",$AB$4)</f>
        <v>0.77501406162114872</v>
      </c>
      <c r="N9" s="76">
        <f>100%-GETPIVOTDATA("Epic Remaining Estimate",$AB$4,"ST:Components","Version Compare")/GETPIVOTDATA("Epic Total Estimate",$AB$4,"ST:Components","Version Compare")</f>
        <v>0.25</v>
      </c>
      <c r="O9" s="76">
        <f>100%-GETPIVOTDATA("Epic Remaining Estimate",$AB$4,"ST:Components","Traces")/GETPIVOTDATA("Epic Total Estimate",$AB$4,"ST:Components","Traces")</f>
        <v>0.25</v>
      </c>
      <c r="P9" s="76">
        <f>100%-GETPIVOTDATA("Epic Remaining Estimate",$AB$4,"ST:Components","Process Artifact")/GETPIVOTDATA("Epic Total Estimate",$AB$4,"ST:Components","Process Artifact")</f>
        <v>0.25</v>
      </c>
      <c r="Q9" s="42">
        <f t="shared" si="1"/>
        <v>62.686567164179095</v>
      </c>
      <c r="R9" s="42">
        <f>GETPIVOTDATA("Epic Remaining Estimate",$AB$4)</f>
        <v>450</v>
      </c>
      <c r="S9" s="42">
        <f t="shared" si="2"/>
        <v>22.388059701492537</v>
      </c>
      <c r="T9" s="42">
        <f>GETPIVOTDATA("Epic Remaining Estimate",$AB$4,"ST:Components","Version Compare")</f>
        <v>150</v>
      </c>
      <c r="U9" s="42">
        <f t="shared" si="3"/>
        <v>17.910447761194028</v>
      </c>
      <c r="V9" s="42">
        <f>GETPIVOTDATA("Epic Remaining Estimate",$AB$4,"ST:Components","Traces")</f>
        <v>150</v>
      </c>
      <c r="W9" s="42">
        <f t="shared" si="4"/>
        <v>8.2089552238805972</v>
      </c>
      <c r="X9" s="42">
        <f>GETPIVOTDATA("Epic Remaining Estimate",$AB$4,"ST:Components","Process Artifact")</f>
        <v>150</v>
      </c>
      <c r="Z9" s="32"/>
      <c r="AB9" s="17" t="s">
        <v>284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Estimate",$AB$4,"ST:Components","Version Compare")/GETPIVOTDATA("Epic Total Estimate",$AB$4,"ST:Components","Version Compare")</f>
        <v>0.25</v>
      </c>
      <c r="G10" s="72" t="s">
        <v>276</v>
      </c>
      <c r="H10" s="73">
        <f t="shared" ref="H10" si="11">I9+1</f>
        <v>43761</v>
      </c>
      <c r="I10" s="73">
        <f t="shared" si="10"/>
        <v>43774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Estimate",$AB$4,"ST:Components","Traces")/GETPIVOTDATA("Epic Total Estimate",$AB$4,"ST:Components","Traces")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284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Estimate",$AB$4,"ST:Components","Process Artifact")/GETPIVOTDATA("Epic Total Estimate",$AB$4,"ST:Components","Process Artifact")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254</v>
      </c>
      <c r="B21" s="39"/>
    </row>
    <row r="22" spans="1:24" x14ac:dyDescent="0.45">
      <c r="A22" t="s">
        <v>137</v>
      </c>
      <c r="B22" s="44">
        <f ca="1">MAX(NETWORKDAYS($D$3,$E$6,$Z$3:$Z$9)/NETWORKDAYS($D$3,$E$3,$Z$3:$Z$9),0%)</f>
        <v>0.73134328358208955</v>
      </c>
    </row>
    <row r="23" spans="1:24" x14ac:dyDescent="0.45">
      <c r="A23" t="s">
        <v>138</v>
      </c>
      <c r="B23" s="30">
        <f ca="1">MAX(100%,B22)-B22</f>
        <v>0.26865671641791045</v>
      </c>
    </row>
    <row r="24" spans="1:24" x14ac:dyDescent="0.45">
      <c r="D24" s="16" t="s">
        <v>135</v>
      </c>
      <c r="E24" t="s">
        <v>269</v>
      </c>
      <c r="G24" s="16" t="s">
        <v>135</v>
      </c>
      <c r="H24" t="s">
        <v>269</v>
      </c>
      <c r="J24" s="16" t="s">
        <v>135</v>
      </c>
      <c r="K24" t="s">
        <v>269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269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267</v>
      </c>
      <c r="G26" s="16" t="s">
        <v>20</v>
      </c>
      <c r="H26" t="s">
        <v>268</v>
      </c>
      <c r="J26" s="16" t="s">
        <v>20</v>
      </c>
      <c r="K26" t="s">
        <v>284</v>
      </c>
      <c r="P26" t="s">
        <v>267</v>
      </c>
      <c r="Q26">
        <v>150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268</v>
      </c>
      <c r="Q27">
        <v>120</v>
      </c>
    </row>
    <row r="28" spans="1:24" x14ac:dyDescent="0.45">
      <c r="L28" s="16"/>
      <c r="M28" s="16"/>
      <c r="N28" s="16"/>
      <c r="O28" s="16"/>
      <c r="P28" s="16" t="s">
        <v>284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269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269</v>
      </c>
      <c r="G37" s="16" t="s">
        <v>135</v>
      </c>
      <c r="H37" t="s">
        <v>269</v>
      </c>
      <c r="J37" s="16" t="s">
        <v>135</v>
      </c>
      <c r="K37" t="s">
        <v>269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267</v>
      </c>
      <c r="G39" s="16" t="s">
        <v>20</v>
      </c>
      <c r="H39" t="s">
        <v>268</v>
      </c>
      <c r="J39" s="16" t="s">
        <v>20</v>
      </c>
      <c r="K39" t="s">
        <v>284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269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267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268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266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186</v>
      </c>
      <c r="B59" s="20">
        <v>200</v>
      </c>
      <c r="E59" s="17" t="s">
        <v>184</v>
      </c>
      <c r="F59" s="20"/>
    </row>
    <row r="60" spans="1:7" x14ac:dyDescent="0.45">
      <c r="A60" s="17" t="s">
        <v>50</v>
      </c>
      <c r="B60" s="20">
        <v>1600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1600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4.1992187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267</v>
      </c>
      <c r="M1" s="81"/>
      <c r="N1" s="81"/>
      <c r="O1" s="81"/>
      <c r="P1" s="81"/>
      <c r="Q1" s="81"/>
      <c r="R1" s="81"/>
      <c r="S1" s="81"/>
      <c r="T1" s="81" t="s">
        <v>268</v>
      </c>
      <c r="U1" s="81"/>
      <c r="V1" s="81"/>
      <c r="W1" s="81"/>
      <c r="X1" s="81"/>
      <c r="Y1" s="81"/>
      <c r="Z1" s="81"/>
      <c r="AA1" s="81"/>
      <c r="AB1" s="81" t="s">
        <v>284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435</v>
      </c>
      <c r="E3" s="58">
        <f>_ReleaseData!$Q$25</f>
        <v>420</v>
      </c>
      <c r="F3" s="40">
        <v>435</v>
      </c>
      <c r="G3" s="40">
        <v>350</v>
      </c>
      <c r="H3" s="40">
        <f t="shared" ref="H3:H4" si="0">D3-I3</f>
        <v>0</v>
      </c>
      <c r="I3" s="40">
        <v>435</v>
      </c>
      <c r="J3" s="33">
        <f t="shared" ref="J3:J4" si="1" xml:space="preserve"> G3/D3</f>
        <v>0.8045977011494253</v>
      </c>
      <c r="K3" s="33">
        <f t="shared" ref="K3:K4" si="2" xml:space="preserve"> H3/D3</f>
        <v>0</v>
      </c>
      <c r="L3" s="59">
        <v>148</v>
      </c>
      <c r="M3" s="58">
        <f>_ReleaseData!$Q$26</f>
        <v>150</v>
      </c>
      <c r="N3" s="40">
        <v>148</v>
      </c>
      <c r="O3" s="40">
        <v>148</v>
      </c>
      <c r="P3" s="40">
        <f t="shared" ref="P3:P4" si="3">L3-Q3</f>
        <v>0</v>
      </c>
      <c r="Q3" s="40">
        <v>148</v>
      </c>
      <c r="R3" s="33">
        <f t="shared" ref="R3:R4" si="4" xml:space="preserve"> O3/L3</f>
        <v>1</v>
      </c>
      <c r="S3" s="33">
        <f t="shared" ref="S3:S4" si="5" xml:space="preserve"> P3/L3</f>
        <v>0</v>
      </c>
      <c r="T3" s="57">
        <v>118</v>
      </c>
      <c r="U3" s="58">
        <f>_ReleaseData!$Q$27</f>
        <v>120</v>
      </c>
      <c r="V3" s="40">
        <v>118</v>
      </c>
      <c r="W3" s="40">
        <v>103</v>
      </c>
      <c r="X3" s="40">
        <f t="shared" ref="X3:X4" si="6">T3-Y3</f>
        <v>0</v>
      </c>
      <c r="Y3" s="40">
        <v>118</v>
      </c>
      <c r="Z3" s="33">
        <f t="shared" ref="Z3:Z4" si="7" xml:space="preserve"> W3/T3</f>
        <v>0.8728813559322034</v>
      </c>
      <c r="AA3" s="33">
        <f t="shared" ref="AA3:AA4" si="8">X3/T3</f>
        <v>0</v>
      </c>
      <c r="AB3" s="57">
        <v>55</v>
      </c>
      <c r="AC3" s="58">
        <f>_ReleaseData!$Q$28</f>
        <v>55</v>
      </c>
      <c r="AD3" s="40">
        <v>55</v>
      </c>
      <c r="AE3" s="40">
        <v>55</v>
      </c>
      <c r="AF3" s="40">
        <f t="shared" ref="AF3:AF4" si="9">AB3-AG3</f>
        <v>0</v>
      </c>
      <c r="AG3" s="40">
        <v>55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45">
      <c r="A4" t="s">
        <v>270</v>
      </c>
      <c r="B4" s="60">
        <v>43677</v>
      </c>
      <c r="C4" s="60">
        <v>43690</v>
      </c>
      <c r="D4" s="57">
        <v>448</v>
      </c>
      <c r="E4" s="58">
        <f>_ReleaseData!$Q$25</f>
        <v>420</v>
      </c>
      <c r="F4" s="40">
        <v>448</v>
      </c>
      <c r="G4" s="40">
        <v>375</v>
      </c>
      <c r="H4" s="40">
        <f t="shared" si="0"/>
        <v>57</v>
      </c>
      <c r="I4" s="40">
        <v>391</v>
      </c>
      <c r="J4" s="33">
        <f t="shared" si="1"/>
        <v>0.8370535714285714</v>
      </c>
      <c r="K4" s="33">
        <f t="shared" si="2"/>
        <v>0.12723214285714285</v>
      </c>
      <c r="L4" s="59">
        <v>146</v>
      </c>
      <c r="M4" s="58">
        <f>_ReleaseData!$Q$26</f>
        <v>150</v>
      </c>
      <c r="N4" s="40">
        <v>146</v>
      </c>
      <c r="O4" s="40">
        <v>146</v>
      </c>
      <c r="P4" s="40">
        <f t="shared" si="3"/>
        <v>9</v>
      </c>
      <c r="Q4" s="40">
        <v>137</v>
      </c>
      <c r="R4" s="33">
        <f t="shared" si="4"/>
        <v>1</v>
      </c>
      <c r="S4" s="33">
        <f t="shared" si="5"/>
        <v>6.1643835616438353E-2</v>
      </c>
      <c r="T4" s="57">
        <v>120</v>
      </c>
      <c r="U4" s="58">
        <f>_ReleaseData!$Q$27</f>
        <v>120</v>
      </c>
      <c r="V4" s="40">
        <v>120</v>
      </c>
      <c r="W4" s="40">
        <v>120</v>
      </c>
      <c r="X4" s="40">
        <f t="shared" si="6"/>
        <v>23</v>
      </c>
      <c r="Y4" s="40">
        <v>97</v>
      </c>
      <c r="Z4" s="33">
        <f t="shared" si="7"/>
        <v>1</v>
      </c>
      <c r="AA4" s="33">
        <f t="shared" si="8"/>
        <v>0.19166666666666668</v>
      </c>
      <c r="AB4" s="57">
        <v>55</v>
      </c>
      <c r="AC4" s="58">
        <f>_ReleaseData!$Q$28</f>
        <v>55</v>
      </c>
      <c r="AD4" s="40">
        <v>55</v>
      </c>
      <c r="AE4" s="40">
        <v>55</v>
      </c>
      <c r="AF4" s="40">
        <f t="shared" si="9"/>
        <v>16</v>
      </c>
      <c r="AG4" s="40">
        <v>39</v>
      </c>
      <c r="AH4" s="33">
        <f t="shared" si="10"/>
        <v>1</v>
      </c>
      <c r="AI4" s="33">
        <f t="shared" si="11"/>
        <v>0.29090909090909089</v>
      </c>
    </row>
    <row r="5" spans="1:42" x14ac:dyDescent="0.45">
      <c r="A5" t="s">
        <v>271</v>
      </c>
      <c r="B5" s="60">
        <v>43691</v>
      </c>
      <c r="C5" s="60">
        <v>43704</v>
      </c>
      <c r="D5" s="57">
        <v>440</v>
      </c>
      <c r="E5" s="58">
        <f>_ReleaseData!$Q$25</f>
        <v>420</v>
      </c>
      <c r="F5" s="40">
        <v>440</v>
      </c>
      <c r="G5" s="40">
        <v>373</v>
      </c>
      <c r="H5" s="40">
        <f t="shared" ref="H5" si="12">D5-I5</f>
        <v>142</v>
      </c>
      <c r="I5" s="40">
        <v>298</v>
      </c>
      <c r="J5" s="33">
        <f t="shared" ref="J5" si="13" xml:space="preserve"> G5/D5</f>
        <v>0.84772727272727277</v>
      </c>
      <c r="K5" s="33">
        <f t="shared" ref="K5" si="14" xml:space="preserve"> H5/D5</f>
        <v>0.32272727272727275</v>
      </c>
      <c r="L5" s="59">
        <v>141</v>
      </c>
      <c r="M5" s="58">
        <f>_ReleaseData!$Q$26</f>
        <v>150</v>
      </c>
      <c r="N5" s="40">
        <v>141</v>
      </c>
      <c r="O5" s="40">
        <v>141</v>
      </c>
      <c r="P5" s="40">
        <f t="shared" ref="P5" si="15">L5-Q5</f>
        <v>41</v>
      </c>
      <c r="Q5" s="40">
        <v>100</v>
      </c>
      <c r="R5" s="33">
        <f t="shared" ref="R5" si="16" xml:space="preserve"> O5/L5</f>
        <v>1</v>
      </c>
      <c r="S5" s="33">
        <f t="shared" ref="S5" si="17" xml:space="preserve"> P5/L5</f>
        <v>0.29078014184397161</v>
      </c>
      <c r="T5" s="57">
        <v>118</v>
      </c>
      <c r="U5" s="58">
        <f>_ReleaseData!$Q$27</f>
        <v>120</v>
      </c>
      <c r="V5" s="40">
        <v>118</v>
      </c>
      <c r="W5" s="40">
        <v>118</v>
      </c>
      <c r="X5" s="40">
        <f t="shared" ref="X5" si="18">T5-Y5</f>
        <v>57</v>
      </c>
      <c r="Y5" s="40">
        <v>61</v>
      </c>
      <c r="Z5" s="33">
        <f t="shared" ref="Z5" si="19" xml:space="preserve"> W5/T5</f>
        <v>1</v>
      </c>
      <c r="AA5" s="33">
        <f t="shared" ref="AA5" si="20">X5/T5</f>
        <v>0.48305084745762711</v>
      </c>
      <c r="AB5" s="57">
        <v>52</v>
      </c>
      <c r="AC5" s="58">
        <f>_ReleaseData!$Q$28</f>
        <v>55</v>
      </c>
      <c r="AD5" s="40">
        <v>52</v>
      </c>
      <c r="AE5" s="40">
        <v>52</v>
      </c>
      <c r="AF5" s="40">
        <f t="shared" ref="AF5" si="21">AB5-AG5</f>
        <v>28</v>
      </c>
      <c r="AG5" s="40">
        <v>24</v>
      </c>
      <c r="AH5" s="33">
        <f t="shared" ref="AH5" si="22" xml:space="preserve"> AE5/AB5</f>
        <v>1</v>
      </c>
      <c r="AI5" s="33">
        <f t="shared" ref="AI5" si="23">AF5/AB5</f>
        <v>0.53846153846153844</v>
      </c>
    </row>
    <row r="6" spans="1:42" x14ac:dyDescent="0.45">
      <c r="A6" t="s">
        <v>272</v>
      </c>
      <c r="B6" s="60">
        <v>43705</v>
      </c>
      <c r="C6" s="60">
        <v>43718</v>
      </c>
      <c r="D6" s="57">
        <v>430</v>
      </c>
      <c r="E6" s="58">
        <f>_ReleaseData!$Q$25</f>
        <v>420</v>
      </c>
      <c r="F6" s="40">
        <v>430</v>
      </c>
      <c r="G6" s="40">
        <v>379</v>
      </c>
      <c r="H6" s="40">
        <f t="shared" ref="H6" si="24">D6-I6</f>
        <v>216</v>
      </c>
      <c r="I6" s="40">
        <v>214</v>
      </c>
      <c r="J6" s="33">
        <f t="shared" ref="J6" si="25" xml:space="preserve"> G6/D6</f>
        <v>0.88139534883720927</v>
      </c>
      <c r="K6" s="33">
        <f t="shared" ref="K6" si="26" xml:space="preserve"> H6/D6</f>
        <v>0.50232558139534889</v>
      </c>
      <c r="L6" s="59">
        <v>131</v>
      </c>
      <c r="M6" s="58">
        <f>_ReleaseData!$Q$26</f>
        <v>150</v>
      </c>
      <c r="N6" s="40">
        <v>131</v>
      </c>
      <c r="O6" s="40">
        <v>131</v>
      </c>
      <c r="P6" s="40">
        <f t="shared" ref="P6" si="27">L6-Q6</f>
        <v>82</v>
      </c>
      <c r="Q6" s="40">
        <v>49</v>
      </c>
      <c r="R6" s="33">
        <f t="shared" ref="R6" si="28" xml:space="preserve"> O6/L6</f>
        <v>1</v>
      </c>
      <c r="S6" s="33">
        <f t="shared" ref="S6" si="29" xml:space="preserve"> P6/L6</f>
        <v>0.62595419847328249</v>
      </c>
      <c r="T6" s="57">
        <v>118</v>
      </c>
      <c r="U6" s="58">
        <f>_ReleaseData!$Q$27</f>
        <v>120</v>
      </c>
      <c r="V6" s="40">
        <v>118</v>
      </c>
      <c r="W6" s="40">
        <v>118</v>
      </c>
      <c r="X6" s="40">
        <f t="shared" ref="X6" si="30">T6-Y6</f>
        <v>65</v>
      </c>
      <c r="Y6" s="40">
        <v>53</v>
      </c>
      <c r="Z6" s="33">
        <f t="shared" ref="Z6" si="31" xml:space="preserve"> W6/T6</f>
        <v>1</v>
      </c>
      <c r="AA6" s="33">
        <f t="shared" ref="AA6" si="32">X6/T6</f>
        <v>0.55084745762711862</v>
      </c>
      <c r="AB6" s="57">
        <v>52</v>
      </c>
      <c r="AC6" s="58">
        <f>_ReleaseData!$Q$28</f>
        <v>55</v>
      </c>
      <c r="AD6" s="40">
        <v>52</v>
      </c>
      <c r="AE6" s="40">
        <v>52</v>
      </c>
      <c r="AF6" s="40">
        <f t="shared" ref="AF6" si="33">AB6-AG6</f>
        <v>41</v>
      </c>
      <c r="AG6" s="40">
        <v>11</v>
      </c>
      <c r="AH6" s="33">
        <f t="shared" ref="AH6" si="34" xml:space="preserve"> AE6/AB6</f>
        <v>1</v>
      </c>
      <c r="AI6" s="33">
        <f t="shared" ref="AI6" si="35">AF6/AB6</f>
        <v>0.78846153846153844</v>
      </c>
    </row>
    <row r="7" spans="1:42" x14ac:dyDescent="0.45">
      <c r="A7" t="s">
        <v>273</v>
      </c>
      <c r="B7" s="60">
        <v>43719</v>
      </c>
      <c r="C7" s="60">
        <v>43732</v>
      </c>
      <c r="D7" s="57">
        <v>449</v>
      </c>
      <c r="E7" s="58">
        <f>_ReleaseData!$Q$25</f>
        <v>420</v>
      </c>
      <c r="F7" s="40">
        <v>449</v>
      </c>
      <c r="G7" s="40">
        <v>449</v>
      </c>
      <c r="H7" s="40">
        <f t="shared" ref="H7" si="36">D7-I7</f>
        <v>254</v>
      </c>
      <c r="I7" s="40">
        <v>195</v>
      </c>
      <c r="J7" s="33">
        <f t="shared" ref="J7" si="37" xml:space="preserve"> G7/D7</f>
        <v>1</v>
      </c>
      <c r="K7" s="33">
        <f t="shared" ref="K7" si="38" xml:space="preserve"> H7/D7</f>
        <v>0.5657015590200446</v>
      </c>
      <c r="L7" s="59">
        <v>137</v>
      </c>
      <c r="M7" s="58">
        <f>_ReleaseData!$Q$26</f>
        <v>150</v>
      </c>
      <c r="N7" s="40">
        <v>137</v>
      </c>
      <c r="O7" s="40">
        <v>137</v>
      </c>
      <c r="P7" s="40">
        <f t="shared" ref="P7" si="39">L7-Q7</f>
        <v>92</v>
      </c>
      <c r="Q7" s="40">
        <v>45</v>
      </c>
      <c r="R7" s="33">
        <f t="shared" ref="R7" si="40" xml:space="preserve"> O7/L7</f>
        <v>1</v>
      </c>
      <c r="S7" s="33">
        <f t="shared" ref="S7" si="41" xml:space="preserve"> P7/L7</f>
        <v>0.67153284671532842</v>
      </c>
      <c r="T7" s="57">
        <v>120</v>
      </c>
      <c r="U7" s="58">
        <f>_ReleaseData!$Q$27</f>
        <v>120</v>
      </c>
      <c r="V7" s="40">
        <v>120</v>
      </c>
      <c r="W7" s="40">
        <v>120</v>
      </c>
      <c r="X7" s="40">
        <f t="shared" ref="X7" si="42">T7-Y7</f>
        <v>78</v>
      </c>
      <c r="Y7" s="40">
        <v>42</v>
      </c>
      <c r="Z7" s="33">
        <f t="shared" ref="Z7" si="43" xml:space="preserve"> W7/T7</f>
        <v>1</v>
      </c>
      <c r="AA7" s="33">
        <f t="shared" ref="AA7" si="44">X7/T7</f>
        <v>0.65</v>
      </c>
      <c r="AB7" s="57">
        <v>52.5</v>
      </c>
      <c r="AC7" s="58">
        <f>_ReleaseData!$Q$28</f>
        <v>55</v>
      </c>
      <c r="AD7" s="40">
        <v>52.5</v>
      </c>
      <c r="AE7" s="40">
        <v>52.5</v>
      </c>
      <c r="AF7" s="40">
        <f t="shared" ref="AF7" si="45">AB7-AG7</f>
        <v>46.5</v>
      </c>
      <c r="AG7" s="40">
        <v>6</v>
      </c>
      <c r="AH7" s="33">
        <f t="shared" ref="AH7" si="46" xml:space="preserve"> AE7/AB7</f>
        <v>1</v>
      </c>
      <c r="AI7" s="33">
        <f t="shared" ref="AI7" si="47">AF7/AB7</f>
        <v>0.88571428571428568</v>
      </c>
      <c r="AL7" s="16" t="s">
        <v>135</v>
      </c>
      <c r="AM7" t="s">
        <v>269</v>
      </c>
    </row>
    <row r="8" spans="1:42" x14ac:dyDescent="0.45">
      <c r="A8" t="s">
        <v>274</v>
      </c>
      <c r="B8" s="60">
        <v>43733</v>
      </c>
      <c r="C8" s="60">
        <v>43746</v>
      </c>
      <c r="D8" s="57">
        <v>440.5</v>
      </c>
      <c r="E8" s="58">
        <f>_ReleaseData!$Q$25</f>
        <v>420</v>
      </c>
      <c r="F8" s="40">
        <v>440.5</v>
      </c>
      <c r="G8" s="40">
        <v>440.5</v>
      </c>
      <c r="H8" s="40">
        <f t="shared" ref="H8" si="48">D8-I8</f>
        <v>330.5</v>
      </c>
      <c r="I8" s="40">
        <v>110</v>
      </c>
      <c r="J8" s="33">
        <f t="shared" ref="J8" si="49" xml:space="preserve"> G8/D8</f>
        <v>1</v>
      </c>
      <c r="K8" s="33">
        <f t="shared" ref="K8" si="50" xml:space="preserve"> H8/D8</f>
        <v>0.75028376844494893</v>
      </c>
      <c r="L8" s="59">
        <v>129</v>
      </c>
      <c r="M8" s="58">
        <f>_ReleaseData!$Q$26</f>
        <v>150</v>
      </c>
      <c r="N8" s="40">
        <v>129</v>
      </c>
      <c r="O8" s="40">
        <v>129</v>
      </c>
      <c r="P8" s="40">
        <f t="shared" ref="P8" si="51">L8-Q8</f>
        <v>111</v>
      </c>
      <c r="Q8" s="40">
        <v>18</v>
      </c>
      <c r="R8" s="33">
        <f t="shared" ref="R8" si="52" xml:space="preserve"> O8/L8</f>
        <v>1</v>
      </c>
      <c r="S8" s="33">
        <f t="shared" ref="S8" si="53" xml:space="preserve"> P8/L8</f>
        <v>0.86046511627906974</v>
      </c>
      <c r="T8" s="57">
        <v>141</v>
      </c>
      <c r="U8" s="58">
        <f>_ReleaseData!$Q$27</f>
        <v>120</v>
      </c>
      <c r="V8" s="40">
        <v>141</v>
      </c>
      <c r="W8" s="40">
        <v>141</v>
      </c>
      <c r="X8" s="40">
        <f t="shared" ref="X8" si="54">T8-Y8</f>
        <v>115</v>
      </c>
      <c r="Y8" s="40">
        <v>26</v>
      </c>
      <c r="Z8" s="33">
        <f t="shared" ref="Z8" si="55" xml:space="preserve"> W8/T8</f>
        <v>1</v>
      </c>
      <c r="AA8" s="33">
        <f t="shared" ref="AA8" si="56">X8/T8</f>
        <v>0.81560283687943258</v>
      </c>
      <c r="AB8" s="57">
        <v>48.5</v>
      </c>
      <c r="AC8" s="58">
        <f>_ReleaseData!$Q$28</f>
        <v>55</v>
      </c>
      <c r="AD8" s="40">
        <v>48.5</v>
      </c>
      <c r="AE8" s="40">
        <v>48.5</v>
      </c>
      <c r="AF8" s="40">
        <f t="shared" ref="AF8" si="57">AB8-AG8</f>
        <v>48.5</v>
      </c>
      <c r="AG8" s="40">
        <v>0</v>
      </c>
      <c r="AH8" s="33">
        <f t="shared" ref="AH8" si="58" xml:space="preserve"> AE8/AB8</f>
        <v>1</v>
      </c>
      <c r="AI8" s="33">
        <f t="shared" ref="AI8" si="59">AF8/AB8</f>
        <v>1</v>
      </c>
      <c r="AL8" s="16" t="s">
        <v>248</v>
      </c>
      <c r="AM8" t="s">
        <v>218</v>
      </c>
    </row>
    <row r="9" spans="1:42" x14ac:dyDescent="0.45">
      <c r="A9" t="s">
        <v>275</v>
      </c>
      <c r="B9" s="60">
        <v>43747</v>
      </c>
      <c r="C9" s="60">
        <v>43760</v>
      </c>
      <c r="D9" s="57">
        <f>GETPIVOTDATA("Epic Total Estimate", $AL$8, "Type", "Epic")</f>
        <v>2000.125</v>
      </c>
      <c r="E9" s="58">
        <f>_ReleaseData!$Q$25</f>
        <v>420</v>
      </c>
      <c r="F9" s="40">
        <f>GETPIVOTDATA("Stories Estimate", $AL$8, "Type", "Epic")</f>
        <v>0</v>
      </c>
      <c r="G9" s="40">
        <f>GETPIVOTDATA("Epic Decomposed", $AL$8, "Type", "Epic")</f>
        <v>540</v>
      </c>
      <c r="H9" s="40">
        <f t="shared" ref="H9" si="60">D9-I9</f>
        <v>1550.125</v>
      </c>
      <c r="I9" s="40">
        <f>GETPIVOTDATA("Epic Remaining Estimate", $AL$8, "Type", "Epic")</f>
        <v>450</v>
      </c>
      <c r="J9" s="33">
        <f t="shared" ref="J9" si="61" xml:space="preserve"> G9/D9</f>
        <v>0.2699831260546216</v>
      </c>
      <c r="K9" s="33">
        <f t="shared" ref="K9" si="62" xml:space="preserve"> H9/D9</f>
        <v>0.77501406162114872</v>
      </c>
      <c r="L9" s="59">
        <f>GETPIVOTDATA("Epic Total Estimate", $AL$8, "Type", "Epic", "ST:Components", "Version Compare")</f>
        <v>200</v>
      </c>
      <c r="M9" s="58">
        <f>_ReleaseData!$Q$26</f>
        <v>150</v>
      </c>
      <c r="N9" s="40">
        <f>GETPIVOTDATA("Stories Estimate", $AL$8, "Type", "Epic", "ST:Components", "Version Compare")</f>
        <v>0</v>
      </c>
      <c r="O9" s="40">
        <f>GETPIVOTDATA("Epic Decomposed", $AL$8, "Type", "Epic", "ST:Components", "Version Compare")</f>
        <v>180</v>
      </c>
      <c r="P9" s="40">
        <f t="shared" ref="P9" si="63">L9-Q9</f>
        <v>50</v>
      </c>
      <c r="Q9" s="40">
        <f>GETPIVOTDATA("Epic Remaining Estimate", $AL$8, "Type", "Epic", "ST:Components", "Version Compare")</f>
        <v>150</v>
      </c>
      <c r="R9" s="33">
        <f t="shared" ref="R9" si="64" xml:space="preserve"> O9/L9</f>
        <v>0.9</v>
      </c>
      <c r="S9" s="33">
        <f t="shared" ref="S9" si="65" xml:space="preserve"> P9/L9</f>
        <v>0.25</v>
      </c>
      <c r="T9" s="57">
        <f>GETPIVOTDATA("Epic Total Estimate", $AL$8, "Type", "Epic", "ST:Components", "Traces")</f>
        <v>200</v>
      </c>
      <c r="U9" s="58">
        <f>_ReleaseData!$Q$27</f>
        <v>120</v>
      </c>
      <c r="V9" s="40">
        <f>GETPIVOTDATA("Stories Estimate", $AL$8, "Type", "Epic", "ST:Components", "Traces")</f>
        <v>0</v>
      </c>
      <c r="W9" s="40">
        <f>GETPIVOTDATA("Epic Decomposed", $AL$8, "Type", "Epic", "ST:Components", "Traces")</f>
        <v>180</v>
      </c>
      <c r="X9" s="40">
        <f t="shared" ref="X9" si="66">T9-Y9</f>
        <v>50</v>
      </c>
      <c r="Y9" s="40">
        <f>GETPIVOTDATA("Epic Remaining Estimate", $AL$8, "Type", "Epic", "ST:Components", "Traces")</f>
        <v>150</v>
      </c>
      <c r="Z9" s="33">
        <f t="shared" ref="Z9" si="67" xml:space="preserve"> W9/T9</f>
        <v>0.9</v>
      </c>
      <c r="AA9" s="33">
        <f t="shared" ref="AA9" si="68">X9/T9</f>
        <v>0.25</v>
      </c>
      <c r="AB9" s="57">
        <f>GETPIVOTDATA("Epic Total Estimate", $AL$8, "Type", "Epic", "ST:Components", "Process Artifact")</f>
        <v>200</v>
      </c>
      <c r="AC9" s="58">
        <f>_ReleaseData!$Q$28</f>
        <v>55</v>
      </c>
      <c r="AD9" s="40">
        <f>GETPIVOTDATA("Stories Estimate", $AL$8, "Type", "Epic", "ST:Components", "Process Artifact")</f>
        <v>0</v>
      </c>
      <c r="AE9" s="40">
        <f>GETPIVOTDATA("Epic Decomposed", $AL$8, "Type", "Epic", "ST:Components", "Process Artifact")</f>
        <v>180</v>
      </c>
      <c r="AF9" s="40">
        <f t="shared" ref="AF9" si="69">AB9-AG9</f>
        <v>50</v>
      </c>
      <c r="AG9" s="40">
        <f>GETPIVOTDATA("Epic Remaining Estimate", $AL$8, "Type", "Epic", "ST:Components", "Process Artifact")</f>
        <v>150</v>
      </c>
      <c r="AH9" s="33">
        <f t="shared" ref="AH9" si="70" xml:space="preserve"> AE9/AB9</f>
        <v>0.9</v>
      </c>
      <c r="AI9" s="33">
        <f t="shared" ref="AI9" si="71">AF9/AB9</f>
        <v>0.25</v>
      </c>
    </row>
    <row r="10" spans="1:42" ht="13.9" customHeight="1" x14ac:dyDescent="0.45">
      <c r="A10" t="s">
        <v>276</v>
      </c>
      <c r="B10" s="60">
        <v>43761</v>
      </c>
      <c r="C10" s="60">
        <v>43774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150</v>
      </c>
      <c r="N10" s="40"/>
      <c r="O10" s="40"/>
      <c r="P10" s="40"/>
      <c r="Q10" s="40"/>
      <c r="R10" s="33"/>
      <c r="S10" s="33"/>
      <c r="T10" s="57"/>
      <c r="U10" s="58">
        <f>_ReleaseData!$Q$27</f>
        <v>120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286</v>
      </c>
      <c r="AO12" t="s">
        <v>287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267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268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255</v>
      </c>
      <c r="C16" s="20">
        <v>74</v>
      </c>
      <c r="D16" s="20">
        <v>239</v>
      </c>
    </row>
    <row r="17" spans="2:4" x14ac:dyDescent="0.45">
      <c r="B17" t="s">
        <v>256</v>
      </c>
      <c r="C17" s="20">
        <v>67</v>
      </c>
      <c r="D17" s="20">
        <v>177</v>
      </c>
    </row>
    <row r="18" spans="2:4" x14ac:dyDescent="0.45">
      <c r="B18" t="s">
        <v>257</v>
      </c>
      <c r="C18" s="20">
        <v>51</v>
      </c>
      <c r="D18" s="20">
        <v>144</v>
      </c>
    </row>
    <row r="19" spans="2:4" x14ac:dyDescent="0.45">
      <c r="B19" t="s">
        <v>258</v>
      </c>
      <c r="C19" s="20">
        <v>0</v>
      </c>
      <c r="D19" s="20">
        <v>150</v>
      </c>
    </row>
    <row r="20" spans="2:4" x14ac:dyDescent="0.45">
      <c r="B20" t="s">
        <v>259</v>
      </c>
      <c r="C20" s="20">
        <v>241</v>
      </c>
      <c r="D20" s="20">
        <v>224</v>
      </c>
    </row>
    <row r="21" spans="2:4" x14ac:dyDescent="0.45">
      <c r="B21" t="s">
        <v>260</v>
      </c>
      <c r="C21" s="20">
        <f>GETPIVOTDATA("Epic Not Decomposed Estimate",$B$3)</f>
        <v>1460.125</v>
      </c>
      <c r="D21" s="20">
        <f>GETPIVOTDATA("Story Points",$G$5)</f>
        <v>35</v>
      </c>
    </row>
    <row r="22" spans="2:4" x14ac:dyDescent="0.45">
      <c r="B22" t="s">
        <v>261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Version Compare</vt:lpstr>
      <vt:lpstr>Traces</vt:lpstr>
      <vt:lpstr>Process Artifact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'Process Artifact'!Table10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2019-10-09T13:45:09Z</dcterms:modified>
</cp:coreProperties>
</file>