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3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4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5.xml" ContentType="application/vnd.openxmlformats-officedocument.themeOverrid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2.xml" ContentType="application/vnd.openxmlformats-officedocument.spreadsheetml.pivotTab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tables/table4.xml" ContentType="application/vnd.openxmlformats-officedocument.spreadsheetml.table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pivotTables/pivotTable15.xml" ContentType="application/vnd.openxmlformats-officedocument.spreadsheetml.pivotTable+xml"/>
  <Override PartName="/xl/drawings/drawing16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pivotTables/pivotTable16.xml" ContentType="application/vnd.openxmlformats-officedocument.spreadsheetml.pivotTable+xml"/>
  <Override PartName="/xl/tables/table5.xml" ContentType="application/vnd.openxmlformats-officedocument.spreadsheetml.table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pivotTables/pivotTable17.xml" ContentType="application/vnd.openxmlformats-officedocument.spreadsheetml.pivotTable+xml"/>
  <Override PartName="/xl/tables/table6.xml" ContentType="application/vnd.openxmlformats-officedocument.spreadsheetml.table+xml"/>
  <Override PartName="/xl/drawings/drawing18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9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0_ncr:180000_{2A1C7B61-4B0B-46B4-8FBB-EB80029012D5}" xr6:coauthVersionLast="31" xr6:coauthVersionMax="31" xr10:uidLastSave="{00000000-0000-0000-0000-000000000000}"/>
  <bookViews>
    <workbookView xWindow="0" yWindow="0" windowWidth="28800" windowHeight="11985" xr2:uid="{00000000-000D-0000-FFFF-FFFF00000000}"/>
  </bookViews>
  <sheets>
    <sheet name="Release" sheetId="10" r:id="rId1"/>
    <sheet name="Reuse" sheetId="19" r:id="rId2"/>
    <sheet name="Drag &amp; Drop" sheetId="20" r:id="rId3"/>
    <sheet name="UME v3" sheetId="27" r:id="rId4"/>
    <sheet name="_ReleaseData" sheetId="9" state="hidden" r:id="rId5"/>
    <sheet name="_CumulativeFlowData " sheetId="26" state="hidden" r:id="rId6"/>
    <sheet name="Readiness" sheetId="23" r:id="rId7"/>
    <sheet name="_ReadinessData" sheetId="24" state="hidden" r:id="rId8"/>
    <sheet name="Team Backlog" sheetId="16" r:id="rId9"/>
    <sheet name="_TeamBacklogData" sheetId="15" state="hidden" r:id="rId10"/>
    <sheet name="Team Velocity" sheetId="21" r:id="rId11"/>
    <sheet name="_TeamVelocityData" sheetId="22" state="hidden" r:id="rId12"/>
    <sheet name="Active Sprint" sheetId="11" r:id="rId13"/>
    <sheet name="_ActiveSprintData" sheetId="12" state="hidden" r:id="rId14"/>
    <sheet name="Bugs" sheetId="13" r:id="rId15"/>
    <sheet name="_BugsData" sheetId="14" state="hidden" r:id="rId16"/>
    <sheet name="Issues" sheetId="2" state="hidden" r:id="rId17"/>
    <sheet name="Notes" sheetId="25" state="hidden" r:id="rId18"/>
  </sheets>
  <definedNames>
    <definedName name="_xlnm._FilterDatabase" localSheetId="16" hidden="1">Issues!$AF$40:$AH$46</definedName>
    <definedName name="issues">OFFSET(Issues!$A$1,0,0,COUNTA(Issues!$A$1:$A$10003),COUNTA(Issues!$A$1:$AAR$1) - 1)</definedName>
    <definedName name="Table10" localSheetId="3">Table15[Stabilization and Holidays]</definedName>
    <definedName name="Table10">Table15[Stabilization and Holidays]</definedName>
  </definedNames>
  <calcPr calcId="179017"/>
  <pivotCaches>
    <pivotCache cacheId="48" r:id="rId19"/>
  </pivotCaches>
  <fileRecoveryPr autoRecover="0"/>
</workbook>
</file>

<file path=xl/calcChain.xml><?xml version="1.0" encoding="utf-8"?>
<calcChain xmlns="http://schemas.openxmlformats.org/spreadsheetml/2006/main">
  <c r="AC9" i="26" l="1"/>
  <c r="U9" i="26"/>
  <c r="M9" i="26"/>
  <c r="E9" i="26"/>
  <c r="D21" i="24"/>
  <c r="C21" i="24"/>
  <c r="Y9" i="26"/>
  <c r="Q9" i="26"/>
  <c r="I9" i="26"/>
  <c r="V9" i="26"/>
  <c r="F9" i="26"/>
  <c r="D9" i="26"/>
  <c r="AG9" i="26"/>
  <c r="N9" i="26"/>
  <c r="L9" i="26"/>
  <c r="W9" i="26"/>
  <c r="O9" i="26"/>
  <c r="G9" i="26"/>
  <c r="AD9" i="26"/>
  <c r="AE9" i="26"/>
  <c r="T9" i="26"/>
  <c r="AB9" i="26"/>
  <c r="AF9" i="26" l="1"/>
  <c r="AI9" i="26" s="1"/>
  <c r="X9" i="26"/>
  <c r="AA9" i="26" s="1"/>
  <c r="AH9" i="26"/>
  <c r="J9" i="26"/>
  <c r="R9" i="26"/>
  <c r="Z9" i="26"/>
  <c r="P9" i="26"/>
  <c r="S9" i="26" s="1"/>
  <c r="H9" i="26"/>
  <c r="K9" i="26" s="1"/>
  <c r="AC8" i="26"/>
  <c r="U8" i="26"/>
  <c r="M8" i="26"/>
  <c r="E8" i="26"/>
  <c r="X9" i="9"/>
  <c r="V9" i="9"/>
  <c r="T9" i="9"/>
  <c r="R9" i="9"/>
  <c r="N9" i="9"/>
  <c r="P9" i="9"/>
  <c r="O9" i="9"/>
  <c r="M9" i="9"/>
  <c r="H8" i="26" l="1"/>
  <c r="K8" i="26" s="1"/>
  <c r="P8" i="26"/>
  <c r="S8" i="26" s="1"/>
  <c r="X8" i="26"/>
  <c r="AA8" i="26" s="1"/>
  <c r="AF8" i="26"/>
  <c r="AI8" i="26" s="1"/>
  <c r="J8" i="26"/>
  <c r="R8" i="26"/>
  <c r="AH8" i="26"/>
  <c r="Z8" i="26"/>
  <c r="AC7" i="26"/>
  <c r="U7" i="26"/>
  <c r="M7" i="26"/>
  <c r="E7" i="26"/>
  <c r="H7" i="26" l="1"/>
  <c r="K7" i="26" s="1"/>
  <c r="P7" i="26"/>
  <c r="S7" i="26" s="1"/>
  <c r="X7" i="26"/>
  <c r="AA7" i="26" s="1"/>
  <c r="AF7" i="26"/>
  <c r="AI7" i="26" s="1"/>
  <c r="R7" i="26"/>
  <c r="J7" i="26"/>
  <c r="Z7" i="26"/>
  <c r="AH7" i="26"/>
  <c r="AC6" i="26"/>
  <c r="AF6" i="26" l="1"/>
  <c r="AI6" i="26" s="1"/>
  <c r="AH6" i="26"/>
  <c r="U6" i="26" l="1"/>
  <c r="X6" i="26" l="1"/>
  <c r="AA6" i="26" s="1"/>
  <c r="Z6" i="26"/>
  <c r="M6" i="26" l="1"/>
  <c r="P6" i="26" l="1"/>
  <c r="S6" i="26" s="1"/>
  <c r="R6" i="26"/>
  <c r="E6" i="26" l="1"/>
  <c r="H6" i="26" l="1"/>
  <c r="K6" i="26" s="1"/>
  <c r="J6" i="26"/>
  <c r="W6" i="9"/>
  <c r="U6" i="9"/>
  <c r="S6" i="9"/>
  <c r="Q6" i="9"/>
  <c r="AC5" i="26" l="1"/>
  <c r="U5" i="26"/>
  <c r="M5" i="26"/>
  <c r="E5" i="26"/>
  <c r="W9" i="9"/>
  <c r="W8" i="9"/>
  <c r="W7" i="9"/>
  <c r="W5" i="9"/>
  <c r="W4" i="9"/>
  <c r="W3" i="9"/>
  <c r="U9" i="9"/>
  <c r="U8" i="9"/>
  <c r="U7" i="9"/>
  <c r="U5" i="9"/>
  <c r="U3" i="9"/>
  <c r="U4" i="9"/>
  <c r="S9" i="9"/>
  <c r="S8" i="9"/>
  <c r="S7" i="9"/>
  <c r="S5" i="9"/>
  <c r="Q3" i="9"/>
  <c r="S3" i="9"/>
  <c r="S4" i="9"/>
  <c r="Q9" i="9"/>
  <c r="Q8" i="9"/>
  <c r="Q7" i="9"/>
  <c r="Q5" i="9"/>
  <c r="Q4" i="9"/>
  <c r="H5" i="26" l="1"/>
  <c r="K5" i="26" s="1"/>
  <c r="P5" i="26"/>
  <c r="S5" i="26" s="1"/>
  <c r="X5" i="26"/>
  <c r="AA5" i="26" s="1"/>
  <c r="AF5" i="26"/>
  <c r="AI5" i="26" s="1"/>
  <c r="J5" i="26"/>
  <c r="R5" i="26"/>
  <c r="Z5" i="26"/>
  <c r="AH5" i="26"/>
  <c r="AC4" i="26" l="1"/>
  <c r="X3" i="26"/>
  <c r="U4" i="26"/>
  <c r="AC3" i="26"/>
  <c r="U3" i="26"/>
  <c r="M4" i="26"/>
  <c r="E3" i="26"/>
  <c r="M3" i="26"/>
  <c r="E4" i="26"/>
  <c r="B10" i="9"/>
  <c r="B14" i="9"/>
  <c r="H4" i="26" l="1"/>
  <c r="K4" i="26" s="1"/>
  <c r="J4" i="26"/>
  <c r="AF4" i="26"/>
  <c r="AI4" i="26" s="1"/>
  <c r="AH4" i="26"/>
  <c r="X4" i="26"/>
  <c r="AA4" i="26" s="1"/>
  <c r="Z4" i="26"/>
  <c r="R4" i="26"/>
  <c r="P4" i="26"/>
  <c r="S4" i="26" s="1"/>
  <c r="L9" i="9"/>
  <c r="L8" i="9"/>
  <c r="L7" i="9"/>
  <c r="L6" i="9"/>
  <c r="L5" i="9"/>
  <c r="L4" i="9"/>
  <c r="K9" i="9"/>
  <c r="K8" i="9"/>
  <c r="K7" i="9"/>
  <c r="K6" i="9"/>
  <c r="K5" i="9"/>
  <c r="K4" i="9"/>
  <c r="B1" i="12" l="1"/>
  <c r="AE31" i="2" s="1"/>
  <c r="B66" i="9"/>
  <c r="F66" i="9"/>
  <c r="AF3" i="26" l="1"/>
  <c r="AI3" i="26" s="1"/>
  <c r="AH3" i="26"/>
  <c r="K42" i="9"/>
  <c r="B18" i="9"/>
  <c r="B19" i="9" l="1"/>
  <c r="I4" i="9" l="1"/>
  <c r="J4" i="9" s="1"/>
  <c r="Z3" i="26" l="1"/>
  <c r="AA3" i="26"/>
  <c r="R3" i="26"/>
  <c r="P3" i="26"/>
  <c r="S3" i="26" s="1"/>
  <c r="J3" i="26"/>
  <c r="H3" i="26"/>
  <c r="K3" i="26" s="1"/>
  <c r="M10" i="22" l="1"/>
  <c r="M7" i="22" l="1"/>
  <c r="M13" i="22" s="1"/>
  <c r="M12" i="22"/>
  <c r="M11" i="22"/>
  <c r="M9" i="22"/>
  <c r="M8" i="22"/>
  <c r="L13" i="22"/>
  <c r="E6" i="9" l="1"/>
  <c r="B22" i="9" s="1"/>
  <c r="B23" i="9" l="1"/>
  <c r="B2" i="9"/>
  <c r="AE35" i="2" l="1"/>
  <c r="AE34" i="2"/>
  <c r="AE30" i="2"/>
  <c r="AE36" i="2"/>
  <c r="AE33" i="2"/>
  <c r="AE32" i="2"/>
  <c r="H42" i="9"/>
  <c r="B13" i="15"/>
  <c r="B15" i="9" l="1"/>
  <c r="B11" i="9"/>
  <c r="E42" i="9"/>
  <c r="B41" i="9" l="1"/>
  <c r="B6" i="9"/>
  <c r="E16" i="12" l="1"/>
  <c r="C18" i="14"/>
  <c r="E15" i="12"/>
  <c r="B3" i="9" l="1"/>
  <c r="I5" i="9"/>
  <c r="H6" i="9" s="1"/>
  <c r="H5" i="9"/>
  <c r="J5" i="9" s="1"/>
  <c r="I6" i="9" l="1"/>
  <c r="J6" i="9" s="1"/>
  <c r="I7" i="9" l="1"/>
  <c r="H7" i="9"/>
  <c r="J7" i="9" s="1"/>
  <c r="I8" i="9" l="1"/>
  <c r="H8" i="9"/>
  <c r="J8" i="9" s="1"/>
  <c r="H9" i="9" l="1"/>
  <c r="I9" i="9"/>
  <c r="J9" i="9" l="1"/>
  <c r="B7" i="9"/>
</calcChain>
</file>

<file path=xl/sharedStrings.xml><?xml version="1.0" encoding="utf-8"?>
<sst xmlns="http://schemas.openxmlformats.org/spreadsheetml/2006/main" count="1132" uniqueCount="281">
  <si>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</si>
  <si>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</si>
  <si>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</si>
  <si>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</si>
  <si>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</si>
  <si>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</si>
  <si>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</si>
  <si>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</si>
  <si>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</si>
  <si>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</si>
  <si>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</si>
  <si>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</si>
  <si>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</si>
  <si>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</si>
  <si>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</si>
  <si>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</si>
  <si>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</si>
  <si>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</si>
  <si>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</si>
  <si>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</si>
  <si>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</si>
  <si>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</si>
  <si>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</si>
  <si>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</si>
  <si>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</si>
  <si>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</si>
  <si>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</si>
  <si>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</si>
  <si>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</si>
  <si>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</si>
  <si>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</si>
  <si>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</si>
  <si>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</si>
  <si>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</si>
  <si>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</si>
  <si>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</si>
  <si>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</si>
  <si>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</si>
  <si>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</si>
  <si>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</si>
  <si>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</si>
  <si>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</si>
  <si>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</si>
  <si>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</si>
  <si>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</si>
  <si>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</si>
  <si>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</si>
  <si>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</si>
  <si>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</si>
  <si>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</si>
  <si>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</si>
  <si>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key</t>
  </si>
  <si>
    <t>Titan</t>
  </si>
  <si>
    <t>NW</t>
  </si>
  <si>
    <t>&lt;jt:forEach items="${issues.subList(0, 0)}" var="issue" where="${issue.key = ''}"&gt;</t>
  </si>
  <si>
    <t>ngStars</t>
  </si>
  <si>
    <t>Alpha</t>
  </si>
  <si>
    <t>Unassigned</t>
  </si>
  <si>
    <t>DevOps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</si>
  <si>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</si>
  <si>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</si>
  <si>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</si>
  <si>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</si>
  <si>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</si>
  <si>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</si>
  <si>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</si>
  <si>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</si>
  <si>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</si>
  <si>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</si>
  <si>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</si>
  <si>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</si>
  <si>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</si>
  <si>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</si>
  <si>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</si>
  <si>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</si>
  <si>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</si>
  <si>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</si>
  <si>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</si>
  <si>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</si>
  <si>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</si>
  <si>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</si>
  <si>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</si>
  <si>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</si>
  <si>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</si>
  <si>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</si>
  <si>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</si>
  <si>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</si>
  <si>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</si>
  <si>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</si>
  <si>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</si>
  <si>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</si>
  <si>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</si>
  <si>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</si>
  <si>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</si>
  <si>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</si>
  <si>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</si>
  <si>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</si>
  <si>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</si>
  <si>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</si>
  <si>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</si>
  <si>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</si>
  <si>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</si>
  <si>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</si>
  <si>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</si>
  <si>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</si>
  <si>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</si>
  <si>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</si>
  <si>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</si>
  <si>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</si>
  <si>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</si>
  <si>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</si>
  <si>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Epic Remaining Estimate</t>
  </si>
  <si>
    <t>Sum of Epic Total Estimate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</si>
  <si>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</si>
  <si>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</si>
  <si>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</si>
  <si>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</si>
  <si>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</si>
  <si>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</si>
  <si>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</si>
  <si>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</si>
  <si>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</si>
  <si>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</si>
  <si>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</si>
  <si>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Start Date</t>
  </si>
  <si>
    <t>End Date</t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</si>
  <si>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</si>
  <si>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</si>
  <si>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</si>
  <si>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</si>
  <si>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</si>
  <si>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</si>
  <si>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</si>
  <si>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</si>
  <si>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</si>
  <si>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</si>
  <si>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</si>
  <si>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Actual</t>
  </si>
  <si>
    <t>Remainder</t>
  </si>
  <si>
    <t>Dev Sprint</t>
  </si>
  <si>
    <t>Row Labels</t>
  </si>
  <si>
    <t>Last Sprint</t>
  </si>
  <si>
    <t>${bpHelper.getLastSprint(issue)}</t>
  </si>
  <si>
    <t>Active Sprint</t>
  </si>
  <si>
    <t>Sum of Story Points</t>
  </si>
  <si>
    <t>State</t>
  </si>
  <si>
    <t>${bpHelper.getState(issue)}</t>
  </si>
  <si>
    <t>New</t>
  </si>
  <si>
    <t>In Dev</t>
  </si>
  <si>
    <t>Validation</t>
  </si>
  <si>
    <t>Cancelled</t>
  </si>
  <si>
    <t>Closed</t>
  </si>
  <si>
    <t>Unkown</t>
  </si>
  <si>
    <t>(Multiple Items)</t>
  </si>
  <si>
    <t>Chart Tital</t>
  </si>
  <si>
    <t>&lt;mt:execute script="blueprint-helper.groovy"/&gt;</t>
  </si>
  <si>
    <t>Highest</t>
  </si>
  <si>
    <t>High</t>
  </si>
  <si>
    <t>Medium</t>
  </si>
  <si>
    <t>Low</t>
  </si>
  <si>
    <t>Lowest</t>
  </si>
  <si>
    <t>Count of Key</t>
  </si>
  <si>
    <t>Bugs to Triage: ${bpHelper.getBugToTriageCount()}</t>
  </si>
  <si>
    <t>Column Labels</t>
  </si>
  <si>
    <t>Sprint Label</t>
  </si>
  <si>
    <t>${bpHelper.getReadyEstimate(issue)}</t>
  </si>
  <si>
    <t>${bpHelper.getInDevEstimate(issue)}</t>
  </si>
  <si>
    <t>${bpHelper.getValidationEstimate(issue)}</t>
  </si>
  <si>
    <t>Stabilization and Holidays</t>
  </si>
  <si>
    <t>Work Days</t>
  </si>
  <si>
    <t>Epic In Dev Estimate</t>
  </si>
  <si>
    <t>Epic Ready Estimate</t>
  </si>
  <si>
    <t>Epic Validation Estimate</t>
  </si>
  <si>
    <t>Values</t>
  </si>
  <si>
    <t>Done</t>
  </si>
  <si>
    <t>In Validation</t>
  </si>
  <si>
    <t>Ready</t>
  </si>
  <si>
    <t>Not Decomposed</t>
  </si>
  <si>
    <t>Diagram Editor</t>
  </si>
  <si>
    <t>(All)</t>
  </si>
  <si>
    <t>Ideal Progress</t>
  </si>
  <si>
    <t>Actual Progress</t>
  </si>
  <si>
    <t>Time Elapsed</t>
  </si>
  <si>
    <t>${bpHelper.getToday()}</t>
  </si>
  <si>
    <t>Report Date</t>
  </si>
  <si>
    <t>Report Date ???</t>
  </si>
  <si>
    <t>(blank)</t>
  </si>
  <si>
    <t>R&amp;D Bucket</t>
  </si>
  <si>
    <t>Other</t>
  </si>
  <si>
    <t>Total</t>
  </si>
  <si>
    <t>Sprint</t>
  </si>
  <si>
    <t>Historical</t>
  </si>
  <si>
    <t>Sum of Epic Not Decomposed Estimate</t>
  </si>
  <si>
    <t>Epics New</t>
  </si>
  <si>
    <t>Stories Ready</t>
  </si>
  <si>
    <t>Ideal Burndown</t>
  </si>
  <si>
    <t>Actual Burndown</t>
  </si>
  <si>
    <t>* Update table G2 - copy the previous sprint data to the current sprint and replace the previous sprint data with historical data.</t>
  </si>
  <si>
    <t>1. _ReleaseData sheet:</t>
  </si>
  <si>
    <t>* Update table B20 as above.</t>
  </si>
  <si>
    <t>* Update table K5 - fill in the previous sprint data with historical data.</t>
  </si>
  <si>
    <t>Changes required for a new Sprint:</t>
  </si>
  <si>
    <t>* In pivot table D1 - change Last Sprint filter for the current sprint.</t>
  </si>
  <si>
    <t>* Data &gt; Refresh All.</t>
  </si>
  <si>
    <t>* Update donut slice colors if needed (Refresh All should help to not update colors).</t>
  </si>
  <si>
    <t>Total Estimate</t>
  </si>
  <si>
    <t>Planned</t>
  </si>
  <si>
    <t>Story Decomposed</t>
  </si>
  <si>
    <t>Completed</t>
  </si>
  <si>
    <t>Remaining Estimate</t>
  </si>
  <si>
    <t>Story Decomposition Progress</t>
  </si>
  <si>
    <t>Development Progress</t>
  </si>
  <si>
    <t>2. _CumulativeFlowData:</t>
  </si>
  <si>
    <t>* Update table A1 as above.</t>
  </si>
  <si>
    <t>3. _ReadinessData sheet:</t>
  </si>
  <si>
    <t>4. _TeamVelocityData sheet:</t>
  </si>
  <si>
    <t>5. _ActiveSprintData sheet:</t>
  </si>
  <si>
    <t>6. ActiveSprint sheet:</t>
  </si>
  <si>
    <t>$[IF(OR(B2="Bug", B2="Epic"),"",IF(D2=V2, 0, N2))]</t>
  </si>
  <si>
    <t>Backlog Health</t>
  </si>
  <si>
    <t>Rocket</t>
  </si>
  <si>
    <t>Yes</t>
  </si>
  <si>
    <t>No</t>
  </si>
  <si>
    <t>${bpHelper.isInBacklogHealth(issue)}&lt;/jt:forEach&gt;</t>
  </si>
  <si>
    <t>Feature</t>
  </si>
  <si>
    <t>Cost</t>
  </si>
  <si>
    <t>RD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</si>
  <si>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</si>
  <si>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</si>
  <si>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</si>
  <si>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</si>
  <si>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</si>
  <si>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</si>
  <si>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</si>
  <si>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</si>
  <si>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</si>
  <si>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</si>
  <si>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</si>
  <si>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</si>
  <si>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</si>
  <si>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R&amp;D</t>
  </si>
  <si>
    <t>CI/CD</t>
  </si>
  <si>
    <t>DevOps Type</t>
  </si>
  <si>
    <t>${bpHelper.getDevOpsType(issue)}</t>
  </si>
  <si>
    <t>Development/Internal Support</t>
  </si>
  <si>
    <t>Production Support</t>
  </si>
  <si>
    <t>Planned - Deployment and Release</t>
  </si>
  <si>
    <t>Planned - Operational Efficiency</t>
  </si>
  <si>
    <t>Planned - Platform Health</t>
  </si>
  <si>
    <t>Planned - Security</t>
  </si>
  <si>
    <t>Time Off / Conferences</t>
  </si>
  <si>
    <t>Not DevOps</t>
  </si>
  <si>
    <t>$[IF(K2="DevOps","","Yes")]</t>
  </si>
  <si>
    <t>Custom P0/P1 Bugs: ${bpHelper.getCustomP0P1BugCount()}</t>
  </si>
  <si>
    <t>Saturn</t>
  </si>
  <si>
    <t>bug</t>
  </si>
  <si>
    <t>Total P0/P1 Bugs: ${bpHelper.getTotalP0P1BugCount()}</t>
  </si>
  <si>
    <t>&lt;mt:execute script="field-helper-tool.groovy"/&gt;&lt;mt:execute script="blueprint-helper.groovy"/&gt;&lt;mt:execute script="blueprint-saturn-dashboard-helper.groovy"/&gt;</t>
  </si>
  <si>
    <t>Saturn Component</t>
  </si>
  <si>
    <t>UME v3</t>
  </si>
  <si>
    <t>Reuse</t>
  </si>
  <si>
    <t>Drag &amp; Drop</t>
  </si>
  <si>
    <t>S1</t>
  </si>
  <si>
    <t>S2</t>
  </si>
  <si>
    <t>S3</t>
  </si>
  <si>
    <t>S4</t>
  </si>
  <si>
    <t>S5</t>
  </si>
  <si>
    <t>S6</t>
  </si>
  <si>
    <t>Saturn1</t>
  </si>
  <si>
    <t>Saturn2</t>
  </si>
  <si>
    <t>Saturn3</t>
  </si>
  <si>
    <t>Saturn4</t>
  </si>
  <si>
    <t>Saturn5</t>
  </si>
  <si>
    <t>Saturn6</t>
  </si>
  <si>
    <t>Time Elapsed Drag &amp; Drop</t>
  </si>
  <si>
    <t>Release, Reuse, UME v3</t>
  </si>
  <si>
    <t>UML v3</t>
  </si>
  <si>
    <t>Sum of Stories Estimate</t>
  </si>
  <si>
    <t>Sum of Epic Decomposed</t>
  </si>
  <si>
    <t>$[SUBSTITUTE(SUBSTITUTE(AE2, "aturn", ""), "ocket", "")]</t>
  </si>
  <si>
    <t>${bpHelper.getSaturnComponent(issue)}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</si>
</sst>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409]d\-mmm\-yyyy;@"/>
    <numFmt numFmtId="165" formatCode="0.0%"/>
    <numFmt numFmtId="166" formatCode="0.0"/>
    <numFmt numFmtId="167" formatCode="[$-409]d\-mmm\-yy;@"/>
    <numFmt numFmtId="168" formatCode="[$-409]dd\-mmm\-yy;@"/>
  </numFmts>
  <fonts count="1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9" fillId="6" borderId="8" applyNumberFormat="0" applyAlignment="0" applyProtection="0"/>
    <xf numFmtId="43" fontId="7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11" applyNumberFormat="0" applyAlignment="0" applyProtection="0"/>
  </cellStyleXfs>
  <cellXfs count="82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1" applyFont="1"/>
    <xf numFmtId="0" fontId="6" fillId="0" borderId="3" xfId="0" applyFont="1" applyBorder="1"/>
    <xf numFmtId="0" fontId="0" fillId="0" borderId="0" xfId="0" applyFont="1"/>
    <xf numFmtId="14" fontId="0" fillId="0" borderId="0" xfId="0" applyNumberFormat="1" applyFont="1"/>
    <xf numFmtId="14" fontId="0" fillId="0" borderId="0" xfId="0" applyNumberFormat="1"/>
    <xf numFmtId="14" fontId="0" fillId="5" borderId="5" xfId="0" applyNumberFormat="1" applyFont="1" applyFill="1" applyBorder="1"/>
    <xf numFmtId="14" fontId="0" fillId="5" borderId="6" xfId="0" applyNumberFormat="1" applyFont="1" applyFill="1" applyBorder="1"/>
    <xf numFmtId="0" fontId="8" fillId="4" borderId="2" xfId="0" applyFont="1" applyFill="1" applyBorder="1"/>
    <xf numFmtId="0" fontId="8" fillId="4" borderId="7" xfId="0" applyFont="1" applyFill="1" applyBorder="1"/>
    <xf numFmtId="165" fontId="0" fillId="0" borderId="0" xfId="0" applyNumberFormat="1"/>
    <xf numFmtId="0" fontId="9" fillId="6" borderId="8" xfId="2"/>
    <xf numFmtId="14" fontId="10" fillId="0" borderId="0" xfId="0" applyNumberFormat="1" applyFont="1" applyBorder="1"/>
    <xf numFmtId="9" fontId="0" fillId="0" borderId="0" xfId="0" applyNumberFormat="1"/>
    <xf numFmtId="1" fontId="0" fillId="0" borderId="0" xfId="0" applyNumberFormat="1"/>
    <xf numFmtId="1" fontId="0" fillId="0" borderId="0" xfId="0" applyNumberFormat="1" applyFont="1"/>
    <xf numFmtId="9" fontId="0" fillId="0" borderId="0" xfId="0" applyNumberFormat="1" applyFont="1"/>
    <xf numFmtId="43" fontId="0" fillId="0" borderId="0" xfId="3" applyFont="1"/>
    <xf numFmtId="10" fontId="0" fillId="0" borderId="0" xfId="0" applyNumberFormat="1" applyFont="1"/>
    <xf numFmtId="0" fontId="11" fillId="7" borderId="0" xfId="4"/>
    <xf numFmtId="166" fontId="0" fillId="0" borderId="0" xfId="0" applyNumberFormat="1"/>
    <xf numFmtId="166" fontId="0" fillId="0" borderId="0" xfId="0" applyNumberFormat="1" applyFont="1"/>
    <xf numFmtId="166" fontId="0" fillId="0" borderId="0" xfId="0" applyNumberFormat="1" applyBorder="1"/>
    <xf numFmtId="0" fontId="6" fillId="0" borderId="0" xfId="0" applyFont="1"/>
    <xf numFmtId="9" fontId="0" fillId="3" borderId="0" xfId="0" applyNumberFormat="1" applyFill="1"/>
    <xf numFmtId="14" fontId="0" fillId="5" borderId="9" xfId="0" applyNumberFormat="1" applyFont="1" applyFill="1" applyBorder="1"/>
    <xf numFmtId="14" fontId="0" fillId="5" borderId="10" xfId="0" applyNumberFormat="1" applyFont="1" applyFill="1" applyBorder="1"/>
    <xf numFmtId="0" fontId="0" fillId="0" borderId="12" xfId="0" applyBorder="1"/>
    <xf numFmtId="0" fontId="9" fillId="6" borderId="13" xfId="2" applyBorder="1" applyAlignment="1">
      <alignment wrapText="1"/>
    </xf>
    <xf numFmtId="0" fontId="12" fillId="8" borderId="14" xfId="5" applyBorder="1" applyAlignment="1">
      <alignment wrapText="1"/>
    </xf>
    <xf numFmtId="0" fontId="12" fillId="8" borderId="15" xfId="5" applyBorder="1" applyAlignment="1">
      <alignment wrapText="1"/>
    </xf>
    <xf numFmtId="0" fontId="12" fillId="8" borderId="11" xfId="5" applyAlignment="1">
      <alignment wrapText="1"/>
    </xf>
    <xf numFmtId="0" fontId="12" fillId="8" borderId="16" xfId="5" applyBorder="1" applyAlignment="1">
      <alignment wrapText="1"/>
    </xf>
    <xf numFmtId="0" fontId="12" fillId="8" borderId="17" xfId="5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167" fontId="0" fillId="0" borderId="0" xfId="0" applyNumberFormat="1"/>
    <xf numFmtId="166" fontId="0" fillId="0" borderId="18" xfId="0" applyNumberFormat="1" applyBorder="1"/>
    <xf numFmtId="1" fontId="0" fillId="0" borderId="0" xfId="0" applyNumberFormat="1" applyBorder="1"/>
    <xf numFmtId="166" fontId="0" fillId="0" borderId="12" xfId="0" applyNumberFormat="1" applyBorder="1"/>
    <xf numFmtId="168" fontId="2" fillId="0" borderId="0" xfId="0" applyNumberFormat="1" applyFont="1" applyAlignment="1">
      <alignment horizontal="right" vertical="center"/>
    </xf>
    <xf numFmtId="0" fontId="0" fillId="0" borderId="18" xfId="0" applyBorder="1"/>
    <xf numFmtId="168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6" fillId="0" borderId="19" xfId="0" applyFont="1" applyBorder="1"/>
    <xf numFmtId="10" fontId="0" fillId="0" borderId="0" xfId="0" applyNumberFormat="1" applyFont="1" applyBorder="1"/>
    <xf numFmtId="166" fontId="0" fillId="0" borderId="0" xfId="0" applyNumberFormat="1" applyFont="1" applyBorder="1"/>
    <xf numFmtId="0" fontId="0" fillId="0" borderId="0" xfId="0" applyFont="1" applyBorder="1"/>
    <xf numFmtId="14" fontId="0" fillId="0" borderId="0" xfId="0" applyNumberFormat="1" applyFont="1" applyBorder="1"/>
    <xf numFmtId="1" fontId="0" fillId="0" borderId="0" xfId="0" applyNumberFormat="1" applyFont="1" applyBorder="1"/>
    <xf numFmtId="9" fontId="0" fillId="0" borderId="0" xfId="0" applyNumberFormat="1" applyFont="1" applyBorder="1"/>
    <xf numFmtId="166" fontId="0" fillId="0" borderId="1" xfId="0" applyNumberFormat="1" applyBorder="1"/>
    <xf numFmtId="0" fontId="0" fillId="0" borderId="1" xfId="0" applyFont="1" applyBorder="1"/>
    <xf numFmtId="14" fontId="0" fillId="0" borderId="1" xfId="0" applyNumberFormat="1" applyFont="1" applyBorder="1"/>
    <xf numFmtId="1" fontId="0" fillId="0" borderId="1" xfId="0" applyNumberFormat="1" applyFont="1" applyBorder="1"/>
    <xf numFmtId="9" fontId="0" fillId="0" borderId="1" xfId="0" applyNumberFormat="1" applyFont="1" applyBorder="1"/>
    <xf numFmtId="9" fontId="0" fillId="0" borderId="0" xfId="0" applyNumberFormat="1" applyBorder="1"/>
    <xf numFmtId="9" fontId="0" fillId="0" borderId="1" xfId="0" applyNumberFormat="1" applyBorder="1"/>
    <xf numFmtId="9" fontId="0" fillId="0" borderId="20" xfId="0" applyNumberFormat="1" applyFont="1" applyBorder="1"/>
    <xf numFmtId="0" fontId="0" fillId="0" borderId="4" xfId="0" applyBorder="1"/>
    <xf numFmtId="0" fontId="9" fillId="6" borderId="8" xfId="2"/>
    <xf numFmtId="0" fontId="12" fillId="8" borderId="11" xfId="5" applyAlignment="1">
      <alignment horizontal="center"/>
    </xf>
  </cellXfs>
  <cellStyles count="6">
    <cellStyle name="Comma" xfId="3" builtinId="3"/>
    <cellStyle name="Input" xfId="5" builtinId="20"/>
    <cellStyle name="Neutral" xfId="4" builtinId="28"/>
    <cellStyle name="Normal" xfId="0" builtinId="0"/>
    <cellStyle name="Output" xfId="2" builtinId="21"/>
    <cellStyle name="Percent" xfId="1" builtinId="5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BFBFBF"/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A-4A00-AB70-A98432CF0903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A-4A00-AB70-A98432CF0903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0.84745762711864403</c:v>
                </c:pt>
                <c:pt idx="1">
                  <c:v>0.15254237288135597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A-4A00-AB70-A98432CF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Reuse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0C-4CAF-996A-531D98BF1E1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0C-4CAF-996A-531D98BF1E1F}"/>
              </c:ext>
            </c:extLst>
          </c:dPt>
          <c:val>
            <c:numRef>
              <c:f>_ReleaseData!$B$10:$B$11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C-4CAF-996A-531D98BF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Reuse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0.17241379310344829</c:v>
                </c:pt>
                <c:pt idx="2">
                  <c:v>0.32758620689655171</c:v>
                </c:pt>
                <c:pt idx="3">
                  <c:v>0.5</c:v>
                </c:pt>
                <c:pt idx="4">
                  <c:v>0.67241379310344829</c:v>
                </c:pt>
                <c:pt idx="5">
                  <c:v>0.84482758620689657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8-46B4-9475-0E5D9BC024E2}"/>
            </c:ext>
          </c:extLst>
        </c:ser>
        <c:ser>
          <c:idx val="1"/>
          <c:order val="1"/>
          <c:tx>
            <c:strRef>
              <c:f>_ReleaseData!$N$2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_ReleaseData!$N$3:$N$10</c:f>
              <c:numCache>
                <c:formatCode>0%</c:formatCode>
                <c:ptCount val="8"/>
                <c:pt idx="0">
                  <c:v>0.02</c:v>
                </c:pt>
                <c:pt idx="1">
                  <c:v>0.34</c:v>
                </c:pt>
                <c:pt idx="2">
                  <c:v>0.65</c:v>
                </c:pt>
                <c:pt idx="3">
                  <c:v>0.69</c:v>
                </c:pt>
                <c:pt idx="4">
                  <c:v>0.83</c:v>
                </c:pt>
                <c:pt idx="5">
                  <c:v>1</c:v>
                </c:pt>
                <c:pt idx="6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8-46B4-9475-0E5D9BC0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[Saturn-Dashboard.xlsx]_ReleaseData!PivotTable4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Reuse Backlog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_ReleaseData!$E$29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83-416B-8807-C801151788A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3-416B-8807-C801151788A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83-416B-8807-C801151788AA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83-416B-8807-C801151788AA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83-416B-8807-C801151788AA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_ReleaseData!$D$30:$D$34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_ReleaseData!$E$30:$E$34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83-416B-8807-C801151788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Reuse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_ReleaseData!$S$2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_ReleaseData!$S$3:$S$10</c:f>
              <c:numCache>
                <c:formatCode>0.0</c:formatCode>
                <c:ptCount val="8"/>
                <c:pt idx="0">
                  <c:v>115</c:v>
                </c:pt>
                <c:pt idx="1">
                  <c:v>95.172413793103445</c:v>
                </c:pt>
                <c:pt idx="2">
                  <c:v>77.327586206896555</c:v>
                </c:pt>
                <c:pt idx="3">
                  <c:v>57.5</c:v>
                </c:pt>
                <c:pt idx="4">
                  <c:v>37.672413793103445</c:v>
                </c:pt>
                <c:pt idx="5">
                  <c:v>17.844827586206893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A-47A5-B202-F20FA7713A98}"/>
            </c:ext>
          </c:extLst>
        </c:ser>
        <c:ser>
          <c:idx val="1"/>
          <c:order val="1"/>
          <c:tx>
            <c:strRef>
              <c:f>_ReleaseData!$T$2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_ReleaseData!$T$3:$T$10</c:f>
              <c:numCache>
                <c:formatCode>0.0</c:formatCode>
                <c:ptCount val="8"/>
                <c:pt idx="0">
                  <c:v>126</c:v>
                </c:pt>
                <c:pt idx="1">
                  <c:v>73</c:v>
                </c:pt>
                <c:pt idx="2">
                  <c:v>39</c:v>
                </c:pt>
                <c:pt idx="3">
                  <c:v>36</c:v>
                </c:pt>
                <c:pt idx="4">
                  <c:v>22.5</c:v>
                </c:pt>
                <c:pt idx="5">
                  <c:v>0</c:v>
                </c:pt>
                <c:pt idx="6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A-47A5-B202-F20FA771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Reuse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'!$L$3:$L$9</c:f>
              <c:numCache>
                <c:formatCode>0.0</c:formatCode>
                <c:ptCount val="7"/>
                <c:pt idx="0">
                  <c:v>129</c:v>
                </c:pt>
                <c:pt idx="1">
                  <c:v>110</c:v>
                </c:pt>
                <c:pt idx="2">
                  <c:v>111</c:v>
                </c:pt>
                <c:pt idx="3">
                  <c:v>117</c:v>
                </c:pt>
                <c:pt idx="4">
                  <c:v>130.5</c:v>
                </c:pt>
                <c:pt idx="5">
                  <c:v>130.5</c:v>
                </c:pt>
                <c:pt idx="6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7-4C4C-ABBC-7C5B3A6D574B}"/>
            </c:ext>
          </c:extLst>
        </c:ser>
        <c:ser>
          <c:idx val="2"/>
          <c:order val="2"/>
          <c:tx>
            <c:strRef>
              <c:f>'_CumulativeFlowData 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'!$N$3:$N$9</c:f>
              <c:numCache>
                <c:formatCode>0.0</c:formatCode>
                <c:ptCount val="7"/>
                <c:pt idx="0">
                  <c:v>125</c:v>
                </c:pt>
                <c:pt idx="1">
                  <c:v>110</c:v>
                </c:pt>
                <c:pt idx="2">
                  <c:v>111</c:v>
                </c:pt>
                <c:pt idx="3">
                  <c:v>117</c:v>
                </c:pt>
                <c:pt idx="4">
                  <c:v>130.5</c:v>
                </c:pt>
                <c:pt idx="5">
                  <c:v>130.5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7-4C4C-ABBC-7C5B3A6D574B}"/>
            </c:ext>
          </c:extLst>
        </c:ser>
        <c:ser>
          <c:idx val="3"/>
          <c:order val="3"/>
          <c:tx>
            <c:strRef>
              <c:f>'_CumulativeFlowData 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'!$O$3:$O$9</c:f>
              <c:numCache>
                <c:formatCode>0.0</c:formatCode>
                <c:ptCount val="7"/>
                <c:pt idx="0">
                  <c:v>54</c:v>
                </c:pt>
                <c:pt idx="1">
                  <c:v>81</c:v>
                </c:pt>
                <c:pt idx="2">
                  <c:v>106</c:v>
                </c:pt>
                <c:pt idx="3">
                  <c:v>112</c:v>
                </c:pt>
                <c:pt idx="4">
                  <c:v>130.5</c:v>
                </c:pt>
                <c:pt idx="5">
                  <c:v>130.5</c:v>
                </c:pt>
                <c:pt idx="6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7-4C4C-ABBC-7C5B3A6D574B}"/>
            </c:ext>
          </c:extLst>
        </c:ser>
        <c:ser>
          <c:idx val="4"/>
          <c:order val="4"/>
          <c:tx>
            <c:strRef>
              <c:f>'_CumulativeFlowData 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'!$P$3:$P$9</c:f>
              <c:numCache>
                <c:formatCode>0.0</c:formatCode>
                <c:ptCount val="7"/>
                <c:pt idx="0">
                  <c:v>3</c:v>
                </c:pt>
                <c:pt idx="1">
                  <c:v>37</c:v>
                </c:pt>
                <c:pt idx="2">
                  <c:v>72</c:v>
                </c:pt>
                <c:pt idx="3">
                  <c:v>81</c:v>
                </c:pt>
                <c:pt idx="4">
                  <c:v>108</c:v>
                </c:pt>
                <c:pt idx="5">
                  <c:v>130.5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7-4C4C-ABBC-7C5B3A6D57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7-4C4C-ABBC-7C5B3A6D57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7-4C4C-ABBC-7C5B3A6D574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7-4C4C-ABBC-7C5B3A6D57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7-4C4C-ABBC-7C5B3A6D574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7-4C4C-ABBC-7C5B3A6D574B}"/>
                </c:ext>
              </c:extLst>
            </c:dLbl>
            <c:dLbl>
              <c:idx val="6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069-45BB-BB6F-B72BAE34338B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7-4C4C-ABBC-7C5B3A6D57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'!$M$3:$M$9</c:f>
              <c:numCache>
                <c:formatCode>0</c:formatCode>
                <c:ptCount val="7"/>
                <c:pt idx="0">
                  <c:v>115</c:v>
                </c:pt>
                <c:pt idx="1">
                  <c:v>115</c:v>
                </c:pt>
                <c:pt idx="2">
                  <c:v>115</c:v>
                </c:pt>
                <c:pt idx="3">
                  <c:v>115</c:v>
                </c:pt>
                <c:pt idx="4">
                  <c:v>115</c:v>
                </c:pt>
                <c:pt idx="5">
                  <c:v>115</c:v>
                </c:pt>
                <c:pt idx="6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9-45C2-9D14-6FA60D27A7F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89-45C2-9D14-6FA60D27A7F2}"/>
              </c:ext>
            </c:extLst>
          </c:dPt>
          <c:val>
            <c:numRef>
              <c:f>_ReleaseData!$B$22:$B$23</c:f>
              <c:numCache>
                <c:formatCode>0.0%</c:formatCode>
                <c:ptCount val="2"/>
                <c:pt idx="0" formatCode="0%">
                  <c:v>0.84745762711864403</c:v>
                </c:pt>
                <c:pt idx="1">
                  <c:v>0.15254237288135597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9-45C2-9D14-6FA60D27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Drag &amp; Drop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73-4679-8A6A-A87BFDFD277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73-4679-8A6A-A87BFDFD2774}"/>
              </c:ext>
            </c:extLst>
          </c:dPt>
          <c:val>
            <c:numRef>
              <c:f>_ReleaseData!$B$14:$B$15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3-4679-8A6A-A87BFDFD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Drag &amp; Drop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_ReleaseData!$L$2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_ReleaseData!$L$3:$L$10</c:f>
              <c:numCache>
                <c:formatCode>0%</c:formatCode>
                <c:ptCount val="8"/>
                <c:pt idx="0">
                  <c:v>0</c:v>
                </c:pt>
                <c:pt idx="1">
                  <c:v>0.17241379310344829</c:v>
                </c:pt>
                <c:pt idx="2">
                  <c:v>0.32758620689655171</c:v>
                </c:pt>
                <c:pt idx="3">
                  <c:v>0.5</c:v>
                </c:pt>
                <c:pt idx="4">
                  <c:v>0.67241379310344829</c:v>
                </c:pt>
                <c:pt idx="5">
                  <c:v>0.84482758620689657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5-46CB-A179-82F0C56D06FA}"/>
            </c:ext>
          </c:extLst>
        </c:ser>
        <c:ser>
          <c:idx val="1"/>
          <c:order val="1"/>
          <c:tx>
            <c:strRef>
              <c:f>_ReleaseData!$O$2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_ReleaseData!$O$3:$O$10</c:f>
              <c:numCache>
                <c:formatCode>0%</c:formatCode>
                <c:ptCount val="8"/>
                <c:pt idx="0">
                  <c:v>0.12</c:v>
                </c:pt>
                <c:pt idx="1">
                  <c:v>0.2</c:v>
                </c:pt>
                <c:pt idx="2">
                  <c:v>0.56999999999999995</c:v>
                </c:pt>
                <c:pt idx="3">
                  <c:v>0.73</c:v>
                </c:pt>
                <c:pt idx="4">
                  <c:v>0.98</c:v>
                </c:pt>
                <c:pt idx="5">
                  <c:v>1</c:v>
                </c:pt>
                <c:pt idx="6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5-46CB-A179-82F0C56D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[Saturn-Dashboard.xlsx]_ReleaseData!PivotTable9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Drag &amp; Drop Backlog by State</a:t>
            </a:r>
            <a:endParaRPr lang="en-US"/>
          </a:p>
        </c:rich>
      </c:tx>
      <c:layout>
        <c:manualLayout>
          <c:xMode val="edge"/>
          <c:yMode val="edge"/>
          <c:x val="0.27691219191259592"/>
          <c:y val="4.5977011494252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_ReleaseData!$H$29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B-4AFF-8DE3-588864865EE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0B-4AFF-8DE3-588864865EE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0B-4AFF-8DE3-588864865EE2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0B-4AFF-8DE3-588864865EE2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0B-4AFF-8DE3-588864865EE2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_ReleaseData!$G$30:$G$34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_ReleaseData!$H$30:$H$34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0B-4AFF-8DE3-588864865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Drag &amp; Drop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_ReleaseData!$U$2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_ReleaseData!$U$3:$U$10</c:f>
              <c:numCache>
                <c:formatCode>0.0</c:formatCode>
                <c:ptCount val="8"/>
                <c:pt idx="0">
                  <c:v>60</c:v>
                </c:pt>
                <c:pt idx="1">
                  <c:v>49.655172413793103</c:v>
                </c:pt>
                <c:pt idx="2">
                  <c:v>40.344827586206897</c:v>
                </c:pt>
                <c:pt idx="3">
                  <c:v>30</c:v>
                </c:pt>
                <c:pt idx="4">
                  <c:v>19.655172413793103</c:v>
                </c:pt>
                <c:pt idx="5">
                  <c:v>9.3103448275862064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5-4231-B993-8E7A20E45A08}"/>
            </c:ext>
          </c:extLst>
        </c:ser>
        <c:ser>
          <c:idx val="1"/>
          <c:order val="1"/>
          <c:tx>
            <c:strRef>
              <c:f>_ReleaseData!$V$2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_ReleaseData!$V$3:$V$10</c:f>
              <c:numCache>
                <c:formatCode>0.0</c:formatCode>
                <c:ptCount val="8"/>
                <c:pt idx="0">
                  <c:v>53</c:v>
                </c:pt>
                <c:pt idx="1">
                  <c:v>63</c:v>
                </c:pt>
                <c:pt idx="2">
                  <c:v>34</c:v>
                </c:pt>
                <c:pt idx="3">
                  <c:v>21</c:v>
                </c:pt>
                <c:pt idx="4">
                  <c:v>2</c:v>
                </c:pt>
                <c:pt idx="5">
                  <c:v>0</c:v>
                </c:pt>
                <c:pt idx="6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5-4231-B993-8E7A20E4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30592"/>
        <c:axId val="1201502656"/>
      </c:lineChart>
      <c:catAx>
        <c:axId val="13132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02656"/>
        <c:crosses val="autoZero"/>
        <c:auto val="1"/>
        <c:lblAlgn val="ctr"/>
        <c:lblOffset val="100"/>
        <c:noMultiLvlLbl val="0"/>
      </c:catAx>
      <c:valAx>
        <c:axId val="1201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Release</a:t>
            </a:r>
            <a:r>
              <a:rPr lang="en-US" b="0" baseline="0"/>
              <a:t>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22-44D7-A7A1-E3F0C562DAA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22-44D7-A7A1-E3F0C562DAA9}"/>
              </c:ext>
            </c:extLst>
          </c:dPt>
          <c:val>
            <c:numRef>
              <c:f>_ReleaseData!$B$6:$B$7</c:f>
              <c:numCache>
                <c:formatCode>0.0%</c:formatCode>
                <c:ptCount val="2"/>
                <c:pt idx="0" formatCode="0%">
                  <c:v>0.77501406162114872</c:v>
                </c:pt>
                <c:pt idx="1">
                  <c:v>0.22498593837885128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2-44D7-A7A1-E3F0C562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Drag</a:t>
            </a:r>
            <a:r>
              <a:rPr lang="en-US" baseline="0"/>
              <a:t> &amp; Drop</a:t>
            </a:r>
            <a:r>
              <a:rPr lang="en-US"/>
              <a:t>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'!$T$3:$T$9</c:f>
              <c:numCache>
                <c:formatCode>0.0</c:formatCode>
                <c:ptCount val="7"/>
                <c:pt idx="0">
                  <c:v>60</c:v>
                </c:pt>
                <c:pt idx="1">
                  <c:v>79</c:v>
                </c:pt>
                <c:pt idx="2">
                  <c:v>79</c:v>
                </c:pt>
                <c:pt idx="3">
                  <c:v>79</c:v>
                </c:pt>
                <c:pt idx="4">
                  <c:v>81</c:v>
                </c:pt>
                <c:pt idx="5">
                  <c:v>83</c:v>
                </c:pt>
                <c:pt idx="6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7-4170-8AFA-DA7F2E5C4040}"/>
            </c:ext>
          </c:extLst>
        </c:ser>
        <c:ser>
          <c:idx val="2"/>
          <c:order val="2"/>
          <c:tx>
            <c:strRef>
              <c:f>'_CumulativeFlowData 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'!$V$3:$V$9</c:f>
              <c:numCache>
                <c:formatCode>0.0</c:formatCode>
                <c:ptCount val="7"/>
                <c:pt idx="0">
                  <c:v>60</c:v>
                </c:pt>
                <c:pt idx="1">
                  <c:v>79</c:v>
                </c:pt>
                <c:pt idx="2">
                  <c:v>79</c:v>
                </c:pt>
                <c:pt idx="3">
                  <c:v>79</c:v>
                </c:pt>
                <c:pt idx="4">
                  <c:v>81</c:v>
                </c:pt>
                <c:pt idx="5">
                  <c:v>83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7-4170-8AFA-DA7F2E5C4040}"/>
            </c:ext>
          </c:extLst>
        </c:ser>
        <c:ser>
          <c:idx val="3"/>
          <c:order val="3"/>
          <c:tx>
            <c:strRef>
              <c:f>'_CumulativeFlowData 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'!$W$3:$W$9</c:f>
              <c:numCache>
                <c:formatCode>0.0</c:formatCode>
                <c:ptCount val="7"/>
                <c:pt idx="0">
                  <c:v>57</c:v>
                </c:pt>
                <c:pt idx="1">
                  <c:v>79</c:v>
                </c:pt>
                <c:pt idx="2">
                  <c:v>79</c:v>
                </c:pt>
                <c:pt idx="3">
                  <c:v>79</c:v>
                </c:pt>
                <c:pt idx="4">
                  <c:v>81</c:v>
                </c:pt>
                <c:pt idx="5">
                  <c:v>83</c:v>
                </c:pt>
                <c:pt idx="6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7-4170-8AFA-DA7F2E5C4040}"/>
            </c:ext>
          </c:extLst>
        </c:ser>
        <c:ser>
          <c:idx val="4"/>
          <c:order val="4"/>
          <c:tx>
            <c:strRef>
              <c:f>'_CumulativeFlowData 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'!$X$3:$X$9</c:f>
              <c:numCache>
                <c:formatCode>0.0</c:formatCode>
                <c:ptCount val="7"/>
                <c:pt idx="0">
                  <c:v>7</c:v>
                </c:pt>
                <c:pt idx="1">
                  <c:v>16</c:v>
                </c:pt>
                <c:pt idx="2">
                  <c:v>45</c:v>
                </c:pt>
                <c:pt idx="3">
                  <c:v>58</c:v>
                </c:pt>
                <c:pt idx="4">
                  <c:v>79</c:v>
                </c:pt>
                <c:pt idx="5">
                  <c:v>83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47-4170-8AFA-DA7F2E5C404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47-4170-8AFA-DA7F2E5C404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47-4170-8AFA-DA7F2E5C404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47-4170-8AFA-DA7F2E5C404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47-4170-8AFA-DA7F2E5C404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47-4170-8AFA-DA7F2E5C4040}"/>
                </c:ext>
              </c:extLst>
            </c:dLbl>
            <c:dLbl>
              <c:idx val="6"/>
              <c:layout>
                <c:manualLayout>
                  <c:x val="8.0128205128205135E-2"/>
                  <c:y val="0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47-4170-8AFA-DA7F2E5C404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AF-4776-9B86-DEE292B84C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'!$U$3:$U$9</c:f>
              <c:numCache>
                <c:formatCode>0</c:formatCode>
                <c:ptCount val="7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FB-436B-BCA2-AB246EFCAB1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FB-436B-BCA2-AB246EFCAB12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0.84745762711864403</c:v>
                </c:pt>
                <c:pt idx="1">
                  <c:v>0.15254237288135597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B-436B-BCA2-AB246EFCA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UME v3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90-46D9-9C4B-D3A162153235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90-46D9-9C4B-D3A162153235}"/>
              </c:ext>
            </c:extLst>
          </c:dPt>
          <c:val>
            <c:numRef>
              <c:f>_ReleaseData!$B$18:$B$19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90-46D9-9C4B-D3A162153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UME v3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0.17241379310344829</c:v>
                </c:pt>
                <c:pt idx="2">
                  <c:v>0.32758620689655171</c:v>
                </c:pt>
                <c:pt idx="3">
                  <c:v>0.5</c:v>
                </c:pt>
                <c:pt idx="4">
                  <c:v>0.67241379310344829</c:v>
                </c:pt>
                <c:pt idx="5">
                  <c:v>0.84482758620689657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2-4DC0-8527-81029D3DE8D8}"/>
            </c:ext>
          </c:extLst>
        </c:ser>
        <c:ser>
          <c:idx val="1"/>
          <c:order val="1"/>
          <c:tx>
            <c:strRef>
              <c:f>_ReleaseData!$P$2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_ReleaseData!$P$3:$P$10</c:f>
              <c:numCache>
                <c:formatCode>0%</c:formatCode>
                <c:ptCount val="8"/>
                <c:pt idx="0">
                  <c:v>0.03</c:v>
                </c:pt>
                <c:pt idx="1">
                  <c:v>0.06</c:v>
                </c:pt>
                <c:pt idx="2">
                  <c:v>0.17</c:v>
                </c:pt>
                <c:pt idx="3">
                  <c:v>0.24</c:v>
                </c:pt>
                <c:pt idx="4">
                  <c:v>0.32</c:v>
                </c:pt>
                <c:pt idx="5">
                  <c:v>0.7</c:v>
                </c:pt>
                <c:pt idx="6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2-4DC0-8527-81029D3D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UME v3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_ReleaseData!$W$2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_ReleaseData!$W$3:$W$10</c:f>
              <c:numCache>
                <c:formatCode>0.0</c:formatCode>
                <c:ptCount val="8"/>
                <c:pt idx="0">
                  <c:v>30</c:v>
                </c:pt>
                <c:pt idx="1">
                  <c:v>24.827586206896552</c:v>
                </c:pt>
                <c:pt idx="2">
                  <c:v>20.172413793103448</c:v>
                </c:pt>
                <c:pt idx="3">
                  <c:v>15</c:v>
                </c:pt>
                <c:pt idx="4">
                  <c:v>9.8275862068965516</c:v>
                </c:pt>
                <c:pt idx="5">
                  <c:v>4.6551724137931032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4-4382-8FE2-3B4AB4862203}"/>
            </c:ext>
          </c:extLst>
        </c:ser>
        <c:ser>
          <c:idx val="1"/>
          <c:order val="1"/>
          <c:tx>
            <c:strRef>
              <c:f>_ReleaseData!$X$2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_ReleaseData!$X$3:$X$10</c:f>
              <c:numCache>
                <c:formatCode>0.0</c:formatCode>
                <c:ptCount val="8"/>
                <c:pt idx="0">
                  <c:v>41.5</c:v>
                </c:pt>
                <c:pt idx="1">
                  <c:v>44</c:v>
                </c:pt>
                <c:pt idx="2">
                  <c:v>39</c:v>
                </c:pt>
                <c:pt idx="3">
                  <c:v>35</c:v>
                </c:pt>
                <c:pt idx="4">
                  <c:v>38</c:v>
                </c:pt>
                <c:pt idx="5">
                  <c:v>15.5</c:v>
                </c:pt>
                <c:pt idx="6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4-4382-8FE2-3B4AB4862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UME</a:t>
            </a:r>
            <a:r>
              <a:rPr lang="en-US" baseline="0"/>
              <a:t> v3</a:t>
            </a:r>
            <a:r>
              <a:rPr lang="en-US"/>
              <a:t>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'!$AB$2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'!$AB$3:$AB$9</c:f>
              <c:numCache>
                <c:formatCode>0.0</c:formatCode>
                <c:ptCount val="7"/>
                <c:pt idx="0">
                  <c:v>43</c:v>
                </c:pt>
                <c:pt idx="1">
                  <c:v>47</c:v>
                </c:pt>
                <c:pt idx="2">
                  <c:v>47</c:v>
                </c:pt>
                <c:pt idx="3">
                  <c:v>46</c:v>
                </c:pt>
                <c:pt idx="4">
                  <c:v>56</c:v>
                </c:pt>
                <c:pt idx="5">
                  <c:v>51.5</c:v>
                </c:pt>
                <c:pt idx="6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1-484A-93E2-996F299C3053}"/>
            </c:ext>
          </c:extLst>
        </c:ser>
        <c:ser>
          <c:idx val="2"/>
          <c:order val="2"/>
          <c:tx>
            <c:strRef>
              <c:f>'_CumulativeFlowData '!$AD$2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'!$AD$3:$AD$9</c:f>
              <c:numCache>
                <c:formatCode>0.0</c:formatCode>
                <c:ptCount val="7"/>
                <c:pt idx="0">
                  <c:v>43</c:v>
                </c:pt>
                <c:pt idx="1">
                  <c:v>47</c:v>
                </c:pt>
                <c:pt idx="2">
                  <c:v>47</c:v>
                </c:pt>
                <c:pt idx="3">
                  <c:v>46</c:v>
                </c:pt>
                <c:pt idx="4">
                  <c:v>56</c:v>
                </c:pt>
                <c:pt idx="5">
                  <c:v>51.5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1-484A-93E2-996F299C3053}"/>
            </c:ext>
          </c:extLst>
        </c:ser>
        <c:ser>
          <c:idx val="3"/>
          <c:order val="3"/>
          <c:tx>
            <c:strRef>
              <c:f>'_CumulativeFlowData '!$AE$2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'!$AE$3:$AE$9</c:f>
              <c:numCache>
                <c:formatCode>0.0</c:formatCode>
                <c:ptCount val="7"/>
                <c:pt idx="0">
                  <c:v>22</c:v>
                </c:pt>
                <c:pt idx="1">
                  <c:v>29</c:v>
                </c:pt>
                <c:pt idx="2">
                  <c:v>30</c:v>
                </c:pt>
                <c:pt idx="3">
                  <c:v>29</c:v>
                </c:pt>
                <c:pt idx="4">
                  <c:v>49</c:v>
                </c:pt>
                <c:pt idx="5">
                  <c:v>51.5</c:v>
                </c:pt>
                <c:pt idx="6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1-484A-93E2-996F299C3053}"/>
            </c:ext>
          </c:extLst>
        </c:ser>
        <c:ser>
          <c:idx val="4"/>
          <c:order val="4"/>
          <c:tx>
            <c:strRef>
              <c:f>'_CumulativeFlowData '!$AF$2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'!$AF$3:$AF$9</c:f>
              <c:numCache>
                <c:formatCode>0.0</c:formatCode>
                <c:ptCount val="7"/>
                <c:pt idx="0">
                  <c:v>1.5</c:v>
                </c:pt>
                <c:pt idx="1">
                  <c:v>3</c:v>
                </c:pt>
                <c:pt idx="2">
                  <c:v>8</c:v>
                </c:pt>
                <c:pt idx="3">
                  <c:v>11</c:v>
                </c:pt>
                <c:pt idx="4">
                  <c:v>18</c:v>
                </c:pt>
                <c:pt idx="5">
                  <c:v>36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'!$AC$2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61-484A-93E2-996F299C305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61-484A-93E2-996F299C305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61-484A-93E2-996F299C305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61-484A-93E2-996F299C305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61-484A-93E2-996F299C305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61-484A-93E2-996F299C3053}"/>
                </c:ext>
              </c:extLst>
            </c:dLbl>
            <c:dLbl>
              <c:idx val="6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6D-4093-AE02-06F1CD42EE98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61-484A-93E2-996F299C30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'!$AC$3:$AC$9</c:f>
              <c:numCache>
                <c:formatCode>0</c:formatCode>
                <c:ptCount val="7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[Saturn-Dashboard.xlsx]_ReleaseData!PivotTable6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UME</a:t>
            </a:r>
            <a:r>
              <a:rPr lang="en-US" baseline="0"/>
              <a:t> v3 Backlog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4F81BD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BBB59"/>
          </a:solidFill>
          <a:ln w="19050">
            <a:noFill/>
          </a:ln>
          <a:effectLst/>
        </c:spPr>
      </c:pivotFmt>
      <c:pivotFmt>
        <c:idx val="9"/>
        <c:spPr>
          <a:solidFill>
            <a:srgbClr val="F79646"/>
          </a:solidFill>
          <a:ln w="19050">
            <a:noFill/>
          </a:ln>
          <a:effectLst/>
        </c:spPr>
      </c:pivotFmt>
      <c:pivotFmt>
        <c:idx val="10"/>
        <c:spPr>
          <a:solidFill>
            <a:srgbClr val="4F81BD"/>
          </a:solidFill>
          <a:ln w="19050">
            <a:noFill/>
          </a:ln>
          <a:effectLst/>
        </c:spPr>
      </c:pivotFmt>
      <c:pivotFmt>
        <c:idx val="11"/>
        <c:spPr>
          <a:solidFill>
            <a:srgbClr val="4BACC6"/>
          </a:solidFill>
          <a:ln w="19050">
            <a:noFill/>
          </a:ln>
          <a:effectLst/>
        </c:spPr>
      </c:pivotFmt>
      <c:pivotFmt>
        <c:idx val="12"/>
        <c:spPr>
          <a:solidFill>
            <a:sysClr val="window" lastClr="FFFFFF">
              <a:lumMod val="85000"/>
            </a:sysClr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_ReleaseData!$K$29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9BBB5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25-4464-888A-3C34A7DF0007}"/>
              </c:ext>
            </c:extLst>
          </c:dPt>
          <c:dPt>
            <c:idx val="1"/>
            <c:bubble3D val="0"/>
            <c:spPr>
              <a:solidFill>
                <a:srgbClr val="F7964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25-4464-888A-3C34A7DF0007}"/>
              </c:ext>
            </c:extLst>
          </c:dPt>
          <c:dPt>
            <c:idx val="2"/>
            <c:bubble3D val="0"/>
            <c:spPr>
              <a:solidFill>
                <a:srgbClr val="4F81B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25-4464-888A-3C34A7DF0007}"/>
              </c:ext>
            </c:extLst>
          </c:dPt>
          <c:dPt>
            <c:idx val="3"/>
            <c:bubble3D val="0"/>
            <c:spPr>
              <a:solidFill>
                <a:srgbClr val="4BACC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25-4464-888A-3C34A7DF0007}"/>
              </c:ext>
            </c:extLst>
          </c:dPt>
          <c:dPt>
            <c:idx val="4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E25-4464-888A-3C34A7DF000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rgbClr val="4F81BD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_ReleaseData!$J$30:$J$34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_ReleaseData!$K$30:$K$34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25-4464-888A-3C34A7DF00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Readiness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_ReadinessData!$C$15</c:f>
              <c:strCache>
                <c:ptCount val="1"/>
                <c:pt idx="0">
                  <c:v>Epics 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_ReadinessData!$B$16:$B$21</c:f>
              <c:strCache>
                <c:ptCount val="6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</c:strCache>
            </c:strRef>
          </c:cat>
          <c:val>
            <c:numRef>
              <c:f>_ReadinessData!$C$16:$C$21</c:f>
              <c:numCache>
                <c:formatCode>General</c:formatCode>
                <c:ptCount val="6"/>
                <c:pt idx="0">
                  <c:v>55.5</c:v>
                </c:pt>
                <c:pt idx="1">
                  <c:v>22</c:v>
                </c:pt>
                <c:pt idx="2">
                  <c:v>22</c:v>
                </c:pt>
                <c:pt idx="3">
                  <c:v>11.25</c:v>
                </c:pt>
                <c:pt idx="4">
                  <c:v>60</c:v>
                </c:pt>
                <c:pt idx="5">
                  <c:v>1460.125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3AA-9D9A-99A2773FA1BD}"/>
            </c:ext>
          </c:extLst>
        </c:ser>
        <c:ser>
          <c:idx val="1"/>
          <c:order val="1"/>
          <c:tx>
            <c:strRef>
              <c:f>_ReadinessData!$D$15</c:f>
              <c:strCache>
                <c:ptCount val="1"/>
                <c:pt idx="0">
                  <c:v>Stories Ready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_ReadinessData!$B$16:$B$21</c:f>
              <c:strCache>
                <c:ptCount val="6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</c:strCache>
            </c:strRef>
          </c:cat>
          <c:val>
            <c:numRef>
              <c:f>_ReadinessData!$D$16:$D$21</c:f>
              <c:numCache>
                <c:formatCode>General</c:formatCode>
                <c:ptCount val="6"/>
                <c:pt idx="0">
                  <c:v>146.5</c:v>
                </c:pt>
                <c:pt idx="1">
                  <c:v>98.5</c:v>
                </c:pt>
                <c:pt idx="2">
                  <c:v>68.5</c:v>
                </c:pt>
                <c:pt idx="3">
                  <c:v>46.5</c:v>
                </c:pt>
                <c:pt idx="4">
                  <c:v>223.5</c:v>
                </c:pt>
                <c:pt idx="5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D-43AA-9D9A-99A2773FA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195855"/>
        <c:axId val="1795294287"/>
      </c:barChart>
      <c:catAx>
        <c:axId val="18181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4287"/>
        <c:crosses val="autoZero"/>
        <c:auto val="1"/>
        <c:lblAlgn val="ctr"/>
        <c:lblOffset val="100"/>
        <c:noMultiLvlLbl val="0"/>
      </c:catAx>
      <c:valAx>
        <c:axId val="17952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[Saturn-Dashboard.xlsx]_TeamBacklogData!PivotTable1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Team Backlog</a:t>
            </a:r>
            <a:endParaRPr lang="en-US"/>
          </a:p>
        </c:rich>
      </c:tx>
      <c:layout>
        <c:manualLayout>
          <c:xMode val="edge"/>
          <c:yMode val="edge"/>
          <c:x val="0.40216253376117317"/>
          <c:y val="3.3439459125483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_TeamBacklogData!$B$6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A2-4F47-B525-2AB76CCAB36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2-4F47-B525-2AB76CCAB36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A2-4F47-B525-2AB76CCAB36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A2-4F47-B525-2AB76CCAB36E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4A-4121-84A6-483F53A3948F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_TeamBacklogData!$A$7:$A$12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_TeamBacklogData!$B$7:$B$12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A2-4F47-B525-2AB76CCA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[Saturn-Dashboard.xlsx]_TeamVelocityData!PivotTable1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_TeamVelocityData!$C$5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_TeamVelocityData!$B$6:$B$12</c:f>
              <c:strCache>
                <c:ptCount val="6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</c:strCache>
            </c:strRef>
          </c:cat>
          <c:val>
            <c:numRef>
              <c:f>_TeamVelocityData!$C$6:$C$12</c:f>
              <c:numCache>
                <c:formatCode>General</c:formatCode>
                <c:ptCount val="6"/>
                <c:pt idx="0">
                  <c:v>100</c:v>
                </c:pt>
                <c:pt idx="1">
                  <c:v>60</c:v>
                </c:pt>
                <c:pt idx="2">
                  <c:v>30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5-4522-AF9A-462F7408A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053359"/>
        <c:axId val="1038995487"/>
      </c:barChart>
      <c:catAx>
        <c:axId val="10920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95487"/>
        <c:crosses val="autoZero"/>
        <c:auto val="1"/>
        <c:lblAlgn val="ctr"/>
        <c:lblOffset val="100"/>
        <c:noMultiLvlLbl val="0"/>
      </c:catAx>
      <c:valAx>
        <c:axId val="10389954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5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0.17241379310344829</c:v>
                </c:pt>
                <c:pt idx="2">
                  <c:v>0.32758620689655171</c:v>
                </c:pt>
                <c:pt idx="3">
                  <c:v>0.5</c:v>
                </c:pt>
                <c:pt idx="4">
                  <c:v>0.67241379310344829</c:v>
                </c:pt>
                <c:pt idx="5">
                  <c:v>0.84482758620689657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9-47BF-9015-CE6B634CEFF4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_ReleaseData!$M$3:$M$10</c:f>
              <c:numCache>
                <c:formatCode>0%</c:formatCode>
                <c:ptCount val="8"/>
                <c:pt idx="0">
                  <c:v>0.04</c:v>
                </c:pt>
                <c:pt idx="1">
                  <c:v>0.19</c:v>
                </c:pt>
                <c:pt idx="2">
                  <c:v>0.44</c:v>
                </c:pt>
                <c:pt idx="3">
                  <c:v>0.56000000000000005</c:v>
                </c:pt>
                <c:pt idx="4">
                  <c:v>0.71</c:v>
                </c:pt>
                <c:pt idx="5">
                  <c:v>0.88</c:v>
                </c:pt>
                <c:pt idx="6">
                  <c:v>0.77501406162114872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9-47BF-9015-CE6B634C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[Saturn-Dashboard.xlsx]_ActiveSprintData!PivotTable2</c:name>
    <c:fmtId val="0"/>
  </c:pivotSource>
  <c:chart>
    <c:title>
      <c:tx>
        <c:strRef>
          <c:f>_ActiveSprintData!$E$16</c:f>
          <c:strCache>
            <c:ptCount val="1"/>
            <c:pt idx="0">
              <c:v>Sprint Saturn6 Progress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tx1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_ActiveSprintData!$E$16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4-4327-A403-0DC1C29B418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D4-4327-A403-0DC1C29B418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D4-4327-A403-0DC1C29B418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D4-4327-A403-0DC1C29B418B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D4-4327-A403-0DC1C29B418B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D4-4327-A403-0DC1C29B418B}"/>
              </c:ext>
            </c:extLst>
          </c:dPt>
          <c:dPt>
            <c:idx val="6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0A0-427F-9110-CDC97AC25C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893-43BD-BE55-1BB4DC8AF5D5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_ActiveSprintData!$E$16</c:f>
              <c:strCache>
                <c:ptCount val="7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  <c:pt idx="5">
                  <c:v>Cancelled</c:v>
                </c:pt>
                <c:pt idx="6">
                  <c:v>(blank)</c:v>
                </c:pt>
              </c:strCache>
            </c:strRef>
          </c:cat>
          <c:val>
            <c:numRef>
              <c:f>_ActiveSprintData!$E$16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7-4372-85A2-5356488E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[Saturn-Dashboard.xlsx]_BugsData!PivotTable1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2">
                    <a:lumMod val="75000"/>
                  </a:schemeClr>
                </a:solidFill>
              </a:rPr>
              <a:t>Saturn Bugs by Priority</a:t>
            </a:r>
            <a:endParaRPr lang="en-US">
              <a:solidFill>
                <a:schemeClr val="tx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5111715951117572"/>
          <c:y val="2.2718996510402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</c:pivotFmt>
      <c:pivotFmt>
        <c:idx val="2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rgbClr val="FFC000"/>
          </a:solidFill>
          <a:ln>
            <a:noFill/>
          </a:ln>
          <a:effectLst/>
        </c:spPr>
      </c:pivotFmt>
      <c:pivotFmt>
        <c:idx val="28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1-4C12-BD02-9C6A6936AE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1-4C12-BD02-9C6A6936AEB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1-4C12-BD02-9C6A6936AE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1-4C12-BD02-9C6A6936AE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1-4C12-BD02-9C6A6936A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_BugsData!$B$10:$B$15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_BugsData!$C$10:$C$15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81-4C12-BD02-9C6A6936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6850880"/>
        <c:axId val="838040912"/>
      </c:barChart>
      <c:catAx>
        <c:axId val="8368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40912"/>
        <c:crosses val="autoZero"/>
        <c:auto val="1"/>
        <c:lblAlgn val="ctr"/>
        <c:lblOffset val="100"/>
        <c:noMultiLvlLbl val="0"/>
      </c:catAx>
      <c:valAx>
        <c:axId val="8380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5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[Saturn-Dashboard.xlsx]_BugsData!PivotTable3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Bugs Fixed by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_BugsData!$B$30:$B$36</c:f>
              <c:strCache>
                <c:ptCount val="6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</c:strCache>
            </c:strRef>
          </c:cat>
          <c:val>
            <c:numRef>
              <c:f>_BugsData!$C$30:$C$36</c:f>
              <c:numCache>
                <c:formatCode>General</c:formatCode>
                <c:ptCount val="6"/>
                <c:pt idx="0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1-4BE6-854E-52258760E7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4527616"/>
        <c:axId val="1506685984"/>
      </c:barChart>
      <c:catAx>
        <c:axId val="206452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85984"/>
        <c:crosses val="autoZero"/>
        <c:auto val="1"/>
        <c:lblAlgn val="ctr"/>
        <c:lblOffset val="100"/>
        <c:noMultiLvlLbl val="0"/>
      </c:catAx>
      <c:valAx>
        <c:axId val="15066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52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[Saturn-Dashboard.xlsx]_ReleaseData!PivotTable2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Backlog by State</a:t>
            </a:r>
            <a:endParaRPr lang="en-US"/>
          </a:p>
        </c:rich>
      </c:tx>
      <c:layout>
        <c:manualLayout>
          <c:xMode val="edge"/>
          <c:yMode val="edge"/>
          <c:x val="0.26403717623911716"/>
          <c:y val="3.1554960200147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</c:pivotFmt>
      <c:pivotFmt>
        <c:idx val="2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E-461B-B8AF-00D3827CAFD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E-461B-B8AF-00D3827CAFD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E-461B-B8AF-00D3827CAFD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E-461B-B8AF-00D3827CAFDB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1E-461B-B8AF-00D3827CAFDB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_ReleaseData!$A$30:$A$34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_ReleaseData!$B$30:$B$34</c:f>
              <c:numCache>
                <c:formatCode>General</c:formatCode>
                <c:ptCount val="5"/>
                <c:pt idx="0">
                  <c:v>1550.125</c:v>
                </c:pt>
                <c:pt idx="1">
                  <c:v>120</c:v>
                </c:pt>
                <c:pt idx="2">
                  <c:v>180</c:v>
                </c:pt>
                <c:pt idx="3">
                  <c:v>90</c:v>
                </c:pt>
                <c:pt idx="4">
                  <c:v>1460.125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1E-461B-B8AF-00D3827CA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[Saturn-Dashboard.xlsx]_ReleaseData!PivotTable10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Backlog</a:t>
            </a:r>
            <a:r>
              <a:rPr lang="en-US" baseline="0"/>
              <a:t> by Component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_ReleaseData!$B$54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5-441E-AA3B-739F8FF286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5-441E-AA3B-739F8FF286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5-441E-AA3B-739F8FF286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5-441E-AA3B-739F8FF286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2D-4385-93B5-8C0C586A7B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BD-4B6B-8BFC-CF9950728C5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C5E-4CF9-9ECA-9D43013AF6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D6E-4B6C-AD39-328EF0D57EF8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_ReleaseData!$A$55:$A$62</c:f>
              <c:strCache>
                <c:ptCount val="7"/>
                <c:pt idx="0">
                  <c:v>Reuse</c:v>
                </c:pt>
                <c:pt idx="1">
                  <c:v>Drag &amp; Drop</c:v>
                </c:pt>
                <c:pt idx="2">
                  <c:v>UME v3</c:v>
                </c:pt>
                <c:pt idx="3">
                  <c:v>CI/CD</c:v>
                </c:pt>
                <c:pt idx="4">
                  <c:v>R&amp;D Bucket</c:v>
                </c:pt>
                <c:pt idx="5">
                  <c:v>DevOps</c:v>
                </c:pt>
                <c:pt idx="6">
                  <c:v>Other</c:v>
                </c:pt>
              </c:strCache>
            </c:strRef>
          </c:cat>
          <c:val>
            <c:numRef>
              <c:f>_ReleaseData!$B$55:$B$62</c:f>
              <c:numCache>
                <c:formatCode>General</c:formatCode>
                <c:ptCount val="7"/>
                <c:pt idx="0">
                  <c:v>600</c:v>
                </c:pt>
                <c:pt idx="1">
                  <c:v>200</c:v>
                </c:pt>
                <c:pt idx="2">
                  <c:v>400</c:v>
                </c:pt>
                <c:pt idx="3">
                  <c:v>200.125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05-441E-AA3B-739F8FF2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_ReleaseData!$Q$2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_ReleaseData!$Q$3:$Q$10</c:f>
              <c:numCache>
                <c:formatCode>0.0</c:formatCode>
                <c:ptCount val="8"/>
                <c:pt idx="0">
                  <c:v>300</c:v>
                </c:pt>
                <c:pt idx="1">
                  <c:v>248.27586206896552</c:v>
                </c:pt>
                <c:pt idx="2">
                  <c:v>201.72413793103448</c:v>
                </c:pt>
                <c:pt idx="3">
                  <c:v>150</c:v>
                </c:pt>
                <c:pt idx="4">
                  <c:v>98.275862068965509</c:v>
                </c:pt>
                <c:pt idx="5">
                  <c:v>46.551724137931025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5-452B-9641-85722FBDAA35}"/>
            </c:ext>
          </c:extLst>
        </c:ser>
        <c:ser>
          <c:idx val="1"/>
          <c:order val="1"/>
          <c:tx>
            <c:strRef>
              <c:f>_ReleaseData!$R$2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_ReleaseData!$R$3:$R$10</c:f>
              <c:numCache>
                <c:formatCode>0.0</c:formatCode>
                <c:ptCount val="8"/>
                <c:pt idx="0">
                  <c:v>283.5</c:v>
                </c:pt>
                <c:pt idx="1">
                  <c:v>263</c:v>
                </c:pt>
                <c:pt idx="2">
                  <c:v>182.5</c:v>
                </c:pt>
                <c:pt idx="3">
                  <c:v>143.5</c:v>
                </c:pt>
                <c:pt idx="4">
                  <c:v>105.3</c:v>
                </c:pt>
                <c:pt idx="5">
                  <c:v>43</c:v>
                </c:pt>
                <c:pt idx="6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5-452B-9641-85722FBD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19040"/>
        <c:axId val="652246016"/>
      </c:lineChart>
      <c:catAx>
        <c:axId val="5330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46016"/>
        <c:crosses val="autoZero"/>
        <c:auto val="1"/>
        <c:lblAlgn val="ctr"/>
        <c:lblOffset val="100"/>
        <c:noMultiLvlLbl val="0"/>
      </c:catAx>
      <c:valAx>
        <c:axId val="652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'!$D$3:$D$9</c:f>
              <c:numCache>
                <c:formatCode>0.0</c:formatCode>
                <c:ptCount val="7"/>
                <c:pt idx="0">
                  <c:v>295</c:v>
                </c:pt>
                <c:pt idx="1">
                  <c:v>323</c:v>
                </c:pt>
                <c:pt idx="2">
                  <c:v>323.5</c:v>
                </c:pt>
                <c:pt idx="3">
                  <c:v>328.5</c:v>
                </c:pt>
                <c:pt idx="4">
                  <c:v>359.3</c:v>
                </c:pt>
                <c:pt idx="5">
                  <c:v>353.8</c:v>
                </c:pt>
                <c:pt idx="6">
                  <c:v>2000.125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4-47F5-9992-3718133B131F}"/>
            </c:ext>
          </c:extLst>
        </c:ser>
        <c:ser>
          <c:idx val="2"/>
          <c:order val="2"/>
          <c:tx>
            <c:strRef>
              <c:f>'_CumulativeFlowData 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'!$F$3:$F$9</c:f>
              <c:numCache>
                <c:formatCode>0.0</c:formatCode>
                <c:ptCount val="7"/>
                <c:pt idx="0">
                  <c:v>291</c:v>
                </c:pt>
                <c:pt idx="1">
                  <c:v>318</c:v>
                </c:pt>
                <c:pt idx="2">
                  <c:v>323.5</c:v>
                </c:pt>
                <c:pt idx="3">
                  <c:v>328.5</c:v>
                </c:pt>
                <c:pt idx="4">
                  <c:v>359.3</c:v>
                </c:pt>
                <c:pt idx="5">
                  <c:v>353.8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4-47F5-9992-3718133B131F}"/>
            </c:ext>
          </c:extLst>
        </c:ser>
        <c:ser>
          <c:idx val="3"/>
          <c:order val="3"/>
          <c:tx>
            <c:strRef>
              <c:f>'_CumulativeFlowData 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'!$G$3:$G$9</c:f>
              <c:numCache>
                <c:formatCode>0.0</c:formatCode>
                <c:ptCount val="7"/>
                <c:pt idx="0">
                  <c:v>192</c:v>
                </c:pt>
                <c:pt idx="1">
                  <c:v>267.5</c:v>
                </c:pt>
                <c:pt idx="2">
                  <c:v>301.5</c:v>
                </c:pt>
                <c:pt idx="3">
                  <c:v>306.5</c:v>
                </c:pt>
                <c:pt idx="4">
                  <c:v>348</c:v>
                </c:pt>
                <c:pt idx="5">
                  <c:v>349.8</c:v>
                </c:pt>
                <c:pt idx="6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4-47F5-9992-3718133B131F}"/>
            </c:ext>
          </c:extLst>
        </c:ser>
        <c:ser>
          <c:idx val="4"/>
          <c:order val="4"/>
          <c:tx>
            <c:strRef>
              <c:f>'_CumulativeFlowData 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'!$H$3:$H$9</c:f>
              <c:numCache>
                <c:formatCode>0.0</c:formatCode>
                <c:ptCount val="7"/>
                <c:pt idx="0">
                  <c:v>11.5</c:v>
                </c:pt>
                <c:pt idx="1">
                  <c:v>60</c:v>
                </c:pt>
                <c:pt idx="2">
                  <c:v>141</c:v>
                </c:pt>
                <c:pt idx="3">
                  <c:v>185</c:v>
                </c:pt>
                <c:pt idx="4">
                  <c:v>254</c:v>
                </c:pt>
                <c:pt idx="5">
                  <c:v>310.8</c:v>
                </c:pt>
                <c:pt idx="6">
                  <c:v>1550.125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34-47F5-9992-3718133B13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34-47F5-9992-3718133B131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34-47F5-9992-3718133B13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34-47F5-9992-3718133B13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34-47F5-9992-3718133B131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A34-47F5-9992-3718133B131F}"/>
                </c:ext>
              </c:extLst>
            </c:dLbl>
            <c:dLbl>
              <c:idx val="6"/>
              <c:layout>
                <c:manualLayout>
                  <c:x val="8.566978193146417E-2"/>
                  <c:y val="-1.5815322245987568E-16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A34-47F5-9992-3718133B131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D30-4180-A39C-A49E1B8CB681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34-47F5-9992-3718133B1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'!$E$3:$E$9</c:f>
              <c:numCache>
                <c:formatCode>0</c:formatCode>
                <c:ptCount val="7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[Saturn-Dashboard.xlsx]_ReleaseData!PivotTable11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DevOps</a:t>
            </a:r>
            <a:r>
              <a:rPr lang="en-US" baseline="0"/>
              <a:t> by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_ReleaseData!$F$51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E2-4B31-BFB3-B23016C1EA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E2-4B31-BFB3-B23016C1EA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E2-4B31-BFB3-B23016C1EA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7E2-4B31-BFB3-B23016C1EA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7E2-4B31-BFB3-B23016C1EA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7E2-4B31-BFB3-B23016C1EA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7E2-4B31-BFB3-B23016C1EA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7E2-4B31-BFB3-B23016C1EA9D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_ReleaseData!$E$52:$E$60</c:f>
              <c:strCache>
                <c:ptCount val="8"/>
                <c:pt idx="0">
                  <c:v>Development/Internal Support</c:v>
                </c:pt>
                <c:pt idx="1">
                  <c:v>Planned - Deployment and Release</c:v>
                </c:pt>
                <c:pt idx="2">
                  <c:v>Planned - Operational Efficiency</c:v>
                </c:pt>
                <c:pt idx="3">
                  <c:v>Planned - Platform Health</c:v>
                </c:pt>
                <c:pt idx="4">
                  <c:v>Planned - Security</c:v>
                </c:pt>
                <c:pt idx="5">
                  <c:v>Production Support</c:v>
                </c:pt>
                <c:pt idx="6">
                  <c:v>Time Off / Conferences</c:v>
                </c:pt>
                <c:pt idx="7">
                  <c:v>(blank)</c:v>
                </c:pt>
              </c:strCache>
            </c:strRef>
          </c:cat>
          <c:val>
            <c:numRef>
              <c:f>_ReleaseData!$F$52:$F$60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7E2-4B31-BFB3-B23016C1EA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1-4F65-97FD-1FF8EFB28F9B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1-4F65-97FD-1FF8EFB28F9B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0.84745762711864403</c:v>
                </c:pt>
                <c:pt idx="1">
                  <c:v>0.15254237288135597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1-4F65-97FD-1FF8EFB2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hyperlink" Target="https://jira.blueprintsys.net/issues/?jql=project%20%3D%20Storyteller%20AND%20issuetype%20in%20(Bug)%20AND%20status%20%3D%20%22Bug:%20Triage%22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B978E-41FA-44E9-9DF8-57901058E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E731C-D973-4FCD-B41D-FBA86788A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F285C-1A31-45EF-8629-790D8877F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438149</xdr:colOff>
      <xdr:row>0</xdr:row>
      <xdr:rowOff>142876</xdr:rowOff>
    </xdr:from>
    <xdr:to>
      <xdr:col>14</xdr:col>
      <xdr:colOff>33338</xdr:colOff>
      <xdr:row>19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277E4-88F2-4D31-BA16-F9AFC8980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45C10D06-24B6-4834-ABD8-304C53B83873}"/>
            </a:ext>
          </a:extLst>
        </xdr:cNvPr>
        <xdr:cNvSpPr txBox="1"/>
      </xdr:nvSpPr>
      <xdr:spPr>
        <a:xfrm>
          <a:off x="7851062" y="1366575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9</xdr:col>
      <xdr:colOff>628663</xdr:colOff>
      <xdr:row>9</xdr:row>
      <xdr:rowOff>64661</xdr:rowOff>
    </xdr:from>
    <xdr:ext cx="1147762" cy="342786"/>
    <xdr:sp macro="" textlink="_ReleaseData!$B$41">
      <xdr:nvSpPr>
        <xdr:cNvPr id="7" name="TextBox 6">
          <a:extLst>
            <a:ext uri="{FF2B5EF4-FFF2-40B4-BE49-F238E27FC236}">
              <a16:creationId xmlns:a16="http://schemas.microsoft.com/office/drawing/2014/main" id="{2F035252-9814-458D-A265-0DE36AD24630}"/>
            </a:ext>
          </a:extLst>
        </xdr:cNvPr>
        <xdr:cNvSpPr txBox="1"/>
      </xdr:nvSpPr>
      <xdr:spPr>
        <a:xfrm>
          <a:off x="6438913" y="1683911"/>
          <a:ext cx="114776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44BEFE24-5656-4FE3-ABAD-264A19ED0C2F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3400.25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14</xdr:col>
      <xdr:colOff>128586</xdr:colOff>
      <xdr:row>0</xdr:row>
      <xdr:rowOff>152400</xdr:rowOff>
    </xdr:from>
    <xdr:to>
      <xdr:col>20</xdr:col>
      <xdr:colOff>228599</xdr:colOff>
      <xdr:row>19</xdr:row>
      <xdr:rowOff>61913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B1CC15-1D9E-491E-B537-72B21D38D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104774</xdr:colOff>
      <xdr:row>28</xdr:row>
      <xdr:rowOff>57150</xdr:rowOff>
    </xdr:from>
    <xdr:to>
      <xdr:col>7</xdr:col>
      <xdr:colOff>280987</xdr:colOff>
      <xdr:row>44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AB3A3-61E0-4157-8D8F-507CB3465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433387</xdr:colOff>
      <xdr:row>28</xdr:row>
      <xdr:rowOff>66675</xdr:rowOff>
    </xdr:from>
    <xdr:to>
      <xdr:col>15</xdr:col>
      <xdr:colOff>143827</xdr:colOff>
      <xdr:row>44</xdr:row>
      <xdr:rowOff>115443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5D8BE6-BAE2-4554-9F10-328E4DD4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252413</xdr:colOff>
      <xdr:row>28</xdr:row>
      <xdr:rowOff>61912</xdr:rowOff>
    </xdr:from>
    <xdr:to>
      <xdr:col>23</xdr:col>
      <xdr:colOff>300038</xdr:colOff>
      <xdr:row>46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627A34-3FBB-4A55-AB57-7577A3FC6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17</xdr:col>
      <xdr:colOff>57149</xdr:colOff>
      <xdr:row>37</xdr:row>
      <xdr:rowOff>84323</xdr:rowOff>
    </xdr:from>
    <xdr:ext cx="1243013" cy="434036"/>
    <xdr:sp macro="" textlink="_ReleaseData!F66">
      <xdr:nvSpPr>
        <xdr:cNvPr id="12" name="TextBox 11">
          <a:extLst>
            <a:ext uri="{FF2B5EF4-FFF2-40B4-BE49-F238E27FC236}">
              <a16:creationId xmlns:a16="http://schemas.microsoft.com/office/drawing/2014/main" id="{1DEA11E6-1748-46A2-BD49-2599C4B92D2F}"/>
            </a:ext>
          </a:extLst>
        </xdr:cNvPr>
        <xdr:cNvSpPr txBox="1"/>
      </xdr:nvSpPr>
      <xdr:spPr>
        <a:xfrm>
          <a:off x="11032066" y="6741240"/>
          <a:ext cx="1243013" cy="4340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A8D5CCE-A143-4D8D-9C67-B6E3999E6946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70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0.27235</cdr:x>
      <cdr:y>0.46676</cdr:y>
    </cdr:from>
    <cdr:to>
      <cdr:x>0.71875</cdr:x>
      <cdr:y>0.69492</cdr:y>
    </cdr:to>
    <cdr:sp macro="" textlink="_ReleaseData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22600" y="884728"/>
          <a:ext cx="1020463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6D78198-7BA0-439F-993B-17F35A8B0327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BC651-CF63-4EBA-A5C3-272DD7EA4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3BB3E7-9B64-4CC6-A971-8C8A0A995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3D4BD0-366D-40B7-95F6-88BBE72C0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53B8385B-E9E2-4706-98D2-7E7E0D248FE8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K$42">
      <xdr:nvSpPr>
        <xdr:cNvPr id="7" name="TextBox 6">
          <a:extLst>
            <a:ext uri="{FF2B5EF4-FFF2-40B4-BE49-F238E27FC236}">
              <a16:creationId xmlns:a16="http://schemas.microsoft.com/office/drawing/2014/main" id="{A75782EA-FAA5-42DC-9CA9-61487F09F83E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D930D6-4E26-4C16-9091-A099DE842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56B615-F6E4-4A7D-86FC-C55056508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0</xdr:row>
      <xdr:rowOff>142874</xdr:rowOff>
    </xdr:from>
    <xdr:to>
      <xdr:col>16</xdr:col>
      <xdr:colOff>307848</xdr:colOff>
      <xdr:row>27</xdr:row>
      <xdr:rowOff>93725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D191F8E-72F3-42A3-A21E-7992738B9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11</xdr:col>
      <xdr:colOff>200027</xdr:colOff>
      <xdr:row>12</xdr:row>
      <xdr:rowOff>157160</xdr:rowOff>
    </xdr:from>
    <xdr:ext cx="1504737" cy="530658"/>
    <xdr:sp macro="" textlink="_ReleaseData!$K$42">
      <xdr:nvSpPr>
        <xdr:cNvPr id="14" name="TextBox 13">
          <a:extLst>
            <a:ext uri="{FF2B5EF4-FFF2-40B4-BE49-F238E27FC236}">
              <a16:creationId xmlns:a16="http://schemas.microsoft.com/office/drawing/2014/main" id="{F723B996-6EA1-45E6-B238-8B8853A7649E}"/>
            </a:ext>
          </a:extLst>
        </xdr:cNvPr>
        <xdr:cNvSpPr txBox="1"/>
      </xdr:nvSpPr>
      <xdr:spPr>
        <a:xfrm>
          <a:off x="7324727" y="2328860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85%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C42DCAA-262C-4B14-875A-4BA2CB6B764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133350</xdr:rowOff>
    </xdr:from>
    <xdr:to>
      <xdr:col>15</xdr:col>
      <xdr:colOff>166688</xdr:colOff>
      <xdr:row>27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313C9-79EE-42F2-90E0-EA880C46A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271470</xdr:colOff>
      <xdr:row>0</xdr:row>
      <xdr:rowOff>169069</xdr:rowOff>
    </xdr:from>
    <xdr:to>
      <xdr:col>9</xdr:col>
      <xdr:colOff>252413</xdr:colOff>
      <xdr:row>26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B710AE-991C-41C6-AF22-04BA627C2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476236</xdr:colOff>
      <xdr:row>12</xdr:row>
      <xdr:rowOff>142550</xdr:rowOff>
    </xdr:from>
    <xdr:ext cx="1509712" cy="468013"/>
    <xdr:sp macro="" textlink="_TeamBacklogData!$B$13">
      <xdr:nvSpPr>
        <xdr:cNvPr id="7" name="TextBox 6">
          <a:extLst>
            <a:ext uri="{FF2B5EF4-FFF2-40B4-BE49-F238E27FC236}">
              <a16:creationId xmlns:a16="http://schemas.microsoft.com/office/drawing/2014/main" id="{9BC5C8E3-7B40-4FC8-88AD-53288E8F4610}"/>
            </a:ext>
          </a:extLst>
        </xdr:cNvPr>
        <xdr:cNvSpPr txBox="1"/>
      </xdr:nvSpPr>
      <xdr:spPr>
        <a:xfrm>
          <a:off x="2419336" y="2314250"/>
          <a:ext cx="150971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5A7BBCC-74DE-45E2-BDFE-1CC011F65747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490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0</xdr:row>
      <xdr:rowOff>128586</xdr:rowOff>
    </xdr:from>
    <xdr:to>
      <xdr:col>17</xdr:col>
      <xdr:colOff>623887</xdr:colOff>
      <xdr:row>27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8DB4-014A-4E45-B0C1-55D1DA310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302412</xdr:colOff>
      <xdr:row>0</xdr:row>
      <xdr:rowOff>126199</xdr:rowOff>
    </xdr:from>
    <xdr:to>
      <xdr:col>8</xdr:col>
      <xdr:colOff>376231</xdr:colOff>
      <xdr:row>22</xdr:row>
      <xdr:rowOff>104769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3E864-E334-4063-B495-A0C0020CE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309563</xdr:colOff>
      <xdr:row>10</xdr:row>
      <xdr:rowOff>95250</xdr:rowOff>
    </xdr:from>
    <xdr:ext cx="1347787" cy="468013"/>
    <xdr:sp macro="" textlink="_ActiveSprintData!$E$15">
      <xdr:nvSpPr>
        <xdr:cNvPr id="2" name="TextBox 1">
          <a:extLst>
            <a:ext uri="{FF2B5EF4-FFF2-40B4-BE49-F238E27FC236}">
              <a16:creationId xmlns:a16="http://schemas.microsoft.com/office/drawing/2014/main" id="{3A035575-2F9C-4A78-B486-BEFE17438FBD}"/>
            </a:ext>
          </a:extLst>
        </xdr:cNvPr>
        <xdr:cNvSpPr txBox="1"/>
      </xdr:nvSpPr>
      <xdr:spPr>
        <a:xfrm>
          <a:off x="2252663" y="1905000"/>
          <a:ext cx="134778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4F43C6E-1085-42C0-A6FD-998322D2AA52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16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0</xdr:row>
      <xdr:rowOff>128587</xdr:rowOff>
    </xdr:from>
    <xdr:to>
      <xdr:col>3</xdr:col>
      <xdr:colOff>33338</xdr:colOff>
      <xdr:row>2</xdr:row>
      <xdr:rowOff>23812</xdr:rowOff>
    </xdr:to>
    <xdr:sp macro="" textlink="_BugsData!A2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9CF293-19E2-464F-AE63-4050B49974D3}"/>
            </a:ext>
          </a:extLst>
        </xdr:cNvPr>
        <xdr:cNvSpPr txBox="1"/>
      </xdr:nvSpPr>
      <xdr:spPr>
        <a:xfrm>
          <a:off x="166688" y="128587"/>
          <a:ext cx="1809750" cy="25717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EBE7206-6935-4A10-AD2C-55560AD4C88E}" type="TxLink">
            <a:rPr lang="en-US" sz="1400" b="1" i="0" u="none" strike="noStrike">
              <a:solidFill>
                <a:schemeClr val="tx2"/>
              </a:solidFill>
              <a:latin typeface="Calibri"/>
              <a:cs typeface="Calibri"/>
            </a:rPr>
            <a:pPr algn="ctr"/>
            <a:t>Bugs to Triage: ${bpHelper.getBugToTriageCount()}</a:t>
          </a:fld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138112</xdr:colOff>
      <xdr:row>2</xdr:row>
      <xdr:rowOff>171448</xdr:rowOff>
    </xdr:from>
    <xdr:to>
      <xdr:col>8</xdr:col>
      <xdr:colOff>808672</xdr:colOff>
      <xdr:row>25</xdr:row>
      <xdr:rowOff>32383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C7478-70C3-4E07-939C-F09DBA509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371475</xdr:colOff>
      <xdr:row>2</xdr:row>
      <xdr:rowOff>171450</xdr:rowOff>
    </xdr:from>
    <xdr:to>
      <xdr:col>20</xdr:col>
      <xdr:colOff>138112</xdr:colOff>
      <xdr:row>25</xdr:row>
      <xdr:rowOff>32385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11AB76-6A19-4A56-9AD8-A5D8914A5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0.49544</cdr:x>
      <cdr:y>0.52248</cdr:y>
    </cdr:from>
    <cdr:to>
      <cdr:x>0.67295</cdr:x>
      <cdr:y>0.68432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4C92C1-DA90-42D1-8719-215BF27AEB3C}"/>
            </a:ext>
          </a:extLst>
        </cdr:cNvPr>
        <cdr:cNvSpPr txBox="1"/>
      </cdr:nvSpPr>
      <cdr:spPr>
        <a:xfrm xmlns:a="http://schemas.openxmlformats.org/drawingml/2006/main">
          <a:off x="1940720" y="1245395"/>
          <a:ext cx="695325" cy="38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85%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0.27652</cdr:x>
      <cdr:y>0.4743</cdr:y>
    </cdr:from>
    <cdr:to>
      <cdr:x>0.73125</cdr:x>
      <cdr:y>0.70246</cdr:y>
    </cdr:to>
    <cdr:sp macro="" textlink="_ReleaseData!$B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32115" y="899016"/>
          <a:ext cx="1039517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CECE91-E097-4068-B9E2-2743CBAC9ABD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78%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0.37156</cdr:x>
      <cdr:y>0.46653</cdr:y>
    </cdr:from>
    <cdr:to>
      <cdr:x>0.63082</cdr:x>
      <cdr:y>0.56891</cdr:y>
    </cdr:to>
    <cdr:sp macro="" textlink="_ReleaseData!$B$66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2F035252-9814-458D-A265-0DE36AD24630}"/>
            </a:ext>
          </a:extLst>
        </cdr:cNvPr>
        <cdr:cNvSpPr txBox="1"/>
      </cdr:nvSpPr>
      <cdr:spPr>
        <a:xfrm xmlns:a="http://schemas.openxmlformats.org/drawingml/2006/main">
          <a:off x="1481117" y="1561948"/>
          <a:ext cx="1033466" cy="34277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E7DE67F-FB10-403D-96C7-3AC27984C031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2000.125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B1AD9-3EFE-4FD7-9A31-834A42549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E5CBD-D151-4875-A6E8-BD06666FC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20BDD-C8ED-4523-8CA3-FFF2928A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8FAFB1E3-0269-4FBB-8CC2-6395395010E2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309561</xdr:colOff>
      <xdr:row>0</xdr:row>
      <xdr:rowOff>123825</xdr:rowOff>
    </xdr:from>
    <xdr:to>
      <xdr:col>16</xdr:col>
      <xdr:colOff>314324</xdr:colOff>
      <xdr:row>27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E0FA0-4207-4C1D-8389-6B6FD81F5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E$42">
      <xdr:nvSpPr>
        <xdr:cNvPr id="9" name="TextBox 8">
          <a:extLst>
            <a:ext uri="{FF2B5EF4-FFF2-40B4-BE49-F238E27FC236}">
              <a16:creationId xmlns:a16="http://schemas.microsoft.com/office/drawing/2014/main" id="{80C61E6A-DCB6-4846-BE5A-F63213C84308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DBA2766-81B9-4F91-9C2F-FE841AB3B4B8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E9079E-B53F-472C-9AF8-C0178366E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2587C5-D825-4149-991A-5D755D60F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85%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AF9F0E-5234-42FC-83E0-DD7226C1BA1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67951-1809-4968-9F79-03C006753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63F15-3A12-4C68-88A9-E546A702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2EE2F-8597-49FB-A72E-CD8AC7E0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CB2898D4-334F-430B-A0BC-60E5BA37E234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257175</xdr:colOff>
      <xdr:row>0</xdr:row>
      <xdr:rowOff>166688</xdr:rowOff>
    </xdr:from>
    <xdr:to>
      <xdr:col>16</xdr:col>
      <xdr:colOff>400050</xdr:colOff>
      <xdr:row>27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B3C086-0B2D-4EDB-907A-1BF900EFF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295473</xdr:colOff>
      <xdr:row>12</xdr:row>
      <xdr:rowOff>137411</xdr:rowOff>
    </xdr:from>
    <xdr:ext cx="1361862" cy="530658"/>
    <xdr:sp macro="" textlink="_ReleaseData!H42">
      <xdr:nvSpPr>
        <xdr:cNvPr id="11" name="TextBox 10">
          <a:extLst>
            <a:ext uri="{FF2B5EF4-FFF2-40B4-BE49-F238E27FC236}">
              <a16:creationId xmlns:a16="http://schemas.microsoft.com/office/drawing/2014/main" id="{173B0F1A-4E40-456C-BFFC-AA6C43F742F2}"/>
            </a:ext>
          </a:extLst>
        </xdr:cNvPr>
        <xdr:cNvSpPr txBox="1"/>
      </xdr:nvSpPr>
      <xdr:spPr>
        <a:xfrm>
          <a:off x="7420173" y="2309111"/>
          <a:ext cx="136186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69E0483-5A72-478D-89F7-A57507C71917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109536</xdr:colOff>
      <xdr:row>28</xdr:row>
      <xdr:rowOff>42867</xdr:rowOff>
    </xdr:from>
    <xdr:to>
      <xdr:col>7</xdr:col>
      <xdr:colOff>280987</xdr:colOff>
      <xdr:row>43</xdr:row>
      <xdr:rowOff>171454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D225E-8AAB-4F47-95A9-9030A4B7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252413</xdr:colOff>
      <xdr:row>28</xdr:row>
      <xdr:rowOff>42862</xdr:rowOff>
    </xdr:from>
    <xdr:to>
      <xdr:col>15</xdr:col>
      <xdr:colOff>473393</xdr:colOff>
      <xdr:row>43</xdr:row>
      <xdr:rowOff>172021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69A48F-FB2F-4A20-AF37-8EA8FA7C5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0.26105</cdr:x>
      <cdr:y>0.48163</cdr:y>
    </cdr:from>
    <cdr:to>
      <cdr:x>0.73263</cdr:x>
      <cdr:y>0.70979</cdr:y>
    </cdr:to>
    <cdr:sp macro="" textlink="_ReleaseData!$B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0552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4952F00-5142-4EE6-9737-73F2AC430E41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85%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3564.920387731479" createdVersion="6" refreshedVersion="6" minRefreshableVersion="3" recordCount="104" xr:uid="{00000000-000A-0000-FFFF-FFFF0C000000}">
  <cacheSource type="worksheet">
    <worksheetSource name="issues"/>
  </cacheSource>
  <cacheFields count="49">
    <cacheField name="Key" numFmtId="0">
      <sharedItems/>
    </cacheField>
    <cacheField name="Type" numFmtId="0">
      <sharedItems containsBlank="1" count="8">
        <s v="${issue.issueType.name}"/>
        <m/>
        <s v="Epic"/>
        <s v="Story"/>
        <s v="Spike"/>
        <s v="Tech Debt"/>
        <s v="Bug"/>
        <s v="DevOps"/>
      </sharedItems>
    </cacheField>
    <cacheField name="Summary" numFmtId="0">
      <sharedItems containsBlank="1"/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9">
        <s v="${fieldHelper.getFieldValueByName(issue, &quot;ST:Components&quot;)}"/>
        <m/>
        <s v="Reuse"/>
        <s v="Drag &amp; Drop"/>
        <s v="Diagram Editor"/>
        <s v="DevOps" u="1"/>
        <s v="Artifact List" u="1"/>
        <s v="Cross Project Move" u="1"/>
        <s v="Excel Import" u="1"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1" maxValue="40"/>
    </cacheField>
    <cacheField name="Stories Estimate" numFmtId="0">
      <sharedItems containsBlank="1"/>
    </cacheField>
    <cacheField name="Epic Total Estimate" numFmtId="0">
      <sharedItems containsBlank="1" containsMixedTypes="1" containsNumber="1" minValue="200" maxValue="200.125"/>
    </cacheField>
    <cacheField name="Epic Remaining Estimate" numFmtId="0">
      <sharedItems containsBlank="1" containsMixedTypes="1" containsNumber="1" containsInteger="1" minValue="150" maxValue="150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 containsMixedTypes="1" containsNumber="1" containsInteger="1" minValue="180" maxValue="180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Last Sprint" numFmtId="0">
      <sharedItems containsBlank="1" count="38">
        <s v="${bpHelper.getLastSprint(issue)}"/>
        <m/>
        <s v="Saturn1"/>
        <s v="Saturn2"/>
        <s v="Saturn3"/>
        <s v="Saturn4"/>
        <s v="Saturn5"/>
        <s v="Saturn6"/>
        <s v="Pegasus2" u="1"/>
        <s v="Rocket1" u="1"/>
        <s v="Pegasus7" u="1"/>
        <s v="Rocket2" u="1"/>
        <s v="Rocket3" u="1"/>
        <s v="Quasar14" u="1"/>
        <s v="Rocket4" u="1"/>
        <s v="Pegasus1" u="1"/>
        <s v="Pegasus6" u="1"/>
        <s v="Rocket5" u="1"/>
        <s v="Rocket6" u="1"/>
        <s v="Rocket7" u="1"/>
        <s v="Quasar13" u="1"/>
        <s v="Quasar1" u="1"/>
        <s v="Pegasus5" u="1"/>
        <s v="Quasar2" u="1"/>
        <s v="Quasar3" u="1"/>
        <s v="Quasar12" u="1"/>
        <s v="Quasar4" u="1"/>
        <s v="Pegasus4" u="1"/>
        <s v="Quasar5" u="1"/>
        <s v="Quasar6" u="1"/>
        <s v="Saturn7" u="1"/>
        <s v="Quasar7" u="1"/>
        <s v="Quasar11" u="1"/>
        <s v="Quasar8" u="1"/>
        <s v="Pegasus3" u="1"/>
        <s v="Pegasus8" u="1"/>
        <s v="Quasar9" u="1"/>
        <s v="Quasar10" u="1"/>
      </sharedItems>
    </cacheField>
    <cacheField name="Sprint Label" numFmtId="0">
      <sharedItems containsBlank="1" count="41">
        <s v="$[SUBSTITUTE(SUBSTITUTE(AE2, &quot;aturn&quot;, &quot;&quot;), &quot;ocket&quot;, &quot;&quot;)]"/>
        <m/>
        <s v="S1"/>
        <s v="S2"/>
        <s v="S3"/>
        <s v="S4"/>
        <s v="S5"/>
        <s v="S6"/>
        <s v="Q10" u="1"/>
        <s v="Q11" u="1"/>
        <s v="R1" u="1"/>
        <s v="Q12" u="1"/>
        <s v="Q13" u="1"/>
        <s v="R3" u="1"/>
        <s v="Q14" u="1"/>
        <s v="R5" u="1"/>
        <s v="Q2" u="1"/>
        <s v="R7" u="1"/>
        <s v="$[SUBSTITUTE(SUBSTITUTE(SUBSTITUTE(AE2, &quot;ocket&quot;, &quot;&quot;), &quot;uasar&quot;, &quot;&quot;), &quot;egasus&quot;, &quot;&quot;)]" u="1"/>
        <s v="$[SUBSTITUTE(SUBSTITUTE(SUBSTITUTE(AE3, &quot;ocket&quot;, &quot;&quot;), &quot;uasar&quot;, &quot;&quot;), &quot;egasus&quot;, &quot;&quot;)]" u="1"/>
        <s v="Q4" u="1"/>
        <s v="P1" u="1"/>
        <s v="Q6" u="1"/>
        <s v="P3" u="1"/>
        <s v="Q8" u="1"/>
        <s v="P5" u="1"/>
        <s v="$[=SUBSTITUTE(SUBSTITUTE(SUBSTITUTE(AE3, &quot;ocket&quot;, &quot;&quot;), &quot;uasar&quot;, &quot;&quot;), &quot;egasus&quot;, &quot;&quot;)]" u="1"/>
        <s v="R2" u="1"/>
        <s v="S7" u="1"/>
        <s v="R4" u="1"/>
        <s v="Q1" u="1"/>
        <s v="$[SUBSTITUTE(AE2, &quot;uasar&quot;, &quot;&quot;)]" u="1"/>
        <s v="R6" u="1"/>
        <s v="Q3" u="1"/>
        <s v="Q5" u="1"/>
        <s v="P2" u="1"/>
        <s v="Q7" u="1"/>
        <s v="P4" u="1"/>
        <s v="Q9" u="1"/>
        <s v="$[= SUBSTITUTE('Last Sprint', &quot;uasar&quot;, &quot;&quot;)]" u="1"/>
        <s v="P6" u="1"/>
      </sharedItems>
    </cacheField>
    <cacheField name="Release" numFmtId="0">
      <sharedItems containsBlank="1" count="6">
        <s v="${issue.fixVersions.name}"/>
        <m/>
        <s v="Saturn"/>
        <s v="Rocket"/>
        <s v="Quasar" u="1"/>
        <s v="Pegasus" u="1"/>
      </sharedItems>
    </cacheField>
    <cacheField name="Priority" numFmtId="0">
      <sharedItems containsBlank="1" count="7">
        <s v="${issue.priority.name}"/>
        <m/>
        <s v="Highest"/>
        <s v="High"/>
        <s v="Medium"/>
        <s v="Low"/>
        <s v="Lowest"/>
      </sharedItems>
    </cacheField>
    <cacheField name="State" numFmtId="0">
      <sharedItems containsBlank="1" count="9">
        <s v="${bpHelper.getState(issue)}"/>
        <m/>
        <s v="New"/>
        <s v="Ready"/>
        <s v="In Dev"/>
        <s v="Validation"/>
        <s v="Closed"/>
        <s v="Cancelled"/>
        <s v="Unkown"/>
      </sharedItems>
    </cacheField>
    <cacheField name="Saturn Component" numFmtId="0">
      <sharedItems containsBlank="1" count="10">
        <s v="${bpHelper.getSaturnComponent(issue)}"/>
        <m/>
        <s v="UME v3"/>
        <s v="Reuse"/>
        <s v="Drag &amp; Drop"/>
        <s v="DevOps"/>
        <s v="R&amp;D Bucket"/>
        <s v="Other"/>
        <s v="CI/CD"/>
        <s v="${bpHelper.getRocketComponent(issue)}" u="1"/>
      </sharedItems>
    </cacheField>
    <cacheField name="Customer" numFmtId="0">
      <sharedItems containsBlank="1"/>
    </cacheField>
    <cacheField name="Team Grouped" numFmtId="0">
      <sharedItems containsBlank="1" count="12">
        <s v="${bpHelper.getGroupedTeam(fieldHelper.getFieldValueByName(issue, &quot;Team&quot;))}"/>
        <m/>
        <s v="RD"/>
        <s v="Unassigned"/>
        <s v="DevOps"/>
        <s v="NW"/>
        <s v="ngStars"/>
        <s v="Alpha"/>
        <s v="Titan"/>
        <s v="QA" u="1"/>
        <s v="SoftTeco" u="1"/>
        <s v="TechComm" u="1"/>
      </sharedItems>
    </cacheField>
    <cacheField name="Epic Team Grouped" numFmtId="0">
      <sharedItems containsBlank="1"/>
    </cacheField>
    <cacheField name="Epic Ready Estimate" numFmtId="0">
      <sharedItems containsBlank="1" containsMixedTypes="1" containsNumber="1" containsInteger="1" minValue="30" maxValue="30"/>
    </cacheField>
    <cacheField name="Epic In Dev Estimate" numFmtId="0">
      <sharedItems containsBlank="1" containsMixedTypes="1" containsNumber="1" containsInteger="1" minValue="60" maxValue="60"/>
    </cacheField>
    <cacheField name="Epic Validation Estimate" numFmtId="0">
      <sharedItems containsBlank="1" containsMixedTypes="1" containsNumber="1" containsInteger="1" minValue="40" maxValue="40"/>
    </cacheField>
    <cacheField name="Epic Fully Decomposed" numFmtId="0">
      <sharedItems containsBlank="1"/>
    </cacheField>
    <cacheField name="Different Story Points" numFmtId="0">
      <sharedItems containsBlank="1"/>
    </cacheField>
    <cacheField name="DevOps Type" numFmtId="0">
      <sharedItems containsBlank="1" count="9">
        <s v="${bpHelper.getDevOpsType(issue)}"/>
        <m/>
        <s v="Development/Internal Support"/>
        <s v="Production Support"/>
        <s v="Planned - Deployment and Release"/>
        <s v="Planned - Operational Efficiency"/>
        <s v="Planned - Platform Health"/>
        <s v="Planned - Security"/>
        <s v="Time Off / Conferences"/>
      </sharedItems>
    </cacheField>
    <cacheField name="Not DevOps" numFmtId="0">
      <sharedItems containsBlank="1" count="4">
        <s v="$[IF(K2=&quot;DevOps&quot;,&quot;&quot;,&quot;Yes&quot;)]"/>
        <m/>
        <s v="Yes"/>
        <s v="$[IF(K2=&quot;Bug&quot;,&quot;&quot;,&quot;Yes&quot;)]" u="1"/>
      </sharedItems>
    </cacheField>
    <cacheField name="Backlog Health" numFmtId="0">
      <sharedItems containsBlank="1" count="6">
        <s v="${bpHelper.isInBacklogHealth(issue)}&lt;/jt:forEach&gt;"/>
        <m/>
        <s v="Yes"/>
        <s v="No"/>
        <s v="&lt;/jt:forEach&gt;"/>
        <s v="$[IF(OR(E2=&quot;Story: Ready&quot;,E2=&quot;Tech Debt: Ready&quot;,AND(B2=&quot;Spike&quot;,E2=&quot;Story: New&quot;)), &quot;Yes&quot;, &quot;No&quot;)]&lt;/jt:forEach&gt;" u="1"/>
      </sharedItems>
    </cacheField>
    <cacheField name="Epic Done Estimate" numFmtId="0" formula="'Epic Total Estimate'-'Epic Remaining Estimate'" databaseField="0"/>
    <cacheField name="Epic Not Decomposed Estimate" numFmtId="0" formula="'Epic Total Estimate'-'Epic Decompos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x v="0"/>
    <x v="0"/>
    <x v="0"/>
    <x v="0"/>
    <x v="0"/>
    <s v="${fieldHelper.getFieldValueByName(issue, &quot;Customer&quot;)}"/>
    <x v="0"/>
    <s v="${bpHelper.getGroupedTeam(fieldHelper.getFieldValueByName(issue, &quot;Epic Team&quot;))}"/>
    <s v="${bpHelper.getReadyEstimate(issue)}"/>
    <s v="${bpHelper.getInDevEstimate(issue)}"/>
    <s v="${bpHelper.getValidationEstimate(issue)}"/>
    <s v="$[IF(B2=&quot;Epic&quot;, IF(AND(IFERROR(VALUE(P2), 0)&gt;0, P2=W2), &quot;Yes&quot;, &quot;No&quot;), &quot;&quot;)]"/>
    <s v="$[IF(OR(B2=&quot;Bug&quot;, B2=&quot;Epic&quot;),&quot;&quot;,IF(D2=V2, 0, N2))]"/>
    <x v="0"/>
    <x v="0"/>
    <x v="0"/>
  </r>
  <r>
    <s v="&lt;jt:forEach items=&quot;${issues.subList(0, 0)}&quot; var=&quot;issue&quot; where=&quot;${issue.key = ''}&quot;&gt;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  <x v="1"/>
  </r>
  <r>
    <s v="key"/>
    <x v="2"/>
    <m/>
    <s v="RD"/>
    <x v="2"/>
    <m/>
    <m/>
    <m/>
    <m/>
    <m/>
    <x v="1"/>
    <m/>
    <m/>
    <m/>
    <m/>
    <m/>
    <m/>
    <m/>
    <m/>
    <m/>
    <m/>
    <s v="RD"/>
    <m/>
    <m/>
    <m/>
    <m/>
    <m/>
    <m/>
    <m/>
    <m/>
    <x v="2"/>
    <x v="1"/>
    <x v="2"/>
    <x v="1"/>
    <x v="2"/>
    <x v="2"/>
    <m/>
    <x v="2"/>
    <s v="RD"/>
    <m/>
    <m/>
    <m/>
    <m/>
    <m/>
    <x v="1"/>
    <x v="2"/>
    <x v="1"/>
  </r>
  <r>
    <s v="key"/>
    <x v="3"/>
    <m/>
    <s v="RD"/>
    <x v="3"/>
    <m/>
    <m/>
    <m/>
    <m/>
    <m/>
    <x v="1"/>
    <m/>
    <m/>
    <n v="5"/>
    <m/>
    <m/>
    <m/>
    <m/>
    <m/>
    <m/>
    <m/>
    <s v="RD"/>
    <m/>
    <m/>
    <m/>
    <m/>
    <m/>
    <m/>
    <m/>
    <m/>
    <x v="3"/>
    <x v="1"/>
    <x v="1"/>
    <x v="1"/>
    <x v="3"/>
    <x v="3"/>
    <m/>
    <x v="2"/>
    <s v="RD"/>
    <m/>
    <m/>
    <m/>
    <m/>
    <m/>
    <x v="1"/>
    <x v="2"/>
    <x v="2"/>
  </r>
  <r>
    <s v="key"/>
    <x v="4"/>
    <s v="NEEDS FOR FILTERING IN PIVOT TABLES"/>
    <s v="RD"/>
    <x v="4"/>
    <m/>
    <m/>
    <m/>
    <m/>
    <m/>
    <x v="1"/>
    <m/>
    <m/>
    <n v="10"/>
    <m/>
    <m/>
    <m/>
    <m/>
    <m/>
    <m/>
    <m/>
    <s v="RD"/>
    <m/>
    <m/>
    <m/>
    <m/>
    <m/>
    <m/>
    <m/>
    <m/>
    <x v="4"/>
    <x v="1"/>
    <x v="1"/>
    <x v="1"/>
    <x v="4"/>
    <x v="4"/>
    <m/>
    <x v="2"/>
    <s v="RD"/>
    <m/>
    <m/>
    <m/>
    <m/>
    <m/>
    <x v="1"/>
    <x v="2"/>
    <x v="2"/>
  </r>
  <r>
    <s v="key"/>
    <x v="5"/>
    <m/>
    <s v="RD"/>
    <x v="5"/>
    <m/>
    <m/>
    <m/>
    <m/>
    <m/>
    <x v="1"/>
    <m/>
    <m/>
    <n v="20"/>
    <m/>
    <m/>
    <m/>
    <m/>
    <m/>
    <m/>
    <m/>
    <s v="RD"/>
    <m/>
    <m/>
    <m/>
    <m/>
    <m/>
    <m/>
    <m/>
    <m/>
    <x v="5"/>
    <x v="1"/>
    <x v="1"/>
    <x v="1"/>
    <x v="5"/>
    <x v="5"/>
    <m/>
    <x v="2"/>
    <s v="RD"/>
    <m/>
    <m/>
    <m/>
    <m/>
    <m/>
    <x v="1"/>
    <x v="1"/>
    <x v="2"/>
  </r>
  <r>
    <s v="key"/>
    <x v="6"/>
    <m/>
    <s v="RD"/>
    <x v="6"/>
    <m/>
    <m/>
    <m/>
    <m/>
    <m/>
    <x v="1"/>
    <m/>
    <m/>
    <m/>
    <m/>
    <m/>
    <m/>
    <m/>
    <m/>
    <m/>
    <m/>
    <s v="RD"/>
    <m/>
    <m/>
    <m/>
    <m/>
    <m/>
    <m/>
    <m/>
    <m/>
    <x v="6"/>
    <x v="1"/>
    <x v="1"/>
    <x v="1"/>
    <x v="6"/>
    <x v="6"/>
    <m/>
    <x v="2"/>
    <s v="RD"/>
    <m/>
    <m/>
    <m/>
    <m/>
    <m/>
    <x v="1"/>
    <x v="2"/>
    <x v="3"/>
  </r>
  <r>
    <s v="key"/>
    <x v="7"/>
    <m/>
    <s v="Unassigned"/>
    <x v="7"/>
    <m/>
    <m/>
    <m/>
    <m/>
    <m/>
    <x v="1"/>
    <m/>
    <m/>
    <m/>
    <m/>
    <m/>
    <m/>
    <m/>
    <m/>
    <m/>
    <m/>
    <s v="Unassigned"/>
    <m/>
    <m/>
    <m/>
    <m/>
    <m/>
    <m/>
    <m/>
    <m/>
    <x v="7"/>
    <x v="1"/>
    <x v="1"/>
    <x v="1"/>
    <x v="7"/>
    <x v="7"/>
    <m/>
    <x v="3"/>
    <s v="Unassigned"/>
    <m/>
    <m/>
    <m/>
    <m/>
    <m/>
    <x v="1"/>
    <x v="2"/>
    <x v="3"/>
  </r>
  <r>
    <s v="key"/>
    <x v="7"/>
    <m/>
    <s v="RD"/>
    <x v="8"/>
    <m/>
    <m/>
    <m/>
    <m/>
    <m/>
    <x v="1"/>
    <m/>
    <m/>
    <m/>
    <m/>
    <m/>
    <m/>
    <m/>
    <m/>
    <m/>
    <m/>
    <s v="RD"/>
    <m/>
    <m/>
    <m/>
    <m/>
    <m/>
    <m/>
    <m/>
    <m/>
    <x v="2"/>
    <x v="1"/>
    <x v="1"/>
    <x v="1"/>
    <x v="8"/>
    <x v="1"/>
    <m/>
    <x v="2"/>
    <s v="RD"/>
    <m/>
    <m/>
    <m/>
    <m/>
    <m/>
    <x v="1"/>
    <x v="2"/>
    <x v="3"/>
  </r>
  <r>
    <s v="key"/>
    <x v="7"/>
    <m/>
    <s v="RD"/>
    <x v="9"/>
    <m/>
    <m/>
    <m/>
    <m/>
    <m/>
    <x v="1"/>
    <m/>
    <m/>
    <m/>
    <m/>
    <m/>
    <m/>
    <m/>
    <m/>
    <m/>
    <m/>
    <s v="RD"/>
    <m/>
    <m/>
    <m/>
    <m/>
    <m/>
    <m/>
    <m/>
    <m/>
    <x v="3"/>
    <x v="1"/>
    <x v="1"/>
    <x v="1"/>
    <x v="1"/>
    <x v="1"/>
    <m/>
    <x v="2"/>
    <s v="RD"/>
    <m/>
    <m/>
    <m/>
    <m/>
    <m/>
    <x v="1"/>
    <x v="2"/>
    <x v="1"/>
  </r>
  <r>
    <s v="key"/>
    <x v="7"/>
    <m/>
    <s v="DevOps"/>
    <x v="10"/>
    <m/>
    <m/>
    <m/>
    <m/>
    <m/>
    <x v="1"/>
    <m/>
    <m/>
    <m/>
    <m/>
    <m/>
    <m/>
    <m/>
    <m/>
    <m/>
    <m/>
    <s v="DevOps"/>
    <m/>
    <m/>
    <m/>
    <m/>
    <m/>
    <m/>
    <m/>
    <m/>
    <x v="4"/>
    <x v="2"/>
    <x v="1"/>
    <x v="1"/>
    <x v="1"/>
    <x v="1"/>
    <m/>
    <x v="4"/>
    <s v="DevOps"/>
    <m/>
    <m/>
    <m/>
    <m/>
    <m/>
    <x v="1"/>
    <x v="2"/>
    <x v="1"/>
  </r>
  <r>
    <s v="key"/>
    <x v="1"/>
    <m/>
    <s v="RD"/>
    <x v="11"/>
    <m/>
    <m/>
    <m/>
    <m/>
    <m/>
    <x v="1"/>
    <m/>
    <m/>
    <m/>
    <m/>
    <m/>
    <m/>
    <m/>
    <m/>
    <m/>
    <m/>
    <s v="RD"/>
    <m/>
    <m/>
    <m/>
    <m/>
    <m/>
    <m/>
    <m/>
    <m/>
    <x v="5"/>
    <x v="3"/>
    <x v="1"/>
    <x v="1"/>
    <x v="1"/>
    <x v="1"/>
    <m/>
    <x v="1"/>
    <m/>
    <m/>
    <m/>
    <m/>
    <m/>
    <m/>
    <x v="1"/>
    <x v="2"/>
    <x v="1"/>
  </r>
  <r>
    <s v="key"/>
    <x v="3"/>
    <m/>
    <s v="RD"/>
    <x v="12"/>
    <m/>
    <m/>
    <m/>
    <m/>
    <m/>
    <x v="1"/>
    <m/>
    <m/>
    <n v="20"/>
    <m/>
    <m/>
    <m/>
    <m/>
    <m/>
    <m/>
    <m/>
    <s v="RD"/>
    <m/>
    <m/>
    <m/>
    <m/>
    <m/>
    <m/>
    <m/>
    <m/>
    <x v="6"/>
    <x v="4"/>
    <x v="1"/>
    <x v="1"/>
    <x v="1"/>
    <x v="1"/>
    <m/>
    <x v="1"/>
    <m/>
    <m/>
    <m/>
    <m/>
    <m/>
    <m/>
    <x v="1"/>
    <x v="2"/>
    <x v="2"/>
  </r>
  <r>
    <s v="key"/>
    <x v="1"/>
    <m/>
    <s v="RD"/>
    <x v="13"/>
    <m/>
    <m/>
    <m/>
    <m/>
    <m/>
    <x v="1"/>
    <m/>
    <m/>
    <m/>
    <m/>
    <m/>
    <m/>
    <m/>
    <m/>
    <m/>
    <m/>
    <s v="RD"/>
    <m/>
    <m/>
    <m/>
    <m/>
    <m/>
    <m/>
    <m/>
    <m/>
    <x v="7"/>
    <x v="5"/>
    <x v="1"/>
    <x v="1"/>
    <x v="1"/>
    <x v="1"/>
    <m/>
    <x v="1"/>
    <m/>
    <m/>
    <m/>
    <m/>
    <m/>
    <m/>
    <x v="1"/>
    <x v="2"/>
    <x v="1"/>
  </r>
  <r>
    <s v="key"/>
    <x v="7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2"/>
    <x v="2"/>
    <x v="1"/>
  </r>
  <r>
    <s v="key"/>
    <x v="7"/>
    <m/>
    <m/>
    <x v="15"/>
    <m/>
    <m/>
    <m/>
    <m/>
    <m/>
    <x v="1"/>
    <m/>
    <m/>
    <n v="10"/>
    <m/>
    <m/>
    <m/>
    <m/>
    <m/>
    <m/>
    <m/>
    <m/>
    <m/>
    <m/>
    <m/>
    <m/>
    <m/>
    <m/>
    <m/>
    <m/>
    <x v="3"/>
    <x v="7"/>
    <x v="1"/>
    <x v="1"/>
    <x v="1"/>
    <x v="1"/>
    <m/>
    <x v="1"/>
    <m/>
    <m/>
    <m/>
    <m/>
    <m/>
    <m/>
    <x v="3"/>
    <x v="2"/>
    <x v="1"/>
  </r>
  <r>
    <s v="key"/>
    <x v="7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4"/>
    <x v="2"/>
    <x v="1"/>
  </r>
  <r>
    <s v="key"/>
    <x v="7"/>
    <m/>
    <m/>
    <x v="17"/>
    <m/>
    <m/>
    <m/>
    <m/>
    <m/>
    <x v="1"/>
    <m/>
    <m/>
    <n v="10"/>
    <m/>
    <m/>
    <m/>
    <m/>
    <m/>
    <m/>
    <m/>
    <m/>
    <m/>
    <m/>
    <m/>
    <m/>
    <m/>
    <m/>
    <m/>
    <m/>
    <x v="5"/>
    <x v="3"/>
    <x v="1"/>
    <x v="1"/>
    <x v="1"/>
    <x v="1"/>
    <m/>
    <x v="1"/>
    <m/>
    <m/>
    <m/>
    <m/>
    <m/>
    <m/>
    <x v="5"/>
    <x v="2"/>
    <x v="1"/>
  </r>
  <r>
    <s v="key"/>
    <x v="7"/>
    <m/>
    <m/>
    <x v="18"/>
    <m/>
    <m/>
    <m/>
    <m/>
    <m/>
    <x v="1"/>
    <m/>
    <m/>
    <n v="10"/>
    <m/>
    <m/>
    <m/>
    <m/>
    <m/>
    <m/>
    <m/>
    <m/>
    <m/>
    <m/>
    <m/>
    <m/>
    <m/>
    <m/>
    <m/>
    <m/>
    <x v="6"/>
    <x v="4"/>
    <x v="1"/>
    <x v="1"/>
    <x v="1"/>
    <x v="1"/>
    <m/>
    <x v="1"/>
    <m/>
    <m/>
    <m/>
    <m/>
    <m/>
    <m/>
    <x v="6"/>
    <x v="2"/>
    <x v="1"/>
  </r>
  <r>
    <s v="key"/>
    <x v="7"/>
    <m/>
    <m/>
    <x v="19"/>
    <m/>
    <m/>
    <m/>
    <m/>
    <m/>
    <x v="1"/>
    <m/>
    <m/>
    <n v="10"/>
    <m/>
    <m/>
    <m/>
    <m/>
    <m/>
    <m/>
    <m/>
    <m/>
    <m/>
    <m/>
    <m/>
    <m/>
    <m/>
    <m/>
    <m/>
    <m/>
    <x v="7"/>
    <x v="5"/>
    <x v="1"/>
    <x v="1"/>
    <x v="1"/>
    <x v="1"/>
    <m/>
    <x v="1"/>
    <m/>
    <m/>
    <m/>
    <m/>
    <m/>
    <m/>
    <x v="7"/>
    <x v="2"/>
    <x v="1"/>
  </r>
  <r>
    <s v="key"/>
    <x v="7"/>
    <m/>
    <m/>
    <x v="20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8"/>
    <x v="2"/>
    <x v="1"/>
  </r>
  <r>
    <s v="key"/>
    <x v="1"/>
    <m/>
    <m/>
    <x v="21"/>
    <m/>
    <m/>
    <m/>
    <m/>
    <m/>
    <x v="1"/>
    <m/>
    <m/>
    <m/>
    <m/>
    <m/>
    <m/>
    <m/>
    <m/>
    <m/>
    <m/>
    <m/>
    <m/>
    <m/>
    <m/>
    <m/>
    <m/>
    <m/>
    <m/>
    <m/>
    <x v="3"/>
    <x v="7"/>
    <x v="1"/>
    <x v="1"/>
    <x v="1"/>
    <x v="1"/>
    <m/>
    <x v="1"/>
    <m/>
    <m/>
    <m/>
    <m/>
    <m/>
    <m/>
    <x v="1"/>
    <x v="2"/>
    <x v="1"/>
  </r>
  <r>
    <s v="key"/>
    <x v="1"/>
    <m/>
    <m/>
    <x v="22"/>
    <m/>
    <m/>
    <m/>
    <m/>
    <m/>
    <x v="1"/>
    <m/>
    <m/>
    <m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1"/>
    <x v="2"/>
    <x v="1"/>
  </r>
  <r>
    <s v="key"/>
    <x v="1"/>
    <m/>
    <m/>
    <x v="23"/>
    <m/>
    <m/>
    <m/>
    <m/>
    <m/>
    <x v="1"/>
    <m/>
    <m/>
    <m/>
    <m/>
    <m/>
    <m/>
    <m/>
    <m/>
    <m/>
    <m/>
    <m/>
    <m/>
    <m/>
    <m/>
    <m/>
    <m/>
    <m/>
    <m/>
    <m/>
    <x v="5"/>
    <x v="2"/>
    <x v="1"/>
    <x v="1"/>
    <x v="1"/>
    <x v="1"/>
    <m/>
    <x v="1"/>
    <m/>
    <m/>
    <m/>
    <m/>
    <m/>
    <m/>
    <x v="1"/>
    <x v="2"/>
    <x v="1"/>
  </r>
  <r>
    <s v="key"/>
    <x v="1"/>
    <m/>
    <m/>
    <x v="2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5"/>
    <m/>
    <m/>
    <x v="25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26"/>
    <m/>
    <m/>
    <m/>
    <m/>
    <m/>
    <x v="1"/>
    <m/>
    <m/>
    <m/>
    <m/>
    <m/>
    <m/>
    <m/>
    <m/>
    <m/>
    <m/>
    <m/>
    <m/>
    <m/>
    <m/>
    <m/>
    <m/>
    <m/>
    <m/>
    <m/>
    <x v="1"/>
    <x v="1"/>
    <x v="3"/>
    <x v="1"/>
    <x v="1"/>
    <x v="1"/>
    <m/>
    <x v="1"/>
    <m/>
    <m/>
    <m/>
    <m/>
    <m/>
    <m/>
    <x v="1"/>
    <x v="2"/>
    <x v="1"/>
  </r>
  <r>
    <s v="key"/>
    <x v="1"/>
    <m/>
    <m/>
    <x v="2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3"/>
    <m/>
    <m/>
    <x v="28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2"/>
    <x v="1"/>
    <m/>
    <x v="1"/>
    <m/>
    <m/>
    <m/>
    <m/>
    <m/>
    <m/>
    <x v="1"/>
    <x v="2"/>
    <x v="1"/>
  </r>
  <r>
    <s v="key"/>
    <x v="3"/>
    <m/>
    <m/>
    <x v="29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3"/>
    <x v="1"/>
    <m/>
    <x v="1"/>
    <m/>
    <m/>
    <m/>
    <m/>
    <m/>
    <m/>
    <x v="1"/>
    <x v="2"/>
    <x v="1"/>
  </r>
  <r>
    <s v="key"/>
    <x v="3"/>
    <m/>
    <m/>
    <x v="30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4"/>
    <x v="1"/>
    <m/>
    <x v="1"/>
    <m/>
    <m/>
    <m/>
    <m/>
    <m/>
    <m/>
    <x v="1"/>
    <x v="2"/>
    <x v="1"/>
  </r>
  <r>
    <s v="key"/>
    <x v="3"/>
    <m/>
    <m/>
    <x v="31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5"/>
    <x v="1"/>
    <m/>
    <x v="1"/>
    <m/>
    <m/>
    <m/>
    <m/>
    <m/>
    <m/>
    <x v="1"/>
    <x v="2"/>
    <x v="1"/>
  </r>
  <r>
    <s v="key"/>
    <x v="3"/>
    <m/>
    <m/>
    <x v="32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6"/>
    <x v="1"/>
    <m/>
    <x v="1"/>
    <m/>
    <m/>
    <m/>
    <m/>
    <m/>
    <m/>
    <x v="1"/>
    <x v="2"/>
    <x v="1"/>
  </r>
  <r>
    <s v="key"/>
    <x v="3"/>
    <m/>
    <m/>
    <x v="33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7"/>
    <x v="1"/>
    <m/>
    <x v="1"/>
    <m/>
    <m/>
    <m/>
    <m/>
    <m/>
    <m/>
    <x v="1"/>
    <x v="2"/>
    <x v="1"/>
  </r>
  <r>
    <s v="key"/>
    <x v="1"/>
    <m/>
    <m/>
    <x v="34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8"/>
    <x v="1"/>
    <m/>
    <x v="1"/>
    <m/>
    <m/>
    <m/>
    <m/>
    <m/>
    <m/>
    <x v="1"/>
    <x v="2"/>
    <x v="1"/>
  </r>
  <r>
    <s v="key"/>
    <x v="1"/>
    <m/>
    <m/>
    <x v="35"/>
    <m/>
    <m/>
    <m/>
    <m/>
    <m/>
    <x v="1"/>
    <m/>
    <m/>
    <m/>
    <m/>
    <m/>
    <m/>
    <m/>
    <m/>
    <m/>
    <m/>
    <m/>
    <m/>
    <m/>
    <m/>
    <m/>
    <m/>
    <m/>
    <m/>
    <m/>
    <x v="2"/>
    <x v="1"/>
    <x v="1"/>
    <x v="1"/>
    <x v="1"/>
    <x v="1"/>
    <m/>
    <x v="1"/>
    <m/>
    <m/>
    <m/>
    <m/>
    <m/>
    <m/>
    <x v="1"/>
    <x v="2"/>
    <x v="1"/>
  </r>
  <r>
    <s v="key"/>
    <x v="1"/>
    <m/>
    <m/>
    <x v="3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3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38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2"/>
    <x v="1"/>
    <x v="1"/>
    <m/>
    <x v="2"/>
    <m/>
    <m/>
    <m/>
    <m/>
    <m/>
    <m/>
    <x v="1"/>
    <x v="2"/>
    <x v="1"/>
  </r>
  <r>
    <s v="key"/>
    <x v="6"/>
    <m/>
    <m/>
    <x v="39"/>
    <m/>
    <m/>
    <m/>
    <m/>
    <m/>
    <x v="1"/>
    <m/>
    <m/>
    <m/>
    <m/>
    <m/>
    <m/>
    <m/>
    <m/>
    <m/>
    <m/>
    <m/>
    <m/>
    <m/>
    <m/>
    <m/>
    <m/>
    <m/>
    <m/>
    <m/>
    <x v="1"/>
    <x v="3"/>
    <x v="2"/>
    <x v="3"/>
    <x v="1"/>
    <x v="1"/>
    <m/>
    <x v="2"/>
    <m/>
    <m/>
    <m/>
    <m/>
    <m/>
    <m/>
    <x v="1"/>
    <x v="2"/>
    <x v="1"/>
  </r>
  <r>
    <s v="key"/>
    <x v="6"/>
    <m/>
    <m/>
    <x v="40"/>
    <m/>
    <m/>
    <m/>
    <m/>
    <m/>
    <x v="1"/>
    <m/>
    <m/>
    <m/>
    <m/>
    <m/>
    <m/>
    <m/>
    <m/>
    <m/>
    <m/>
    <m/>
    <m/>
    <m/>
    <m/>
    <m/>
    <m/>
    <m/>
    <m/>
    <m/>
    <x v="1"/>
    <x v="4"/>
    <x v="2"/>
    <x v="4"/>
    <x v="1"/>
    <x v="1"/>
    <m/>
    <x v="2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5"/>
    <x v="2"/>
    <x v="5"/>
    <x v="1"/>
    <x v="1"/>
    <m/>
    <x v="2"/>
    <m/>
    <m/>
    <m/>
    <m/>
    <m/>
    <m/>
    <x v="1"/>
    <x v="2"/>
    <x v="1"/>
  </r>
  <r>
    <s v="key"/>
    <x v="6"/>
    <m/>
    <m/>
    <x v="42"/>
    <m/>
    <m/>
    <m/>
    <m/>
    <m/>
    <x v="1"/>
    <m/>
    <m/>
    <m/>
    <m/>
    <m/>
    <m/>
    <m/>
    <m/>
    <m/>
    <m/>
    <m/>
    <m/>
    <m/>
    <m/>
    <m/>
    <m/>
    <m/>
    <m/>
    <m/>
    <x v="1"/>
    <x v="6"/>
    <x v="2"/>
    <x v="6"/>
    <x v="1"/>
    <x v="1"/>
    <m/>
    <x v="2"/>
    <m/>
    <m/>
    <m/>
    <m/>
    <m/>
    <m/>
    <x v="1"/>
    <x v="2"/>
    <x v="1"/>
  </r>
  <r>
    <s v="key"/>
    <x v="6"/>
    <m/>
    <m/>
    <x v="43"/>
    <m/>
    <m/>
    <m/>
    <m/>
    <m/>
    <x v="1"/>
    <m/>
    <m/>
    <m/>
    <m/>
    <m/>
    <m/>
    <m/>
    <m/>
    <m/>
    <m/>
    <m/>
    <m/>
    <m/>
    <m/>
    <m/>
    <m/>
    <m/>
    <m/>
    <m/>
    <x v="1"/>
    <x v="7"/>
    <x v="2"/>
    <x v="5"/>
    <x v="1"/>
    <x v="1"/>
    <m/>
    <x v="2"/>
    <m/>
    <m/>
    <m/>
    <m/>
    <m/>
    <m/>
    <x v="1"/>
    <x v="2"/>
    <x v="1"/>
  </r>
  <r>
    <s v="key"/>
    <x v="6"/>
    <m/>
    <m/>
    <x v="44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1"/>
    <x v="1"/>
    <x v="1"/>
    <m/>
    <x v="1"/>
    <m/>
    <m/>
    <m/>
    <m/>
    <m/>
    <m/>
    <x v="1"/>
    <x v="2"/>
    <x v="1"/>
  </r>
  <r>
    <s v="key"/>
    <x v="1"/>
    <m/>
    <m/>
    <x v="4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2"/>
    <x v="1"/>
    <x v="1"/>
    <m/>
    <x v="2"/>
    <m/>
    <m/>
    <m/>
    <m/>
    <m/>
    <m/>
    <x v="1"/>
    <x v="2"/>
    <x v="1"/>
  </r>
  <r>
    <s v="key"/>
    <x v="2"/>
    <m/>
    <m/>
    <x v="1"/>
    <m/>
    <m/>
    <m/>
    <m/>
    <m/>
    <x v="2"/>
    <m/>
    <m/>
    <m/>
    <m/>
    <n v="200"/>
    <n v="150"/>
    <m/>
    <m/>
    <m/>
    <m/>
    <m/>
    <n v="180"/>
    <m/>
    <m/>
    <m/>
    <m/>
    <m/>
    <m/>
    <m/>
    <x v="1"/>
    <x v="1"/>
    <x v="2"/>
    <x v="1"/>
    <x v="1"/>
    <x v="5"/>
    <m/>
    <x v="2"/>
    <m/>
    <n v="30"/>
    <n v="60"/>
    <n v="40"/>
    <m/>
    <m/>
    <x v="1"/>
    <x v="2"/>
    <x v="1"/>
  </r>
  <r>
    <s v="key"/>
    <x v="2"/>
    <m/>
    <m/>
    <x v="1"/>
    <m/>
    <m/>
    <m/>
    <m/>
    <m/>
    <x v="3"/>
    <m/>
    <m/>
    <m/>
    <m/>
    <n v="200"/>
    <n v="150"/>
    <m/>
    <m/>
    <m/>
    <m/>
    <m/>
    <n v="180"/>
    <m/>
    <m/>
    <m/>
    <m/>
    <m/>
    <m/>
    <m/>
    <x v="1"/>
    <x v="1"/>
    <x v="2"/>
    <x v="1"/>
    <x v="1"/>
    <x v="3"/>
    <m/>
    <x v="2"/>
    <m/>
    <n v="30"/>
    <n v="60"/>
    <n v="40"/>
    <m/>
    <m/>
    <x v="1"/>
    <x v="2"/>
    <x v="1"/>
  </r>
  <r>
    <s v="key"/>
    <x v="2"/>
    <m/>
    <m/>
    <x v="10"/>
    <m/>
    <m/>
    <m/>
    <m/>
    <m/>
    <x v="4"/>
    <m/>
    <m/>
    <n v="10"/>
    <m/>
    <n v="200"/>
    <n v="150"/>
    <m/>
    <m/>
    <m/>
    <m/>
    <m/>
    <n v="180"/>
    <m/>
    <m/>
    <m/>
    <m/>
    <m/>
    <m/>
    <m/>
    <x v="1"/>
    <x v="1"/>
    <x v="2"/>
    <x v="1"/>
    <x v="2"/>
    <x v="2"/>
    <m/>
    <x v="2"/>
    <m/>
    <n v="30"/>
    <n v="60"/>
    <n v="40"/>
    <m/>
    <m/>
    <x v="1"/>
    <x v="2"/>
    <x v="1"/>
  </r>
  <r>
    <s v="key"/>
    <x v="3"/>
    <m/>
    <m/>
    <x v="12"/>
    <m/>
    <m/>
    <m/>
    <m/>
    <m/>
    <x v="4"/>
    <m/>
    <m/>
    <n v="10"/>
    <m/>
    <n v="200"/>
    <n v="150"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4"/>
    <m/>
    <m/>
    <n v="10"/>
    <m/>
    <n v="200"/>
    <n v="150"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2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3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6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7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4"/>
    <m/>
    <x v="1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200"/>
    <m/>
    <m/>
    <m/>
    <m/>
    <m/>
    <m/>
    <m/>
    <m/>
    <m/>
    <m/>
    <m/>
    <m/>
    <m/>
    <m/>
    <x v="1"/>
    <x v="2"/>
    <x v="2"/>
    <x v="1"/>
    <x v="1"/>
    <x v="5"/>
    <m/>
    <x v="5"/>
    <m/>
    <m/>
    <m/>
    <m/>
    <m/>
    <m/>
    <x v="1"/>
    <x v="1"/>
    <x v="1"/>
  </r>
  <r>
    <s v="key"/>
    <x v="2"/>
    <m/>
    <m/>
    <x v="16"/>
    <m/>
    <m/>
    <m/>
    <m/>
    <m/>
    <x v="1"/>
    <m/>
    <m/>
    <n v="30"/>
    <m/>
    <n v="200.125"/>
    <m/>
    <m/>
    <m/>
    <m/>
    <m/>
    <m/>
    <m/>
    <m/>
    <m/>
    <m/>
    <m/>
    <m/>
    <m/>
    <m/>
    <x v="1"/>
    <x v="3"/>
    <x v="2"/>
    <x v="1"/>
    <x v="1"/>
    <x v="8"/>
    <m/>
    <x v="6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200"/>
    <m/>
    <m/>
    <m/>
    <m/>
    <m/>
    <m/>
    <m/>
    <m/>
    <m/>
    <m/>
    <m/>
    <m/>
    <m/>
    <m/>
    <x v="1"/>
    <x v="4"/>
    <x v="2"/>
    <x v="1"/>
    <x v="1"/>
    <x v="3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1"/>
    <m/>
    <m/>
    <m/>
    <m/>
    <m/>
    <m/>
    <x v="1"/>
    <x v="2"/>
    <x v="1"/>
  </r>
  <r>
    <s v="key"/>
    <x v="7"/>
    <m/>
    <m/>
    <x v="4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9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0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2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3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5" cacheId="48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41:D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6"/>
        <item x="4"/>
        <item x="1"/>
        <item m="1" x="7"/>
        <item m="1" x="8"/>
        <item m="1" x="5"/>
        <item x="2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5"/>
        <item m="1" x="4"/>
        <item x="1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5" hier="-1"/>
    <pageField fld="1" hier="-1"/>
    <pageField fld="10" item="7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4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54:B62" firstHeaderRow="1" firstDataRow="1" firstDataCol="1" rowPageCount="3" colPageCount="1"/>
  <pivotFields count="49">
    <pivotField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5"/>
        <item m="1" x="4"/>
        <item x="1"/>
        <item x="3"/>
        <item x="2"/>
        <item t="default"/>
      </items>
    </pivotField>
    <pivotField subtotalTop="0" showAll="0"/>
    <pivotField subtotalTop="0" showAll="0"/>
    <pivotField axis="axisRow" showAll="0">
      <items count="11">
        <item m="1" x="9"/>
        <item x="3"/>
        <item x="4"/>
        <item x="2"/>
        <item x="8"/>
        <item x="6"/>
        <item x="5"/>
        <item x="7"/>
        <item x="1"/>
        <item x="0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5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3">
    <pageField fld="1" item="2" hier="-1"/>
    <pageField fld="32" item="5" hier="-1"/>
    <pageField fld="45" item="2" hier="-1"/>
  </pageFields>
  <dataFields count="1">
    <dataField name="Sum of Epic Total Estimate" fld="15" baseField="35" baseItem="0"/>
  </dataFields>
  <chartFormats count="2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4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B5:AD10" firstHeaderRow="0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10">
        <item x="0"/>
        <item x="1"/>
        <item m="1" x="6"/>
        <item x="4"/>
        <item m="1" x="7"/>
        <item m="1" x="8"/>
        <item m="1" x="5"/>
        <item x="2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axis="axisPage" subtotalTop="0" showAll="0">
      <items count="7">
        <item x="0"/>
        <item m="1" x="5"/>
        <item m="1" x="4"/>
        <item x="1"/>
        <item x="3"/>
        <item x="2"/>
        <item t="default"/>
      </items>
    </pivotField>
    <pivotField subtotalTop="0" showAll="0"/>
    <pivotField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5">
    <i>
      <x v="1"/>
    </i>
    <i>
      <x v="3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3">
    <pageField fld="32" item="5" hier="-1"/>
    <pageField fld="1" hier="-1"/>
    <pageField fld="45" item="1" hier="-1"/>
  </pageFields>
  <dataFields count="2">
    <dataField name="Sum of Epic Total Estimate" fld="15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48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L10:AP17" firstHeaderRow="1" firstDataRow="3" firstDataCol="1" rowPageCount="2" colPageCount="1"/>
  <pivotFields count="49">
    <pivotField subtotalTop="0" showAll="0"/>
    <pivotField axis="axisCol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10">
        <item x="0"/>
        <item m="1" x="6"/>
        <item x="4"/>
        <item x="1"/>
        <item m="1" x="7"/>
        <item m="1" x="8"/>
        <item m="1" x="5"/>
        <item x="2"/>
        <item x="3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5"/>
        <item m="1" x="4"/>
        <item x="1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10"/>
  </rowFields>
  <rowItems count="5">
    <i>
      <x v="2"/>
    </i>
    <i>
      <x v="3"/>
    </i>
    <i>
      <x v="7"/>
    </i>
    <i>
      <x v="8"/>
    </i>
    <i t="grand">
      <x/>
    </i>
  </rowItems>
  <colFields count="2">
    <field x="1"/>
    <field x="-2"/>
  </colFields>
  <colItems count="4">
    <i>
      <x v="2"/>
      <x/>
    </i>
    <i r="1" i="1">
      <x v="1"/>
    </i>
    <i r="1" i="2">
      <x v="2"/>
    </i>
    <i r="1" i="3">
      <x v="3"/>
    </i>
  </colItems>
  <pageFields count="2">
    <pageField fld="32" item="5" hier="-1"/>
    <pageField fld="45" item="1" hier="-1"/>
  </pageFields>
  <dataFields count="4">
    <dataField name="Sum of Epic Total Estimate" fld="15" baseField="10" baseItem="2"/>
    <dataField name="Sum of Stories Estimate" fld="14" baseField="10" baseItem="2"/>
    <dataField name="Sum of Epic Decomposed" fld="22" baseField="10" baseItem="2"/>
    <dataField name="Sum of Epic Remaining Estimate" fld="16" baseField="1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B9FB5-5471-4500-848C-1623DA7CC3A0}" name="PivotTable4" cacheId="4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5:H8" firstHeaderRow="1" firstDataRow="1" firstDataCol="1" rowPageCount="2" colPageCount="1"/>
  <pivotFields count="4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axis="axisRow" showAll="0">
      <items count="13">
        <item x="0"/>
        <item x="7"/>
        <item x="4"/>
        <item x="6"/>
        <item x="5"/>
        <item m="1" x="9"/>
        <item m="1" x="10"/>
        <item m="1" x="11"/>
        <item x="8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axis="axisPage" showAll="0">
      <items count="7">
        <item m="1" x="5"/>
        <item x="3"/>
        <item x="2"/>
        <item x="1"/>
        <item x="4"/>
        <item x="0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7"/>
  </rowFields>
  <rowItems count="3">
    <i>
      <x v="10"/>
    </i>
    <i>
      <x v="11"/>
    </i>
    <i t="grand">
      <x/>
    </i>
  </rowItems>
  <colItems count="1">
    <i/>
  </colItems>
  <pageFields count="2">
    <pageField fld="46" item="2" hier="-1"/>
    <pageField fld="45" item="2" hier="-1"/>
  </pageFields>
  <dataFields count="1">
    <dataField name="Sum of Story Points" fld="13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5" cacheId="4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5" firstHeaderRow="1" firstDataRow="1" firstDataCol="1" rowPageCount="1" colPageCount="1"/>
  <pivotFields count="49">
    <pivotField subtotalTop="0" showAll="0"/>
    <pivotField axis="axisRow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dataField="1" subtotalTop="0" dragToRow="0" dragToCol="0" dragToPage="0" showAll="0" defaultSubtotal="0"/>
  </pivotFields>
  <rowFields count="1">
    <field x="1"/>
  </rowFields>
  <rowItems count="2">
    <i>
      <x v="2"/>
    </i>
    <i t="grand">
      <x/>
    </i>
  </rowItems>
  <colItems count="1">
    <i/>
  </colItems>
  <pageFields count="1">
    <pageField fld="45" item="2" hier="-1"/>
  </pageFields>
  <dataFields count="1">
    <dataField name="Sum of Epic Not Decomposed Estimate" fld="48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4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6:B12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5"/>
        <item m="1" x="4"/>
        <item x="1"/>
        <item x="3"/>
        <item x="2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3">
        <item x="0"/>
        <item x="7"/>
        <item x="4"/>
        <item x="6"/>
        <item x="5"/>
        <item m="1" x="9"/>
        <item m="1" x="10"/>
        <item m="1" x="11"/>
        <item x="8"/>
        <item x="3"/>
        <item x="1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5" hier="-1"/>
    <pageField fld="1" hier="-1"/>
    <pageField fld="37" hier="-1"/>
    <pageField fld="45" item="2" hier="-1"/>
  </pageFields>
  <dataFields count="1">
    <dataField name="Sum of Story Points" fld="13" baseField="34" baseItem="0"/>
  </dataFields>
  <chartFormats count="7">
    <chartFormat chart="1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10" format="55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4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5:C12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42">
        <item h="1" m="1" x="39"/>
        <item h="1" m="1" x="31"/>
        <item h="1" m="1" x="30"/>
        <item h="1" m="1" x="16"/>
        <item h="1" m="1" x="33"/>
        <item h="1" m="1" x="20"/>
        <item h="1" m="1" x="34"/>
        <item h="1" m="1" x="22"/>
        <item h="1" m="1" x="36"/>
        <item h="1" m="1" x="24"/>
        <item h="1" m="1" x="38"/>
        <item h="1" x="1"/>
        <item h="1" m="1" x="8"/>
        <item h="1" m="1" x="9"/>
        <item h="1" m="1" x="11"/>
        <item h="1" m="1" x="12"/>
        <item h="1" m="1" x="14"/>
        <item h="1" m="1" x="26"/>
        <item h="1" m="1" x="19"/>
        <item h="1" m="1" x="18"/>
        <item h="1" m="1" x="21"/>
        <item h="1" m="1" x="35"/>
        <item h="1" m="1" x="23"/>
        <item h="1" m="1" x="37"/>
        <item h="1" m="1" x="25"/>
        <item h="1" m="1" x="40"/>
        <item h="1" m="1" x="10"/>
        <item h="1" m="1" x="27"/>
        <item h="1" m="1" x="13"/>
        <item h="1" m="1" x="29"/>
        <item h="1" m="1" x="15"/>
        <item h="1" m="1" x="32"/>
        <item h="1" m="1" x="17"/>
        <item x="2"/>
        <item x="3"/>
        <item x="4"/>
        <item x="5"/>
        <item x="6"/>
        <item x="7"/>
        <item h="1" m="1" x="28"/>
        <item h="1" x="0"/>
        <item t="default"/>
      </items>
    </pivotField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1"/>
  </rowFields>
  <rowItems count="7"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pageFields count="3">
    <pageField fld="1" hier="-1"/>
    <pageField fld="4" hier="-1"/>
    <pageField fld="45" item="2" hier="-1"/>
  </pageFields>
  <dataFields count="1">
    <dataField name="Sum of Story Points" fld="13" baseField="30" baseItem="12"/>
  </dataFields>
  <chartFormats count="1"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4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5:E13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39">
        <item x="0"/>
        <item m="1" x="15"/>
        <item m="1" x="8"/>
        <item m="1" x="34"/>
        <item m="1" x="27"/>
        <item m="1" x="22"/>
        <item m="1" x="16"/>
        <item m="1" x="10"/>
        <item m="1" x="35"/>
        <item m="1" x="21"/>
        <item m="1" x="37"/>
        <item m="1" x="32"/>
        <item m="1" x="25"/>
        <item m="1" x="20"/>
        <item m="1" x="13"/>
        <item m="1" x="23"/>
        <item m="1" x="24"/>
        <item m="1" x="26"/>
        <item m="1" x="28"/>
        <item m="1" x="29"/>
        <item m="1" x="31"/>
        <item m="1" x="33"/>
        <item m="1" x="36"/>
        <item x="1"/>
        <item m="1" x="9"/>
        <item m="1" x="11"/>
        <item m="1" x="12"/>
        <item m="1" x="14"/>
        <item m="1" x="17"/>
        <item m="1" x="18"/>
        <item m="1" x="19"/>
        <item x="2"/>
        <item x="3"/>
        <item x="4"/>
        <item x="5"/>
        <item x="6"/>
        <item x="7"/>
        <item m="1" x="30"/>
        <item t="default"/>
      </items>
    </pivotField>
    <pivotField showAll="0"/>
    <pivotField subtotalTop="0" showAll="0"/>
    <pivotField subtotalTop="0" showAll="0"/>
    <pivotField axis="axisRow" subtotalTop="0" showAll="0">
      <items count="10">
        <item x="0"/>
        <item x="6"/>
        <item x="5"/>
        <item x="4"/>
        <item x="3"/>
        <item x="2"/>
        <item x="7"/>
        <item x="8"/>
        <item x="1"/>
        <item t="default"/>
      </items>
    </pivotField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34"/>
  </rowFields>
  <rowItems count="8"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Items count="1">
    <i/>
  </colItems>
  <pageFields count="3">
    <pageField fld="1" hier="-1"/>
    <pageField fld="30" item="36" hier="-1"/>
    <pageField fld="45" item="2" hier="-1"/>
  </pageFields>
  <dataFields count="1">
    <dataField name="Sum of Story Points" fld="13" baseField="33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2000000}" name="PivotTable3" cacheId="4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29:C36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>
      <items count="42">
        <item h="1" m="1" x="39"/>
        <item h="1" m="1" x="30"/>
        <item h="1" m="1" x="16"/>
        <item h="1" m="1" x="33"/>
        <item h="1" m="1" x="20"/>
        <item h="1" m="1" x="34"/>
        <item h="1" m="1" x="22"/>
        <item h="1" m="1" x="36"/>
        <item h="1" m="1" x="24"/>
        <item h="1" m="1" x="38"/>
        <item h="1" x="1"/>
        <item h="1" m="1" x="8"/>
        <item h="1" m="1" x="9"/>
        <item h="1" m="1" x="11"/>
        <item h="1" m="1" x="12"/>
        <item h="1" m="1" x="14"/>
        <item h="1" m="1" x="31"/>
        <item h="1" m="1" x="26"/>
        <item h="1" m="1" x="19"/>
        <item h="1" m="1" x="18"/>
        <item h="1" m="1" x="21"/>
        <item h="1" m="1" x="35"/>
        <item h="1" m="1" x="23"/>
        <item h="1" m="1" x="37"/>
        <item h="1" m="1" x="25"/>
        <item h="1" m="1" x="40"/>
        <item h="1" m="1" x="10"/>
        <item h="1" m="1" x="27"/>
        <item h="1" m="1" x="13"/>
        <item h="1" m="1" x="29"/>
        <item h="1" m="1" x="15"/>
        <item h="1" m="1" x="32"/>
        <item h="1" m="1" x="17"/>
        <item x="2"/>
        <item x="3"/>
        <item x="4"/>
        <item x="5"/>
        <item x="6"/>
        <item x="7"/>
        <item h="1" m="1" x="28"/>
        <item h="1" x="0"/>
        <item t="default"/>
      </items>
    </pivotField>
    <pivotField axis="axisPage" subtotalTop="0" showAll="0">
      <items count="7">
        <item x="0"/>
        <item m="1" x="5"/>
        <item m="1" x="4"/>
        <item x="1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9"/>
        <item m="1" x="10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1"/>
  </rowFields>
  <rowItems count="7"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pageFields count="4">
    <pageField fld="32" item="5" hier="-1"/>
    <pageField fld="1" item="1" hier="-1"/>
    <pageField fld="37" hier="-1"/>
    <pageField fld="4" item="1" hier="-1"/>
  </pageFields>
  <dataFields count="1">
    <dataField name="Count of Key" fld="0" subtotal="count" baseField="0" baseItem="0"/>
  </dataFields>
  <chartFormats count="2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" cacheId="4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9:C15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7">
        <item x="0"/>
        <item m="1" x="5"/>
        <item m="1" x="4"/>
        <item x="1"/>
        <item x="3"/>
        <item x="2"/>
        <item t="default"/>
      </items>
    </pivotField>
    <pivotField axis="axisRow" subtotalTop="0">
      <items count="8">
        <item h="1" x="0"/>
        <item h="1" x="1"/>
        <item x="2"/>
        <item x="3"/>
        <item x="4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9"/>
        <item m="1" x="10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5" hier="-1"/>
    <pageField fld="1" item="1" hier="-1"/>
    <pageField fld="37" hier="-1"/>
    <pageField fld="4" hier="-1"/>
  </pageFields>
  <dataFields count="1">
    <dataField name="Count of Key" fld="0" subtotal="count" baseField="0" baseItem="0"/>
  </dataFields>
  <chartFormats count="18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4" cacheId="48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D29:E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6"/>
        <item x="4"/>
        <item x="1"/>
        <item m="1" x="7"/>
        <item m="1" x="8"/>
        <item m="1" x="5"/>
        <item x="2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5"/>
        <item m="1" x="4"/>
        <item x="1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5" hier="-1"/>
    <pageField fld="1" hier="-1"/>
    <pageField fld="10" item="7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1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3" cacheId="48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0:A41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5"/>
        <item m="1" x="4"/>
        <item x="1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5" hier="-1"/>
    <pageField fld="1" hier="-1"/>
    <pageField fld="45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2" cacheId="48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29:B34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5"/>
        <item m="1" x="4"/>
        <item x="1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5" hier="-1"/>
    <pageField fld="1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15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64A30-B41F-4AE4-94E0-976FA0DF52E6}" name="PivotTable6" cacheId="48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J29:K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6"/>
        <item x="4"/>
        <item x="1"/>
        <item m="1" x="7"/>
        <item m="1" x="8"/>
        <item m="1" x="5"/>
        <item x="2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5"/>
        <item m="1" x="4"/>
        <item x="1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5" hier="-1"/>
    <pageField fld="1" hier="-1"/>
    <pageField fld="10" item="2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33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1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E7328-E767-497A-8049-35A88773E794}" name="PivotTable7" cacheId="48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41:J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6"/>
        <item x="4"/>
        <item x="1"/>
        <item m="1" x="7"/>
        <item m="1" x="8"/>
        <item m="1" x="5"/>
        <item x="2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5"/>
        <item m="1" x="4"/>
        <item x="1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5" hier="-1"/>
    <pageField fld="1" hier="-1"/>
    <pageField fld="10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9" cacheId="48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G29:H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6"/>
        <item x="4"/>
        <item x="1"/>
        <item m="1" x="7"/>
        <item m="1" x="8"/>
        <item m="1" x="5"/>
        <item x="2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5"/>
        <item m="1" x="4"/>
        <item x="1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5" hier="-1"/>
    <pageField fld="1" hier="-1"/>
    <pageField fld="10" item="8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8" cacheId="48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41:G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6"/>
        <item x="4"/>
        <item x="1"/>
        <item m="1" x="7"/>
        <item m="1" x="8"/>
        <item m="1" x="5"/>
        <item x="2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5"/>
        <item m="1" x="4"/>
        <item x="1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5" hier="-1"/>
    <pageField fld="1" hier="-1"/>
    <pageField fld="10" item="8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CE1EF-625E-43F6-9928-8FD8FD0AC1EA}" name="PivotTable11" cacheId="4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E51:F60" firstHeaderRow="1" firstDataRow="1" firstDataCol="1" rowPageCount="1" colPageCount="1"/>
  <pivotFields count="49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2"/>
        <item x="4"/>
        <item x="5"/>
        <item x="6"/>
        <item x="7"/>
        <item x="3"/>
        <item x="8"/>
        <item x="1"/>
        <item t="default"/>
      </items>
    </pivotField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4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item="2" hier="-1"/>
  </pageFields>
  <dataFields count="1">
    <dataField name="Sum of Story Points" fld="13" baseField="44" baseItem="0"/>
  </dataFields>
  <chartFormats count="18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D2:E4" totalsRowShown="0" headerRowDxfId="11" dataDxfId="9" headerRowBorderDxfId="10" tableBorderDxfId="8" totalsRowBorderDxfId="7">
  <autoFilter ref="D2:E4" xr:uid="{00000000-0009-0000-0100-000002000000}">
    <filterColumn colId="0" hiddenButton="1"/>
    <filterColumn colId="1" hiddenButton="1"/>
  </autoFilter>
  <tableColumns count="2">
    <tableColumn id="1" xr3:uid="{00000000-0010-0000-0000-000001000000}" name="Start Date" dataDxfId="6"/>
    <tableColumn id="2" xr3:uid="{00000000-0010-0000-0000-000002000000}" name="End Date" dataDxfId="5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Z2:Z9" totalsRowShown="0" headerRowDxfId="4">
  <autoFilter ref="Z2:Z9" xr:uid="{00000000-0009-0000-0100-000004000000}">
    <filterColumn colId="0" hiddenButton="1"/>
  </autoFilter>
  <tableColumns count="1">
    <tableColumn id="1" xr3:uid="{00000000-0010-0000-0100-000001000000}" name="Stabilization and Holidays" dataDxfId="3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6E46EC-C033-4B28-951E-77ADACF80BD5}" name="Table6" displayName="Table6" ref="P24:Q28" totalsRowShown="0">
  <autoFilter ref="P24:Q28" xr:uid="{194AD53B-D427-4E24-B2F1-E1BDCB94D883}">
    <filterColumn colId="0" hiddenButton="1"/>
    <filterColumn colId="1" hiddenButton="1"/>
  </autoFilter>
  <tableColumns count="2">
    <tableColumn id="1" xr3:uid="{113E3810-F961-47D9-A95E-9E06FDBD93EB}" name="Feature"/>
    <tableColumn id="2" xr3:uid="{8C1EB301-11F9-4891-8377-B4D31569F7F1}" name="Cost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B15:D21" totalsRowShown="0">
  <autoFilter ref="B15:D21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200-000001000000}" name="Sprint"/>
    <tableColumn id="2" xr3:uid="{00000000-0010-0000-0200-000002000000}" name="Epics New" dataDxfId="2">
      <calculatedColumnFormula>GETPIVOTDATA("Epic Not Decomposed Estimate",$B$3)</calculatedColumnFormula>
    </tableColumn>
    <tableColumn id="3" xr3:uid="{00000000-0010-0000-0200-000003000000}" name="Stories Ready" dataDxfId="1">
      <calculatedColumnFormula>GETPIVOTDATA("Story Points",#REF!)</calculatedColumnFormula>
    </tableColumn>
  </tableColumns>
  <tableStyleInfo name="TableStyleLight1" showFirstColumn="1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K6:M13" totalsRowCount="1">
  <autoFilter ref="K6:M12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300-000001000000}" name="Sprint" totalsRowLabel="Total"/>
    <tableColumn id="2" xr3:uid="{00000000-0010-0000-0300-000002000000}" name="R&amp;D" totalsRowFunction="sum"/>
    <tableColumn id="7" xr3:uid="{00000000-0010-0000-0300-000007000000}" name="Total" totalsRowFunction="sum" dataDxfId="0">
      <calculatedColumnFormula>SUM(L7:L7)</calculatedColumnFormula>
    </tableColumn>
  </tableColumns>
  <tableStyleInfo name="TableStyleLight1" showFirstColumn="1" showLastColumn="1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B1" headerRowCount="0" totalsRowShown="0">
  <tableColumns count="2">
    <tableColumn id="1" xr3:uid="{00000000-0010-0000-0400-000001000000}" name="Column1" dataCellStyle="Output"/>
    <tableColumn id="2" xr3:uid="{00000000-0010-0000-0400-000002000000}" name="Column2">
      <calculatedColumnFormula>$E$2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1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table" Target="../tables/table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table" Target="../tables/table3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6:B9"/>
  <sheetViews>
    <sheetView showGridLines="0" tabSelected="1" zoomScaleNormal="10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3"/>
  <sheetViews>
    <sheetView workbookViewId="0"/>
  </sheetViews>
  <sheetFormatPr defaultRowHeight="14.25" x14ac:dyDescent="0.45"/>
  <cols>
    <col min="1" max="1" width="12.33203125" bestFit="1" customWidth="1"/>
    <col min="2" max="2" width="16.86328125" bestFit="1" customWidth="1"/>
    <col min="3" max="3" width="9.33203125" customWidth="1"/>
    <col min="4" max="4" width="8.6640625" customWidth="1"/>
    <col min="5" max="5" width="10.19921875" bestFit="1" customWidth="1"/>
  </cols>
  <sheetData>
    <row r="1" spans="1:2" x14ac:dyDescent="0.45">
      <c r="A1" s="16" t="s">
        <v>135</v>
      </c>
      <c r="B1" t="s">
        <v>254</v>
      </c>
    </row>
    <row r="2" spans="1:2" x14ac:dyDescent="0.45">
      <c r="A2" s="16" t="s">
        <v>9</v>
      </c>
      <c r="B2" t="s">
        <v>153</v>
      </c>
    </row>
    <row r="3" spans="1:2" x14ac:dyDescent="0.45">
      <c r="A3" s="16" t="s">
        <v>113</v>
      </c>
      <c r="B3" t="s">
        <v>179</v>
      </c>
    </row>
    <row r="4" spans="1:2" x14ac:dyDescent="0.45">
      <c r="A4" s="16" t="s">
        <v>251</v>
      </c>
      <c r="B4" t="s">
        <v>221</v>
      </c>
    </row>
    <row r="6" spans="1:2" x14ac:dyDescent="0.45">
      <c r="A6" s="16" t="s">
        <v>140</v>
      </c>
      <c r="B6" t="s">
        <v>144</v>
      </c>
    </row>
    <row r="7" spans="1:2" x14ac:dyDescent="0.45">
      <c r="A7" s="17" t="s">
        <v>151</v>
      </c>
      <c r="B7" s="20">
        <v>100</v>
      </c>
    </row>
    <row r="8" spans="1:2" x14ac:dyDescent="0.45">
      <c r="A8" s="17" t="s">
        <v>149</v>
      </c>
      <c r="B8" s="20">
        <v>100</v>
      </c>
    </row>
    <row r="9" spans="1:2" x14ac:dyDescent="0.45">
      <c r="A9" s="17" t="s">
        <v>148</v>
      </c>
      <c r="B9" s="20">
        <v>100</v>
      </c>
    </row>
    <row r="10" spans="1:2" x14ac:dyDescent="0.45">
      <c r="A10" s="17" t="s">
        <v>176</v>
      </c>
      <c r="B10" s="20">
        <v>100</v>
      </c>
    </row>
    <row r="11" spans="1:2" x14ac:dyDescent="0.45">
      <c r="A11" s="17" t="s">
        <v>147</v>
      </c>
      <c r="B11" s="20">
        <v>90</v>
      </c>
    </row>
    <row r="12" spans="1:2" x14ac:dyDescent="0.45">
      <c r="A12" s="17" t="s">
        <v>50</v>
      </c>
      <c r="B12" s="20">
        <v>490</v>
      </c>
    </row>
    <row r="13" spans="1:2" x14ac:dyDescent="0.45">
      <c r="A13" s="17" t="s">
        <v>50</v>
      </c>
      <c r="B13">
        <f>GETPIVOTDATA("Story Points", $A$6)</f>
        <v>490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M13"/>
  <sheetViews>
    <sheetView workbookViewId="0"/>
  </sheetViews>
  <sheetFormatPr defaultRowHeight="14.25" x14ac:dyDescent="0.45"/>
  <cols>
    <col min="2" max="2" width="12.06640625" bestFit="1" customWidth="1"/>
    <col min="3" max="3" width="16.86328125" bestFit="1" customWidth="1"/>
    <col min="4" max="4" width="6.73046875" bestFit="1" customWidth="1"/>
    <col min="5" max="5" width="3.73046875" bestFit="1" customWidth="1"/>
    <col min="6" max="6" width="4.796875" bestFit="1" customWidth="1"/>
    <col min="7" max="9" width="10.19921875" bestFit="1" customWidth="1"/>
    <col min="11" max="13" width="9.86328125" customWidth="1"/>
  </cols>
  <sheetData>
    <row r="1" spans="2:13" x14ac:dyDescent="0.45">
      <c r="B1" s="16" t="s">
        <v>9</v>
      </c>
      <c r="C1" t="s">
        <v>153</v>
      </c>
    </row>
    <row r="2" spans="2:13" x14ac:dyDescent="0.45">
      <c r="B2" s="16" t="s">
        <v>0</v>
      </c>
      <c r="C2" t="s">
        <v>153</v>
      </c>
    </row>
    <row r="3" spans="2:13" x14ac:dyDescent="0.45">
      <c r="B3" s="16" t="s">
        <v>251</v>
      </c>
      <c r="C3" t="s">
        <v>221</v>
      </c>
    </row>
    <row r="5" spans="2:13" x14ac:dyDescent="0.45">
      <c r="B5" s="16" t="s">
        <v>140</v>
      </c>
      <c r="C5" t="s">
        <v>144</v>
      </c>
      <c r="K5" s="39" t="s">
        <v>191</v>
      </c>
    </row>
    <row r="6" spans="2:13" x14ac:dyDescent="0.45">
      <c r="B6" s="17" t="s">
        <v>262</v>
      </c>
      <c r="C6" s="20">
        <v>100</v>
      </c>
      <c r="K6" t="s">
        <v>190</v>
      </c>
      <c r="L6" t="s">
        <v>240</v>
      </c>
      <c r="M6" t="s">
        <v>189</v>
      </c>
    </row>
    <row r="7" spans="2:13" x14ac:dyDescent="0.45">
      <c r="B7" s="17" t="s">
        <v>263</v>
      </c>
      <c r="C7" s="20">
        <v>60</v>
      </c>
      <c r="K7" t="s">
        <v>262</v>
      </c>
      <c r="L7">
        <v>73.5</v>
      </c>
      <c r="M7">
        <f t="shared" ref="M7:M12" si="0">SUM(L7:L7)</f>
        <v>73.5</v>
      </c>
    </row>
    <row r="8" spans="2:13" x14ac:dyDescent="0.45">
      <c r="B8" s="17" t="s">
        <v>264</v>
      </c>
      <c r="C8" s="20">
        <v>30</v>
      </c>
      <c r="K8" t="s">
        <v>263</v>
      </c>
      <c r="L8">
        <v>85</v>
      </c>
      <c r="M8">
        <f t="shared" si="0"/>
        <v>85</v>
      </c>
    </row>
    <row r="9" spans="2:13" x14ac:dyDescent="0.45">
      <c r="B9" s="17" t="s">
        <v>265</v>
      </c>
      <c r="C9" s="20">
        <v>60</v>
      </c>
      <c r="K9" t="s">
        <v>264</v>
      </c>
      <c r="L9">
        <v>50.625</v>
      </c>
      <c r="M9">
        <f t="shared" si="0"/>
        <v>50.625</v>
      </c>
    </row>
    <row r="10" spans="2:13" x14ac:dyDescent="0.45">
      <c r="B10" s="17" t="s">
        <v>266</v>
      </c>
      <c r="C10" s="20">
        <v>60</v>
      </c>
      <c r="K10" t="s">
        <v>265</v>
      </c>
      <c r="L10">
        <v>79.5</v>
      </c>
      <c r="M10">
        <f t="shared" si="0"/>
        <v>79.5</v>
      </c>
    </row>
    <row r="11" spans="2:13" x14ac:dyDescent="0.45">
      <c r="B11" s="17" t="s">
        <v>267</v>
      </c>
      <c r="C11" s="20">
        <v>60</v>
      </c>
      <c r="K11" t="s">
        <v>266</v>
      </c>
      <c r="L11">
        <v>60.75</v>
      </c>
      <c r="M11">
        <f t="shared" si="0"/>
        <v>60.75</v>
      </c>
    </row>
    <row r="12" spans="2:13" x14ac:dyDescent="0.45">
      <c r="B12" s="17" t="s">
        <v>50</v>
      </c>
      <c r="C12" s="20">
        <v>370</v>
      </c>
      <c r="K12" t="s">
        <v>267</v>
      </c>
      <c r="M12">
        <f t="shared" si="0"/>
        <v>0</v>
      </c>
    </row>
    <row r="13" spans="2:13" x14ac:dyDescent="0.45">
      <c r="K13" t="s">
        <v>189</v>
      </c>
      <c r="L13">
        <f>SUBTOTAL(109,Table1[R&amp;D])</f>
        <v>349.375</v>
      </c>
      <c r="M13">
        <f>SUBTOTAL(109,Table1[Total])</f>
        <v>349.375</v>
      </c>
    </row>
  </sheetData>
  <pageMargins left="0.7" right="0.7" top="0.75" bottom="0.75" header="0.3" footer="0.3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6"/>
  <sheetViews>
    <sheetView workbookViewId="0"/>
  </sheetViews>
  <sheetFormatPr defaultRowHeight="14.25" x14ac:dyDescent="0.45"/>
  <cols>
    <col min="1" max="1" width="11.59765625" customWidth="1"/>
    <col min="2" max="2" width="11.3984375" customWidth="1"/>
    <col min="4" max="4" width="12.06640625" bestFit="1" customWidth="1"/>
    <col min="5" max="5" width="16.86328125" bestFit="1" customWidth="1"/>
  </cols>
  <sheetData>
    <row r="1" spans="1:5" x14ac:dyDescent="0.45">
      <c r="A1" s="31" t="s">
        <v>143</v>
      </c>
      <c r="B1" t="str">
        <f>$E$2</f>
        <v>Saturn6</v>
      </c>
      <c r="D1" s="16" t="s">
        <v>9</v>
      </c>
      <c r="E1" t="s">
        <v>153</v>
      </c>
    </row>
    <row r="2" spans="1:5" x14ac:dyDescent="0.45">
      <c r="D2" s="16" t="s">
        <v>141</v>
      </c>
      <c r="E2" t="s">
        <v>273</v>
      </c>
    </row>
    <row r="3" spans="1:5" x14ac:dyDescent="0.45">
      <c r="D3" s="16" t="s">
        <v>251</v>
      </c>
      <c r="E3" t="s">
        <v>221</v>
      </c>
    </row>
    <row r="5" spans="1:5" x14ac:dyDescent="0.45">
      <c r="D5" s="16" t="s">
        <v>140</v>
      </c>
      <c r="E5" t="s">
        <v>144</v>
      </c>
    </row>
    <row r="6" spans="1:5" x14ac:dyDescent="0.45">
      <c r="D6" s="17" t="s">
        <v>151</v>
      </c>
      <c r="E6" s="20">
        <v>1</v>
      </c>
    </row>
    <row r="7" spans="1:5" x14ac:dyDescent="0.45">
      <c r="D7" s="17" t="s">
        <v>149</v>
      </c>
      <c r="E7" s="20">
        <v>1</v>
      </c>
    </row>
    <row r="8" spans="1:5" x14ac:dyDescent="0.45">
      <c r="D8" s="17" t="s">
        <v>148</v>
      </c>
      <c r="E8" s="20">
        <v>1</v>
      </c>
    </row>
    <row r="9" spans="1:5" x14ac:dyDescent="0.45">
      <c r="D9" s="17" t="s">
        <v>176</v>
      </c>
      <c r="E9" s="20">
        <v>1</v>
      </c>
    </row>
    <row r="10" spans="1:5" x14ac:dyDescent="0.45">
      <c r="D10" s="17" t="s">
        <v>147</v>
      </c>
      <c r="E10" s="20">
        <v>1</v>
      </c>
    </row>
    <row r="11" spans="1:5" x14ac:dyDescent="0.45">
      <c r="D11" s="17" t="s">
        <v>150</v>
      </c>
      <c r="E11" s="20">
        <v>1</v>
      </c>
    </row>
    <row r="12" spans="1:5" x14ac:dyDescent="0.45">
      <c r="D12" s="17" t="s">
        <v>186</v>
      </c>
      <c r="E12" s="20">
        <v>10</v>
      </c>
    </row>
    <row r="13" spans="1:5" x14ac:dyDescent="0.45">
      <c r="D13" s="17" t="s">
        <v>50</v>
      </c>
      <c r="E13" s="20">
        <v>16</v>
      </c>
    </row>
    <row r="15" spans="1:5" x14ac:dyDescent="0.45">
      <c r="D15" t="s">
        <v>50</v>
      </c>
      <c r="E15">
        <f>GETPIVOTDATA("Story Points", $D$5)</f>
        <v>16</v>
      </c>
    </row>
    <row r="16" spans="1:5" x14ac:dyDescent="0.45">
      <c r="D16" t="s">
        <v>154</v>
      </c>
      <c r="E16" t="str">
        <f>"Sprint " &amp; SUBSTITUTE($B$1,"Quasar", "") &amp; " Progress"</f>
        <v>Sprint Saturn6 Progress</v>
      </c>
    </row>
  </sheetData>
  <pageMargins left="0.7" right="0.7" top="0.75" bottom="0.75" header="0.3" footer="0.3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showGridLines="0" workbookViewId="0">
      <selection activeCell="B5" sqref="B5"/>
    </sheetView>
  </sheetViews>
  <sheetFormatPr defaultRowHeight="14.25" x14ac:dyDescent="0.45"/>
  <cols>
    <col min="9" max="9" width="12.06640625" bestFit="1" customWidth="1"/>
    <col min="10" max="10" width="15.6640625" bestFit="1" customWidth="1"/>
    <col min="11" max="11" width="4.3984375" bestFit="1" customWidth="1"/>
    <col min="12" max="12" width="7.59765625" bestFit="1" customWidth="1"/>
    <col min="13" max="13" width="4.06640625" bestFit="1" customWidth="1"/>
    <col min="14" max="14" width="6.53125" bestFit="1" customWidth="1"/>
    <col min="15" max="15" width="10.19921875" bestFit="1" customWidth="1"/>
  </cols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6"/>
  <sheetViews>
    <sheetView workbookViewId="0"/>
  </sheetViews>
  <sheetFormatPr defaultRowHeight="14.25" x14ac:dyDescent="0.45"/>
  <cols>
    <col min="2" max="2" width="12.33203125" bestFit="1" customWidth="1"/>
    <col min="3" max="3" width="15.6640625" bestFit="1" customWidth="1"/>
    <col min="5" max="5" width="12.06640625" bestFit="1" customWidth="1"/>
    <col min="6" max="6" width="8" customWidth="1"/>
    <col min="7" max="7" width="10.19921875" bestFit="1" customWidth="1"/>
  </cols>
  <sheetData>
    <row r="1" spans="1:7" x14ac:dyDescent="0.45">
      <c r="A1" t="s">
        <v>155</v>
      </c>
    </row>
    <row r="2" spans="1:7" x14ac:dyDescent="0.45">
      <c r="A2" t="s">
        <v>162</v>
      </c>
      <c r="G2" t="s">
        <v>256</v>
      </c>
    </row>
    <row r="3" spans="1:7" x14ac:dyDescent="0.45">
      <c r="G3" t="s">
        <v>253</v>
      </c>
    </row>
    <row r="4" spans="1:7" x14ac:dyDescent="0.45">
      <c r="B4" s="16" t="s">
        <v>135</v>
      </c>
      <c r="C4" t="s">
        <v>254</v>
      </c>
    </row>
    <row r="5" spans="1:7" x14ac:dyDescent="0.45">
      <c r="B5" s="16" t="s">
        <v>9</v>
      </c>
      <c r="C5" t="s">
        <v>66</v>
      </c>
    </row>
    <row r="6" spans="1:7" x14ac:dyDescent="0.45">
      <c r="B6" s="16" t="s">
        <v>113</v>
      </c>
      <c r="C6" t="s">
        <v>179</v>
      </c>
    </row>
    <row r="7" spans="1:7" x14ac:dyDescent="0.45">
      <c r="B7" s="16" t="s">
        <v>0</v>
      </c>
      <c r="C7" t="s">
        <v>153</v>
      </c>
    </row>
    <row r="9" spans="1:7" x14ac:dyDescent="0.45">
      <c r="B9" s="16" t="s">
        <v>140</v>
      </c>
      <c r="C9" t="s">
        <v>161</v>
      </c>
    </row>
    <row r="10" spans="1:7" x14ac:dyDescent="0.45">
      <c r="B10" s="17" t="s">
        <v>156</v>
      </c>
      <c r="C10" s="20">
        <v>1</v>
      </c>
    </row>
    <row r="11" spans="1:7" x14ac:dyDescent="0.45">
      <c r="B11" s="17" t="s">
        <v>157</v>
      </c>
      <c r="C11" s="20">
        <v>1</v>
      </c>
    </row>
    <row r="12" spans="1:7" x14ac:dyDescent="0.45">
      <c r="B12" s="17" t="s">
        <v>158</v>
      </c>
      <c r="C12" s="20">
        <v>1</v>
      </c>
    </row>
    <row r="13" spans="1:7" x14ac:dyDescent="0.45">
      <c r="B13" s="17" t="s">
        <v>159</v>
      </c>
      <c r="C13" s="20">
        <v>1</v>
      </c>
    </row>
    <row r="14" spans="1:7" x14ac:dyDescent="0.45">
      <c r="B14" s="17" t="s">
        <v>160</v>
      </c>
      <c r="C14" s="20">
        <v>1</v>
      </c>
    </row>
    <row r="15" spans="1:7" x14ac:dyDescent="0.45">
      <c r="B15" s="17" t="s">
        <v>50</v>
      </c>
      <c r="C15" s="20">
        <v>5</v>
      </c>
    </row>
    <row r="18" spans="2:3" x14ac:dyDescent="0.45">
      <c r="B18" s="17" t="s">
        <v>50</v>
      </c>
      <c r="C18">
        <f>GETPIVOTDATA("Key", $B$9)</f>
        <v>5</v>
      </c>
    </row>
    <row r="24" spans="2:3" x14ac:dyDescent="0.45">
      <c r="B24" s="16" t="s">
        <v>135</v>
      </c>
      <c r="C24" t="s">
        <v>254</v>
      </c>
    </row>
    <row r="25" spans="2:3" x14ac:dyDescent="0.45">
      <c r="B25" s="16" t="s">
        <v>9</v>
      </c>
      <c r="C25" t="s">
        <v>66</v>
      </c>
    </row>
    <row r="26" spans="2:3" x14ac:dyDescent="0.45">
      <c r="B26" s="16" t="s">
        <v>113</v>
      </c>
      <c r="C26" t="s">
        <v>179</v>
      </c>
    </row>
    <row r="27" spans="2:3" x14ac:dyDescent="0.45">
      <c r="B27" s="16" t="s">
        <v>0</v>
      </c>
      <c r="C27" t="s">
        <v>81</v>
      </c>
    </row>
    <row r="29" spans="2:3" x14ac:dyDescent="0.45">
      <c r="B29" s="16" t="s">
        <v>140</v>
      </c>
      <c r="C29" t="s">
        <v>161</v>
      </c>
    </row>
    <row r="30" spans="2:3" x14ac:dyDescent="0.45">
      <c r="B30" s="17" t="s">
        <v>262</v>
      </c>
      <c r="C30" s="20">
        <v>1</v>
      </c>
    </row>
    <row r="31" spans="2:3" x14ac:dyDescent="0.45">
      <c r="B31" s="17" t="s">
        <v>263</v>
      </c>
      <c r="C31" s="20"/>
    </row>
    <row r="32" spans="2:3" x14ac:dyDescent="0.45">
      <c r="B32" s="17" t="s">
        <v>264</v>
      </c>
      <c r="C32" s="20"/>
    </row>
    <row r="33" spans="2:3" x14ac:dyDescent="0.45">
      <c r="B33" s="17" t="s">
        <v>265</v>
      </c>
      <c r="C33" s="20">
        <v>1</v>
      </c>
    </row>
    <row r="34" spans="2:3" x14ac:dyDescent="0.45">
      <c r="B34" s="17" t="s">
        <v>266</v>
      </c>
      <c r="C34" s="20"/>
    </row>
    <row r="35" spans="2:3" x14ac:dyDescent="0.45">
      <c r="B35" s="17" t="s">
        <v>267</v>
      </c>
      <c r="C35" s="20"/>
    </row>
    <row r="36" spans="2:3" x14ac:dyDescent="0.45">
      <c r="B36" s="17" t="s">
        <v>50</v>
      </c>
      <c r="C36" s="20">
        <v>2</v>
      </c>
    </row>
  </sheetData>
  <pageMargins left="0.7" right="0.7" top="0.75" bottom="0.75" header="0.3" footer="0.3"/>
  <pageSetup orientation="portrait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AV105"/>
  <sheetViews>
    <sheetView zoomScale="90" zoomScaleNormal="90" workbookViewId="0">
      <pane ySplit="1" topLeftCell="A2" activePane="bottomLeft" state="frozen"/>
      <selection activeCell="C3" sqref="C3"/>
      <selection pane="bottomLeft"/>
    </sheetView>
  </sheetViews>
  <sheetFormatPr defaultColWidth="9.1328125" defaultRowHeight="14.25" x14ac:dyDescent="0.45"/>
  <cols>
    <col min="1" max="1" width="11.265625" style="3" customWidth="1"/>
    <col min="2" max="2" width="9.796875" style="3" customWidth="1"/>
    <col min="3" max="3" width="38.59765625" style="4" customWidth="1"/>
    <col min="4" max="4" width="23.46484375" style="4" customWidth="1"/>
    <col min="5" max="5" width="18.9296875" style="3" customWidth="1"/>
    <col min="6" max="6" width="18.9296875" style="5" customWidth="1"/>
    <col min="7" max="7" width="24.1328125" style="3" customWidth="1"/>
    <col min="8" max="8" width="23.796875" style="5" customWidth="1"/>
    <col min="9" max="9" width="20.86328125" style="5" customWidth="1"/>
    <col min="10" max="10" width="17.796875" style="3" customWidth="1"/>
    <col min="11" max="11" width="17.796875" style="5" customWidth="1"/>
    <col min="12" max="12" width="18.9296875" style="5" customWidth="1"/>
    <col min="13" max="13" width="16.86328125" style="3" customWidth="1"/>
    <col min="14" max="14" width="16.86328125" style="5" customWidth="1"/>
    <col min="15" max="15" width="16.19921875" style="5" customWidth="1"/>
    <col min="16" max="16" width="16.86328125" style="5" customWidth="1"/>
    <col min="17" max="17" width="21.06640625" style="5" customWidth="1"/>
    <col min="18" max="18" width="19.86328125" style="5" customWidth="1"/>
    <col min="19" max="19" width="19.265625" style="5" customWidth="1"/>
    <col min="20" max="20" width="12.9296875" style="5" customWidth="1"/>
    <col min="21" max="21" width="27.73046875" style="5" customWidth="1"/>
    <col min="22" max="22" width="13.265625" style="5" customWidth="1"/>
    <col min="23" max="23" width="17.19921875" style="5" customWidth="1"/>
    <col min="24" max="24" width="13.265625" style="5" customWidth="1"/>
    <col min="25" max="25" width="18.06640625" style="5" customWidth="1"/>
    <col min="26" max="26" width="16.86328125" style="5" customWidth="1"/>
    <col min="27" max="27" width="23.6640625" style="5" customWidth="1"/>
    <col min="28" max="28" width="29.19921875" style="5" customWidth="1"/>
    <col min="29" max="29" width="20.3984375" style="5" customWidth="1"/>
    <col min="30" max="30" width="22.06640625" style="5" customWidth="1"/>
    <col min="31" max="31" width="14.06640625" style="5" customWidth="1"/>
    <col min="32" max="32" width="12.3984375" style="5" customWidth="1"/>
    <col min="33" max="33" width="22.06640625" style="5" customWidth="1"/>
    <col min="34" max="34" width="13.53125" style="5" customWidth="1"/>
    <col min="35" max="35" width="12.1328125" style="5" customWidth="1"/>
    <col min="36" max="36" width="17.796875" style="5" customWidth="1"/>
    <col min="37" max="38" width="16.73046875" style="5" customWidth="1"/>
    <col min="39" max="39" width="18.86328125" style="5" customWidth="1"/>
    <col min="40" max="40" width="17.796875" style="5" customWidth="1"/>
    <col min="41" max="41" width="18.33203125" style="5" customWidth="1"/>
    <col min="42" max="42" width="21.53125" style="5" customWidth="1"/>
    <col min="43" max="43" width="19.86328125" style="5" customWidth="1"/>
    <col min="44" max="44" width="18.796875" style="5" customWidth="1"/>
    <col min="45" max="45" width="20.6640625" style="5" customWidth="1"/>
    <col min="46" max="46" width="11.9296875" style="5" customWidth="1"/>
    <col min="47" max="47" width="13.73046875" style="5" customWidth="1"/>
    <col min="48" max="16384" width="9.1328125" style="3"/>
  </cols>
  <sheetData>
    <row r="1" spans="1:48" x14ac:dyDescent="0.45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117</v>
      </c>
      <c r="X1" s="1" t="s">
        <v>21</v>
      </c>
      <c r="Y1" s="1" t="s">
        <v>120</v>
      </c>
      <c r="Z1" s="1" t="s">
        <v>126</v>
      </c>
      <c r="AA1" s="1" t="s">
        <v>128</v>
      </c>
      <c r="AB1" s="1" t="s">
        <v>130</v>
      </c>
      <c r="AC1" s="1" t="s">
        <v>132</v>
      </c>
      <c r="AD1" s="1" t="s">
        <v>134</v>
      </c>
      <c r="AE1" s="1" t="s">
        <v>141</v>
      </c>
      <c r="AF1" s="1" t="s">
        <v>164</v>
      </c>
      <c r="AG1" s="1" t="s">
        <v>135</v>
      </c>
      <c r="AH1" s="1" t="s">
        <v>43</v>
      </c>
      <c r="AI1" s="1" t="s">
        <v>145</v>
      </c>
      <c r="AJ1" s="1" t="s">
        <v>258</v>
      </c>
      <c r="AK1" s="1" t="s">
        <v>44</v>
      </c>
      <c r="AL1" s="1" t="s">
        <v>113</v>
      </c>
      <c r="AM1" s="1" t="s">
        <v>114</v>
      </c>
      <c r="AN1" s="1" t="s">
        <v>171</v>
      </c>
      <c r="AO1" s="1" t="s">
        <v>170</v>
      </c>
      <c r="AP1" s="1" t="s">
        <v>172</v>
      </c>
      <c r="AQ1" s="1" t="s">
        <v>122</v>
      </c>
      <c r="AR1" s="1" t="s">
        <v>48</v>
      </c>
      <c r="AS1" s="1" t="s">
        <v>242</v>
      </c>
      <c r="AT1" s="1" t="s">
        <v>251</v>
      </c>
      <c r="AU1" s="1" t="s">
        <v>219</v>
      </c>
      <c r="AV1" s="3" t="s">
        <v>257</v>
      </c>
    </row>
    <row r="2" spans="1:48" s="5" customFormat="1" ht="85.5" x14ac:dyDescent="0.45">
      <c r="A2" s="6" t="s">
        <v>61</v>
      </c>
      <c r="B2" s="5" t="s">
        <v>60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118</v>
      </c>
      <c r="X2" s="10" t="s">
        <v>42</v>
      </c>
      <c r="Y2" s="10" t="s">
        <v>121</v>
      </c>
      <c r="Z2" s="11" t="s">
        <v>127</v>
      </c>
      <c r="AA2" s="11" t="s">
        <v>129</v>
      </c>
      <c r="AB2" s="11" t="s">
        <v>131</v>
      </c>
      <c r="AC2" s="15" t="s">
        <v>133</v>
      </c>
      <c r="AD2" s="15" t="s">
        <v>121</v>
      </c>
      <c r="AE2" s="15" t="s">
        <v>142</v>
      </c>
      <c r="AF2" s="15" t="s">
        <v>279</v>
      </c>
      <c r="AG2" s="15" t="s">
        <v>136</v>
      </c>
      <c r="AH2" s="10" t="s">
        <v>46</v>
      </c>
      <c r="AI2" s="10" t="s">
        <v>146</v>
      </c>
      <c r="AJ2" s="10" t="s">
        <v>280</v>
      </c>
      <c r="AK2" s="14" t="s">
        <v>49</v>
      </c>
      <c r="AL2" s="14" t="s">
        <v>116</v>
      </c>
      <c r="AM2" s="14" t="s">
        <v>115</v>
      </c>
      <c r="AN2" s="11" t="s">
        <v>165</v>
      </c>
      <c r="AO2" s="11" t="s">
        <v>166</v>
      </c>
      <c r="AP2" s="11" t="s">
        <v>167</v>
      </c>
      <c r="AQ2" s="15" t="s">
        <v>123</v>
      </c>
      <c r="AR2" s="15" t="s">
        <v>218</v>
      </c>
      <c r="AS2" s="15" t="s">
        <v>243</v>
      </c>
      <c r="AT2" s="15" t="s">
        <v>252</v>
      </c>
      <c r="AU2" s="15" t="s">
        <v>223</v>
      </c>
      <c r="AV2" s="5" t="s">
        <v>11</v>
      </c>
    </row>
    <row r="3" spans="1:48" x14ac:dyDescent="0.45">
      <c r="A3" s="3" t="s">
        <v>54</v>
      </c>
    </row>
    <row r="4" spans="1:48" x14ac:dyDescent="0.45">
      <c r="A4" s="5" t="s">
        <v>51</v>
      </c>
      <c r="B4" s="3" t="s">
        <v>62</v>
      </c>
      <c r="D4" s="4" t="s">
        <v>226</v>
      </c>
      <c r="E4" s="19" t="s">
        <v>86</v>
      </c>
      <c r="V4" s="4" t="s">
        <v>226</v>
      </c>
      <c r="W4" s="4"/>
      <c r="AE4" s="5" t="s">
        <v>268</v>
      </c>
      <c r="AG4" s="5" t="s">
        <v>254</v>
      </c>
      <c r="AI4" s="5" t="s">
        <v>147</v>
      </c>
      <c r="AJ4" s="10" t="s">
        <v>259</v>
      </c>
      <c r="AL4" s="4" t="s">
        <v>226</v>
      </c>
      <c r="AM4" s="4" t="s">
        <v>226</v>
      </c>
      <c r="AN4" s="4"/>
      <c r="AO4" s="4"/>
      <c r="AP4" s="4"/>
      <c r="AQ4" s="4"/>
      <c r="AT4" s="5" t="s">
        <v>221</v>
      </c>
    </row>
    <row r="5" spans="1:48" x14ac:dyDescent="0.45">
      <c r="A5" s="5" t="s">
        <v>51</v>
      </c>
      <c r="B5" s="5" t="s">
        <v>65</v>
      </c>
      <c r="D5" s="4" t="s">
        <v>226</v>
      </c>
      <c r="E5" s="19" t="s">
        <v>87</v>
      </c>
      <c r="G5" s="5"/>
      <c r="J5" s="5"/>
      <c r="N5" s="5">
        <v>5</v>
      </c>
      <c r="V5" s="4" t="s">
        <v>226</v>
      </c>
      <c r="W5" s="4"/>
      <c r="AE5" s="5" t="s">
        <v>269</v>
      </c>
      <c r="AI5" s="5" t="s">
        <v>176</v>
      </c>
      <c r="AJ5" s="10" t="s">
        <v>260</v>
      </c>
      <c r="AL5" s="4" t="s">
        <v>226</v>
      </c>
      <c r="AM5" s="4" t="s">
        <v>226</v>
      </c>
      <c r="AN5" s="4"/>
      <c r="AO5" s="4"/>
      <c r="AP5" s="4"/>
      <c r="AQ5" s="4"/>
      <c r="AT5" s="5" t="s">
        <v>221</v>
      </c>
      <c r="AU5" s="5" t="s">
        <v>221</v>
      </c>
    </row>
    <row r="6" spans="1:48" x14ac:dyDescent="0.45">
      <c r="A6" s="3" t="s">
        <v>51</v>
      </c>
      <c r="B6" s="5" t="s">
        <v>63</v>
      </c>
      <c r="C6" s="18" t="s">
        <v>59</v>
      </c>
      <c r="D6" s="4" t="s">
        <v>226</v>
      </c>
      <c r="E6" s="19" t="s">
        <v>88</v>
      </c>
      <c r="N6" s="5">
        <v>10</v>
      </c>
      <c r="V6" s="4" t="s">
        <v>226</v>
      </c>
      <c r="W6" s="4"/>
      <c r="AE6" s="5" t="s">
        <v>270</v>
      </c>
      <c r="AI6" s="5" t="s">
        <v>148</v>
      </c>
      <c r="AJ6" s="5" t="s">
        <v>261</v>
      </c>
      <c r="AL6" s="4" t="s">
        <v>226</v>
      </c>
      <c r="AM6" s="4" t="s">
        <v>226</v>
      </c>
      <c r="AN6" s="4"/>
      <c r="AO6" s="4"/>
      <c r="AP6" s="4"/>
      <c r="AQ6" s="4"/>
      <c r="AT6" s="5" t="s">
        <v>221</v>
      </c>
      <c r="AU6" s="5" t="s">
        <v>221</v>
      </c>
    </row>
    <row r="7" spans="1:48" x14ac:dyDescent="0.45">
      <c r="A7" s="5" t="s">
        <v>51</v>
      </c>
      <c r="B7" s="5" t="s">
        <v>64</v>
      </c>
      <c r="D7" s="4" t="s">
        <v>226</v>
      </c>
      <c r="E7" s="19" t="s">
        <v>89</v>
      </c>
      <c r="N7" s="5">
        <v>20</v>
      </c>
      <c r="V7" s="4" t="s">
        <v>226</v>
      </c>
      <c r="W7" s="4"/>
      <c r="AE7" s="5" t="s">
        <v>271</v>
      </c>
      <c r="AI7" s="5" t="s">
        <v>149</v>
      </c>
      <c r="AJ7" s="5" t="s">
        <v>58</v>
      </c>
      <c r="AL7" s="4" t="s">
        <v>226</v>
      </c>
      <c r="AM7" s="4" t="s">
        <v>226</v>
      </c>
      <c r="AN7" s="4"/>
      <c r="AO7" s="4"/>
      <c r="AP7" s="4"/>
      <c r="AQ7" s="4"/>
      <c r="AU7" s="5" t="s">
        <v>221</v>
      </c>
    </row>
    <row r="8" spans="1:48" x14ac:dyDescent="0.45">
      <c r="A8" s="5" t="s">
        <v>51</v>
      </c>
      <c r="B8" s="5" t="s">
        <v>66</v>
      </c>
      <c r="D8" s="4" t="s">
        <v>226</v>
      </c>
      <c r="E8" s="19" t="s">
        <v>90</v>
      </c>
      <c r="V8" s="4" t="s">
        <v>226</v>
      </c>
      <c r="W8" s="4"/>
      <c r="AE8" s="5" t="s">
        <v>272</v>
      </c>
      <c r="AI8" s="5" t="s">
        <v>151</v>
      </c>
      <c r="AJ8" s="10" t="s">
        <v>187</v>
      </c>
      <c r="AL8" s="4" t="s">
        <v>226</v>
      </c>
      <c r="AM8" s="4" t="s">
        <v>226</v>
      </c>
      <c r="AN8" s="4"/>
      <c r="AO8" s="4"/>
      <c r="AP8" s="4"/>
      <c r="AQ8" s="4"/>
      <c r="AT8" s="5" t="s">
        <v>221</v>
      </c>
      <c r="AU8" s="5" t="s">
        <v>222</v>
      </c>
    </row>
    <row r="9" spans="1:48" x14ac:dyDescent="0.45">
      <c r="A9" s="5" t="s">
        <v>51</v>
      </c>
      <c r="B9" s="5" t="s">
        <v>58</v>
      </c>
      <c r="D9" s="4" t="s">
        <v>57</v>
      </c>
      <c r="E9" s="19" t="s">
        <v>91</v>
      </c>
      <c r="V9" s="4" t="s">
        <v>57</v>
      </c>
      <c r="W9" s="4"/>
      <c r="AE9" s="5" t="s">
        <v>273</v>
      </c>
      <c r="AI9" s="5" t="s">
        <v>150</v>
      </c>
      <c r="AJ9" s="10" t="s">
        <v>188</v>
      </c>
      <c r="AL9" s="4" t="s">
        <v>57</v>
      </c>
      <c r="AM9" s="4" t="s">
        <v>57</v>
      </c>
      <c r="AN9" s="4"/>
      <c r="AO9" s="4"/>
      <c r="AP9" s="4"/>
      <c r="AQ9" s="4"/>
      <c r="AT9" s="5" t="s">
        <v>221</v>
      </c>
      <c r="AU9" s="5" t="s">
        <v>222</v>
      </c>
    </row>
    <row r="10" spans="1:48" x14ac:dyDescent="0.45">
      <c r="A10" s="5" t="s">
        <v>51</v>
      </c>
      <c r="B10" s="5" t="s">
        <v>58</v>
      </c>
      <c r="D10" s="4" t="s">
        <v>226</v>
      </c>
      <c r="E10" s="19" t="s">
        <v>92</v>
      </c>
      <c r="V10" s="4" t="s">
        <v>226</v>
      </c>
      <c r="W10" s="4"/>
      <c r="AE10" s="5" t="s">
        <v>268</v>
      </c>
      <c r="AI10" s="5" t="s">
        <v>152</v>
      </c>
      <c r="AL10" s="4" t="s">
        <v>226</v>
      </c>
      <c r="AM10" s="4" t="s">
        <v>226</v>
      </c>
      <c r="AN10" s="4"/>
      <c r="AO10" s="4"/>
      <c r="AP10" s="4"/>
      <c r="AQ10" s="4"/>
      <c r="AT10" s="5" t="s">
        <v>221</v>
      </c>
      <c r="AU10" s="5" t="s">
        <v>222</v>
      </c>
    </row>
    <row r="11" spans="1:48" x14ac:dyDescent="0.45">
      <c r="A11" s="5" t="s">
        <v>51</v>
      </c>
      <c r="B11" s="5" t="s">
        <v>58</v>
      </c>
      <c r="D11" s="4" t="s">
        <v>226</v>
      </c>
      <c r="E11" s="19" t="s">
        <v>93</v>
      </c>
      <c r="V11" s="4" t="s">
        <v>226</v>
      </c>
      <c r="W11" s="4"/>
      <c r="AE11" s="5" t="s">
        <v>269</v>
      </c>
      <c r="AL11" s="4" t="s">
        <v>226</v>
      </c>
      <c r="AM11" s="4" t="s">
        <v>226</v>
      </c>
      <c r="AN11" s="4"/>
      <c r="AO11" s="4"/>
      <c r="AP11" s="4"/>
      <c r="AQ11" s="4"/>
      <c r="AT11" s="5" t="s">
        <v>221</v>
      </c>
    </row>
    <row r="12" spans="1:48" x14ac:dyDescent="0.45">
      <c r="A12" s="5" t="s">
        <v>51</v>
      </c>
      <c r="B12" s="5" t="s">
        <v>58</v>
      </c>
      <c r="D12" s="4" t="s">
        <v>58</v>
      </c>
      <c r="E12" s="19" t="s">
        <v>94</v>
      </c>
      <c r="V12" s="4" t="s">
        <v>58</v>
      </c>
      <c r="W12" s="4"/>
      <c r="AE12" s="5" t="s">
        <v>270</v>
      </c>
      <c r="AF12" s="5" t="s">
        <v>262</v>
      </c>
      <c r="AL12" s="4" t="s">
        <v>58</v>
      </c>
      <c r="AM12" s="4" t="s">
        <v>58</v>
      </c>
      <c r="AN12" s="4"/>
      <c r="AO12" s="4"/>
      <c r="AP12" s="4"/>
      <c r="AQ12" s="4"/>
      <c r="AT12" s="5" t="s">
        <v>221</v>
      </c>
    </row>
    <row r="13" spans="1:48" x14ac:dyDescent="0.45">
      <c r="A13" s="5" t="s">
        <v>51</v>
      </c>
      <c r="B13" s="5"/>
      <c r="D13" s="4" t="s">
        <v>226</v>
      </c>
      <c r="E13" s="19" t="s">
        <v>95</v>
      </c>
      <c r="V13" s="4" t="s">
        <v>226</v>
      </c>
      <c r="W13" s="4"/>
      <c r="AE13" s="5" t="s">
        <v>271</v>
      </c>
      <c r="AF13" s="5" t="s">
        <v>263</v>
      </c>
      <c r="AL13" s="4"/>
      <c r="AM13" s="4"/>
      <c r="AN13" s="4"/>
      <c r="AO13" s="4"/>
      <c r="AP13" s="4"/>
      <c r="AQ13" s="4"/>
      <c r="AT13" s="5" t="s">
        <v>221</v>
      </c>
    </row>
    <row r="14" spans="1:48" x14ac:dyDescent="0.45">
      <c r="A14" s="5" t="s">
        <v>51</v>
      </c>
      <c r="B14" s="5" t="s">
        <v>65</v>
      </c>
      <c r="D14" s="4" t="s">
        <v>226</v>
      </c>
      <c r="E14" s="19" t="s">
        <v>96</v>
      </c>
      <c r="N14" s="5">
        <v>20</v>
      </c>
      <c r="V14" s="4" t="s">
        <v>226</v>
      </c>
      <c r="W14" s="4"/>
      <c r="AE14" s="5" t="s">
        <v>272</v>
      </c>
      <c r="AF14" s="5" t="s">
        <v>264</v>
      </c>
      <c r="AL14" s="4"/>
      <c r="AM14" s="4"/>
      <c r="AN14" s="4"/>
      <c r="AO14" s="4"/>
      <c r="AP14" s="4"/>
      <c r="AQ14" s="4"/>
      <c r="AT14" s="5" t="s">
        <v>221</v>
      </c>
      <c r="AU14" s="5" t="s">
        <v>221</v>
      </c>
    </row>
    <row r="15" spans="1:48" ht="26.25" x14ac:dyDescent="0.45">
      <c r="A15" s="5" t="s">
        <v>51</v>
      </c>
      <c r="B15" s="5"/>
      <c r="D15" s="4" t="s">
        <v>226</v>
      </c>
      <c r="E15" s="19" t="s">
        <v>97</v>
      </c>
      <c r="V15" s="4" t="s">
        <v>226</v>
      </c>
      <c r="W15" s="4"/>
      <c r="AE15" s="5" t="s">
        <v>273</v>
      </c>
      <c r="AF15" s="5" t="s">
        <v>265</v>
      </c>
      <c r="AL15" s="4"/>
      <c r="AM15" s="4"/>
      <c r="AN15" s="4"/>
      <c r="AO15" s="4"/>
      <c r="AP15" s="4"/>
      <c r="AQ15" s="4"/>
      <c r="AT15" s="5" t="s">
        <v>221</v>
      </c>
    </row>
    <row r="16" spans="1:48" x14ac:dyDescent="0.45">
      <c r="A16" s="5" t="s">
        <v>51</v>
      </c>
      <c r="B16" s="5" t="s">
        <v>58</v>
      </c>
      <c r="E16" s="19" t="s">
        <v>98</v>
      </c>
      <c r="N16" s="3">
        <v>10</v>
      </c>
      <c r="AE16" s="5" t="s">
        <v>268</v>
      </c>
      <c r="AF16" s="5" t="s">
        <v>266</v>
      </c>
      <c r="AS16" s="5" t="s">
        <v>244</v>
      </c>
      <c r="AT16" s="5" t="s">
        <v>221</v>
      </c>
    </row>
    <row r="17" spans="1:46" ht="26.25" x14ac:dyDescent="0.45">
      <c r="A17" s="5" t="s">
        <v>51</v>
      </c>
      <c r="B17" s="5" t="s">
        <v>58</v>
      </c>
      <c r="E17" s="19" t="s">
        <v>99</v>
      </c>
      <c r="N17" s="5">
        <v>10</v>
      </c>
      <c r="AE17" s="5" t="s">
        <v>269</v>
      </c>
      <c r="AF17" s="5" t="s">
        <v>267</v>
      </c>
      <c r="AS17" s="5" t="s">
        <v>245</v>
      </c>
      <c r="AT17" s="5" t="s">
        <v>221</v>
      </c>
    </row>
    <row r="18" spans="1:46" x14ac:dyDescent="0.45">
      <c r="A18" s="5" t="s">
        <v>51</v>
      </c>
      <c r="B18" s="5" t="s">
        <v>58</v>
      </c>
      <c r="E18" s="19" t="s">
        <v>100</v>
      </c>
      <c r="N18" s="5">
        <v>10</v>
      </c>
      <c r="AE18" s="5" t="s">
        <v>270</v>
      </c>
      <c r="AF18" s="5" t="s">
        <v>262</v>
      </c>
      <c r="AS18" s="5" t="s">
        <v>246</v>
      </c>
      <c r="AT18" s="5" t="s">
        <v>221</v>
      </c>
    </row>
    <row r="19" spans="1:46" ht="39.4" x14ac:dyDescent="0.45">
      <c r="A19" s="5" t="s">
        <v>51</v>
      </c>
      <c r="B19" s="5" t="s">
        <v>58</v>
      </c>
      <c r="E19" s="19" t="s">
        <v>101</v>
      </c>
      <c r="N19" s="5">
        <v>10</v>
      </c>
      <c r="AE19" s="5" t="s">
        <v>271</v>
      </c>
      <c r="AF19" s="5" t="s">
        <v>263</v>
      </c>
      <c r="AS19" s="5" t="s">
        <v>247</v>
      </c>
      <c r="AT19" s="5" t="s">
        <v>221</v>
      </c>
    </row>
    <row r="20" spans="1:46" ht="26.25" x14ac:dyDescent="0.45">
      <c r="A20" s="5" t="s">
        <v>51</v>
      </c>
      <c r="B20" s="5" t="s">
        <v>58</v>
      </c>
      <c r="E20" s="19" t="s">
        <v>102</v>
      </c>
      <c r="N20" s="5">
        <v>10</v>
      </c>
      <c r="AE20" s="5" t="s">
        <v>272</v>
      </c>
      <c r="AF20" s="5" t="s">
        <v>264</v>
      </c>
      <c r="AS20" s="5" t="s">
        <v>248</v>
      </c>
      <c r="AT20" s="5" t="s">
        <v>221</v>
      </c>
    </row>
    <row r="21" spans="1:46" ht="26.25" x14ac:dyDescent="0.45">
      <c r="A21" s="5" t="s">
        <v>51</v>
      </c>
      <c r="B21" s="5" t="s">
        <v>58</v>
      </c>
      <c r="E21" s="19" t="s">
        <v>103</v>
      </c>
      <c r="N21" s="5">
        <v>10</v>
      </c>
      <c r="AE21" s="5" t="s">
        <v>273</v>
      </c>
      <c r="AF21" s="5" t="s">
        <v>265</v>
      </c>
      <c r="AS21" s="5" t="s">
        <v>249</v>
      </c>
      <c r="AT21" s="5" t="s">
        <v>221</v>
      </c>
    </row>
    <row r="22" spans="1:46" ht="26.25" x14ac:dyDescent="0.45">
      <c r="A22" s="5" t="s">
        <v>51</v>
      </c>
      <c r="B22" s="3" t="s">
        <v>58</v>
      </c>
      <c r="E22" s="19" t="s">
        <v>104</v>
      </c>
      <c r="N22" s="5">
        <v>10</v>
      </c>
      <c r="AE22" s="5" t="s">
        <v>268</v>
      </c>
      <c r="AF22" s="5" t="s">
        <v>266</v>
      </c>
      <c r="AS22" s="5" t="s">
        <v>250</v>
      </c>
      <c r="AT22" s="5" t="s">
        <v>221</v>
      </c>
    </row>
    <row r="23" spans="1:46" ht="26.25" x14ac:dyDescent="0.45">
      <c r="A23" s="5" t="s">
        <v>51</v>
      </c>
      <c r="E23" s="19" t="s">
        <v>105</v>
      </c>
      <c r="AE23" s="5" t="s">
        <v>269</v>
      </c>
      <c r="AF23" s="5" t="s">
        <v>267</v>
      </c>
      <c r="AT23" s="5" t="s">
        <v>221</v>
      </c>
    </row>
    <row r="24" spans="1:46" x14ac:dyDescent="0.45">
      <c r="A24" s="5" t="s">
        <v>51</v>
      </c>
      <c r="E24" s="19" t="s">
        <v>106</v>
      </c>
      <c r="AE24" s="5" t="s">
        <v>270</v>
      </c>
      <c r="AF24" s="5" t="s">
        <v>262</v>
      </c>
      <c r="AT24" s="5" t="s">
        <v>221</v>
      </c>
    </row>
    <row r="25" spans="1:46" x14ac:dyDescent="0.45">
      <c r="A25" s="5" t="s">
        <v>51</v>
      </c>
      <c r="E25" s="19" t="s">
        <v>107</v>
      </c>
      <c r="AE25" s="5" t="s">
        <v>271</v>
      </c>
      <c r="AF25" s="5" t="s">
        <v>262</v>
      </c>
      <c r="AT25" s="5" t="s">
        <v>221</v>
      </c>
    </row>
    <row r="26" spans="1:46" x14ac:dyDescent="0.45">
      <c r="A26" s="5" t="s">
        <v>51</v>
      </c>
      <c r="E26" s="19" t="s">
        <v>108</v>
      </c>
      <c r="AT26" s="5" t="s">
        <v>221</v>
      </c>
    </row>
    <row r="27" spans="1:46" x14ac:dyDescent="0.45">
      <c r="A27" s="5" t="s">
        <v>51</v>
      </c>
      <c r="B27" s="5" t="s">
        <v>64</v>
      </c>
      <c r="E27" s="19" t="s">
        <v>109</v>
      </c>
      <c r="N27" s="5">
        <v>30</v>
      </c>
      <c r="AT27" s="5" t="s">
        <v>221</v>
      </c>
    </row>
    <row r="28" spans="1:46" ht="26.25" x14ac:dyDescent="0.45">
      <c r="A28" s="5" t="s">
        <v>51</v>
      </c>
      <c r="E28" s="19" t="s">
        <v>110</v>
      </c>
      <c r="AG28" s="5" t="s">
        <v>220</v>
      </c>
      <c r="AT28" s="5" t="s">
        <v>221</v>
      </c>
    </row>
    <row r="29" spans="1:46" x14ac:dyDescent="0.45">
      <c r="A29" s="5" t="s">
        <v>51</v>
      </c>
      <c r="E29" s="19" t="s">
        <v>67</v>
      </c>
      <c r="AT29" s="5" t="s">
        <v>221</v>
      </c>
    </row>
    <row r="30" spans="1:46" ht="26.25" x14ac:dyDescent="0.45">
      <c r="A30" s="5" t="s">
        <v>51</v>
      </c>
      <c r="B30" s="5" t="s">
        <v>65</v>
      </c>
      <c r="E30" s="19" t="s">
        <v>68</v>
      </c>
      <c r="N30" s="5">
        <v>1</v>
      </c>
      <c r="AE30" s="5" t="str">
        <f>_ActiveSprintData!$B$1</f>
        <v>Saturn6</v>
      </c>
      <c r="AI30" s="5" t="s">
        <v>147</v>
      </c>
      <c r="AT30" s="5" t="s">
        <v>221</v>
      </c>
    </row>
    <row r="31" spans="1:46" x14ac:dyDescent="0.45">
      <c r="A31" s="5" t="s">
        <v>51</v>
      </c>
      <c r="B31" s="5" t="s">
        <v>65</v>
      </c>
      <c r="E31" s="19" t="s">
        <v>69</v>
      </c>
      <c r="N31" s="5">
        <v>1</v>
      </c>
      <c r="AE31" s="5" t="str">
        <f>_ActiveSprintData!$B$1</f>
        <v>Saturn6</v>
      </c>
      <c r="AI31" s="5" t="s">
        <v>176</v>
      </c>
      <c r="AT31" s="5" t="s">
        <v>221</v>
      </c>
    </row>
    <row r="32" spans="1:46" ht="39.4" x14ac:dyDescent="0.45">
      <c r="A32" s="5" t="s">
        <v>51</v>
      </c>
      <c r="B32" s="5" t="s">
        <v>65</v>
      </c>
      <c r="E32" s="19" t="s">
        <v>70</v>
      </c>
      <c r="N32" s="5">
        <v>1</v>
      </c>
      <c r="AE32" s="5" t="str">
        <f>_ActiveSprintData!$B$1</f>
        <v>Saturn6</v>
      </c>
      <c r="AI32" s="5" t="s">
        <v>148</v>
      </c>
      <c r="AT32" s="5" t="s">
        <v>221</v>
      </c>
    </row>
    <row r="33" spans="1:46" ht="26.25" x14ac:dyDescent="0.45">
      <c r="A33" s="5" t="s">
        <v>51</v>
      </c>
      <c r="B33" s="5" t="s">
        <v>65</v>
      </c>
      <c r="E33" s="19" t="s">
        <v>71</v>
      </c>
      <c r="N33" s="5">
        <v>1</v>
      </c>
      <c r="AE33" s="5" t="str">
        <f>_ActiveSprintData!$B$1</f>
        <v>Saturn6</v>
      </c>
      <c r="AI33" s="5" t="s">
        <v>149</v>
      </c>
      <c r="AT33" s="5" t="s">
        <v>221</v>
      </c>
    </row>
    <row r="34" spans="1:46" ht="26.25" x14ac:dyDescent="0.45">
      <c r="A34" s="5" t="s">
        <v>51</v>
      </c>
      <c r="B34" s="5" t="s">
        <v>65</v>
      </c>
      <c r="E34" s="19" t="s">
        <v>72</v>
      </c>
      <c r="N34" s="5">
        <v>1</v>
      </c>
      <c r="AE34" s="5" t="str">
        <f>_ActiveSprintData!$B$1</f>
        <v>Saturn6</v>
      </c>
      <c r="AI34" s="5" t="s">
        <v>151</v>
      </c>
      <c r="AT34" s="5" t="s">
        <v>221</v>
      </c>
    </row>
    <row r="35" spans="1:46" ht="26.25" x14ac:dyDescent="0.45">
      <c r="A35" s="5" t="s">
        <v>51</v>
      </c>
      <c r="B35" s="5" t="s">
        <v>65</v>
      </c>
      <c r="E35" s="19" t="s">
        <v>73</v>
      </c>
      <c r="N35" s="5">
        <v>1</v>
      </c>
      <c r="AE35" s="5" t="str">
        <f>_ActiveSprintData!$B$1</f>
        <v>Saturn6</v>
      </c>
      <c r="AI35" s="5" t="s">
        <v>150</v>
      </c>
      <c r="AT35" s="5" t="s">
        <v>221</v>
      </c>
    </row>
    <row r="36" spans="1:46" ht="26.25" x14ac:dyDescent="0.45">
      <c r="A36" s="5" t="s">
        <v>51</v>
      </c>
      <c r="E36" s="19" t="s">
        <v>74</v>
      </c>
      <c r="N36" s="5">
        <v>1</v>
      </c>
      <c r="AE36" s="5" t="str">
        <f>_ActiveSprintData!$B$1</f>
        <v>Saturn6</v>
      </c>
      <c r="AI36" s="5" t="s">
        <v>152</v>
      </c>
      <c r="AT36" s="5" t="s">
        <v>221</v>
      </c>
    </row>
    <row r="37" spans="1:46" x14ac:dyDescent="0.45">
      <c r="A37" s="5" t="s">
        <v>51</v>
      </c>
      <c r="E37" s="19" t="s">
        <v>75</v>
      </c>
      <c r="AE37" s="5" t="s">
        <v>268</v>
      </c>
      <c r="AT37" s="5" t="s">
        <v>221</v>
      </c>
    </row>
    <row r="38" spans="1:46" x14ac:dyDescent="0.45">
      <c r="A38" s="5" t="s">
        <v>51</v>
      </c>
      <c r="E38" s="19" t="s">
        <v>76</v>
      </c>
      <c r="AT38" s="5" t="s">
        <v>221</v>
      </c>
    </row>
    <row r="39" spans="1:46" x14ac:dyDescent="0.45">
      <c r="A39" s="5" t="s">
        <v>51</v>
      </c>
      <c r="E39" s="19" t="s">
        <v>77</v>
      </c>
      <c r="AT39" s="5" t="s">
        <v>221</v>
      </c>
    </row>
    <row r="40" spans="1:46" x14ac:dyDescent="0.45">
      <c r="A40" s="5" t="s">
        <v>51</v>
      </c>
      <c r="B40" s="3" t="s">
        <v>66</v>
      </c>
      <c r="E40" s="19" t="s">
        <v>78</v>
      </c>
      <c r="AF40" s="5" t="s">
        <v>262</v>
      </c>
      <c r="AG40" s="5" t="s">
        <v>254</v>
      </c>
      <c r="AH40" s="5" t="s">
        <v>156</v>
      </c>
      <c r="AL40" s="4" t="s">
        <v>226</v>
      </c>
      <c r="AT40" s="5" t="s">
        <v>221</v>
      </c>
    </row>
    <row r="41" spans="1:46" x14ac:dyDescent="0.45">
      <c r="A41" s="5" t="s">
        <v>51</v>
      </c>
      <c r="B41" s="5" t="s">
        <v>66</v>
      </c>
      <c r="E41" s="19" t="s">
        <v>79</v>
      </c>
      <c r="AF41" s="5" t="s">
        <v>263</v>
      </c>
      <c r="AG41" s="5" t="s">
        <v>254</v>
      </c>
      <c r="AH41" s="5" t="s">
        <v>157</v>
      </c>
      <c r="AL41" s="4" t="s">
        <v>226</v>
      </c>
      <c r="AT41" s="5" t="s">
        <v>221</v>
      </c>
    </row>
    <row r="42" spans="1:46" x14ac:dyDescent="0.45">
      <c r="A42" s="5" t="s">
        <v>51</v>
      </c>
      <c r="B42" s="5" t="s">
        <v>66</v>
      </c>
      <c r="E42" s="19" t="s">
        <v>80</v>
      </c>
      <c r="AF42" s="5" t="s">
        <v>264</v>
      </c>
      <c r="AG42" s="5" t="s">
        <v>254</v>
      </c>
      <c r="AH42" s="5" t="s">
        <v>158</v>
      </c>
      <c r="AL42" s="4" t="s">
        <v>226</v>
      </c>
      <c r="AT42" s="5" t="s">
        <v>221</v>
      </c>
    </row>
    <row r="43" spans="1:46" x14ac:dyDescent="0.45">
      <c r="A43" s="5" t="s">
        <v>51</v>
      </c>
      <c r="B43" s="5" t="s">
        <v>66</v>
      </c>
      <c r="E43" s="19" t="s">
        <v>81</v>
      </c>
      <c r="AF43" s="5" t="s">
        <v>265</v>
      </c>
      <c r="AG43" s="5" t="s">
        <v>254</v>
      </c>
      <c r="AH43" s="5" t="s">
        <v>159</v>
      </c>
      <c r="AL43" s="4" t="s">
        <v>226</v>
      </c>
      <c r="AT43" s="5" t="s">
        <v>221</v>
      </c>
    </row>
    <row r="44" spans="1:46" x14ac:dyDescent="0.45">
      <c r="A44" s="5" t="s">
        <v>51</v>
      </c>
      <c r="B44" s="5" t="s">
        <v>66</v>
      </c>
      <c r="E44" s="19" t="s">
        <v>82</v>
      </c>
      <c r="AF44" s="5" t="s">
        <v>266</v>
      </c>
      <c r="AG44" s="5" t="s">
        <v>254</v>
      </c>
      <c r="AH44" s="5" t="s">
        <v>160</v>
      </c>
      <c r="AL44" s="4" t="s">
        <v>226</v>
      </c>
      <c r="AT44" s="5" t="s">
        <v>221</v>
      </c>
    </row>
    <row r="45" spans="1:46" ht="26.25" x14ac:dyDescent="0.45">
      <c r="A45" s="5" t="s">
        <v>51</v>
      </c>
      <c r="B45" s="5" t="s">
        <v>66</v>
      </c>
      <c r="E45" s="19" t="s">
        <v>83</v>
      </c>
      <c r="AF45" s="5" t="s">
        <v>267</v>
      </c>
      <c r="AG45" s="5" t="s">
        <v>254</v>
      </c>
      <c r="AH45" s="5" t="s">
        <v>159</v>
      </c>
      <c r="AL45" s="4" t="s">
        <v>226</v>
      </c>
      <c r="AT45" s="5" t="s">
        <v>221</v>
      </c>
    </row>
    <row r="46" spans="1:46" ht="26.25" x14ac:dyDescent="0.45">
      <c r="A46" s="5" t="s">
        <v>51</v>
      </c>
      <c r="B46" s="3" t="s">
        <v>255</v>
      </c>
      <c r="E46" s="19" t="s">
        <v>84</v>
      </c>
      <c r="AF46" s="5" t="s">
        <v>262</v>
      </c>
      <c r="AG46" s="5" t="s">
        <v>254</v>
      </c>
      <c r="AT46" s="5" t="s">
        <v>221</v>
      </c>
    </row>
    <row r="47" spans="1:46" x14ac:dyDescent="0.45">
      <c r="A47" s="5" t="s">
        <v>51</v>
      </c>
      <c r="E47" s="19" t="s">
        <v>85</v>
      </c>
      <c r="AT47" s="5" t="s">
        <v>221</v>
      </c>
    </row>
    <row r="48" spans="1:46" x14ac:dyDescent="0.45">
      <c r="A48" s="3" t="s">
        <v>51</v>
      </c>
      <c r="AT48" s="5" t="s">
        <v>221</v>
      </c>
    </row>
    <row r="49" spans="1:46" x14ac:dyDescent="0.45">
      <c r="A49" s="3" t="s">
        <v>51</v>
      </c>
      <c r="B49" s="3" t="s">
        <v>66</v>
      </c>
      <c r="E49" s="19" t="s">
        <v>81</v>
      </c>
      <c r="AF49" s="5" t="s">
        <v>262</v>
      </c>
      <c r="AG49" s="5" t="s">
        <v>254</v>
      </c>
      <c r="AH49" s="5" t="s">
        <v>156</v>
      </c>
      <c r="AL49" s="4" t="s">
        <v>226</v>
      </c>
      <c r="AT49" s="5" t="s">
        <v>221</v>
      </c>
    </row>
    <row r="50" spans="1:46" x14ac:dyDescent="0.45">
      <c r="A50" s="5" t="s">
        <v>51</v>
      </c>
      <c r="B50" s="5" t="s">
        <v>62</v>
      </c>
      <c r="K50" s="5" t="s">
        <v>260</v>
      </c>
      <c r="P50" s="5">
        <v>200</v>
      </c>
      <c r="Q50" s="5">
        <v>150</v>
      </c>
      <c r="W50" s="5">
        <v>180</v>
      </c>
      <c r="AG50" s="5" t="s">
        <v>254</v>
      </c>
      <c r="AJ50" s="5" t="s">
        <v>58</v>
      </c>
      <c r="AL50" s="4" t="s">
        <v>226</v>
      </c>
      <c r="AN50" s="5">
        <v>30</v>
      </c>
      <c r="AO50" s="5">
        <v>60</v>
      </c>
      <c r="AP50" s="5">
        <v>40</v>
      </c>
      <c r="AT50" s="5" t="s">
        <v>221</v>
      </c>
    </row>
    <row r="51" spans="1:46" x14ac:dyDescent="0.45">
      <c r="A51" s="3" t="s">
        <v>51</v>
      </c>
      <c r="B51" s="3" t="s">
        <v>62</v>
      </c>
      <c r="K51" s="5" t="s">
        <v>261</v>
      </c>
      <c r="P51" s="5">
        <v>200</v>
      </c>
      <c r="Q51" s="5">
        <v>150</v>
      </c>
      <c r="W51" s="5">
        <v>180</v>
      </c>
      <c r="AG51" s="5" t="s">
        <v>254</v>
      </c>
      <c r="AJ51" s="5" t="s">
        <v>260</v>
      </c>
      <c r="AL51" s="4" t="s">
        <v>226</v>
      </c>
      <c r="AN51" s="5">
        <v>30</v>
      </c>
      <c r="AO51" s="5">
        <v>60</v>
      </c>
      <c r="AP51" s="5">
        <v>40</v>
      </c>
      <c r="AT51" s="5" t="s">
        <v>221</v>
      </c>
    </row>
    <row r="52" spans="1:46" s="5" customFormat="1" x14ac:dyDescent="0.45">
      <c r="A52" s="5" t="s">
        <v>51</v>
      </c>
      <c r="B52" s="5" t="s">
        <v>62</v>
      </c>
      <c r="C52" s="4"/>
      <c r="D52" s="4"/>
      <c r="E52" s="19" t="s">
        <v>94</v>
      </c>
      <c r="K52" s="5" t="s">
        <v>178</v>
      </c>
      <c r="N52" s="5">
        <v>10</v>
      </c>
      <c r="P52" s="5">
        <v>200</v>
      </c>
      <c r="Q52" s="5">
        <v>150</v>
      </c>
      <c r="W52" s="5">
        <v>180</v>
      </c>
      <c r="AG52" s="5" t="s">
        <v>254</v>
      </c>
      <c r="AI52" s="5" t="s">
        <v>147</v>
      </c>
      <c r="AJ52" s="10" t="s">
        <v>259</v>
      </c>
      <c r="AL52" s="4" t="s">
        <v>226</v>
      </c>
      <c r="AN52" s="5">
        <v>30</v>
      </c>
      <c r="AO52" s="5">
        <v>60</v>
      </c>
      <c r="AP52" s="5">
        <v>40</v>
      </c>
      <c r="AT52" s="5" t="s">
        <v>221</v>
      </c>
    </row>
    <row r="53" spans="1:46" x14ac:dyDescent="0.45">
      <c r="A53" s="5" t="s">
        <v>51</v>
      </c>
      <c r="B53" s="5" t="s">
        <v>65</v>
      </c>
      <c r="E53" s="19" t="s">
        <v>96</v>
      </c>
      <c r="K53" s="5" t="s">
        <v>178</v>
      </c>
      <c r="N53" s="5">
        <v>10</v>
      </c>
      <c r="P53" s="5">
        <v>200</v>
      </c>
      <c r="Q53" s="5">
        <v>150</v>
      </c>
      <c r="AG53" s="5" t="s">
        <v>254</v>
      </c>
      <c r="AI53" s="5" t="s">
        <v>176</v>
      </c>
      <c r="AL53" s="4" t="s">
        <v>226</v>
      </c>
      <c r="AT53" s="5" t="s">
        <v>221</v>
      </c>
    </row>
    <row r="54" spans="1:46" ht="26.25" x14ac:dyDescent="0.45">
      <c r="A54" s="5" t="s">
        <v>51</v>
      </c>
      <c r="B54" s="5" t="s">
        <v>65</v>
      </c>
      <c r="E54" s="19" t="s">
        <v>97</v>
      </c>
      <c r="K54" s="5" t="s">
        <v>178</v>
      </c>
      <c r="N54" s="5">
        <v>10</v>
      </c>
      <c r="P54" s="5">
        <v>200</v>
      </c>
      <c r="Q54" s="5">
        <v>150</v>
      </c>
      <c r="AG54" s="5" t="s">
        <v>254</v>
      </c>
      <c r="AI54" s="5" t="s">
        <v>148</v>
      </c>
      <c r="AL54" s="4" t="s">
        <v>226</v>
      </c>
      <c r="AT54" s="5" t="s">
        <v>221</v>
      </c>
    </row>
    <row r="55" spans="1:46" x14ac:dyDescent="0.45">
      <c r="A55" s="5" t="s">
        <v>51</v>
      </c>
      <c r="B55" s="5" t="s">
        <v>65</v>
      </c>
      <c r="E55" s="19" t="s">
        <v>98</v>
      </c>
      <c r="N55" s="5">
        <v>10</v>
      </c>
      <c r="AG55" s="5" t="s">
        <v>254</v>
      </c>
      <c r="AI55" s="5" t="s">
        <v>149</v>
      </c>
      <c r="AL55" s="4" t="s">
        <v>226</v>
      </c>
      <c r="AT55" s="5" t="s">
        <v>221</v>
      </c>
    </row>
    <row r="56" spans="1:46" x14ac:dyDescent="0.45">
      <c r="A56" s="5" t="s">
        <v>51</v>
      </c>
      <c r="B56" s="5" t="s">
        <v>65</v>
      </c>
      <c r="E56" s="19" t="s">
        <v>100</v>
      </c>
      <c r="N56" s="5">
        <v>10</v>
      </c>
      <c r="AG56" s="5" t="s">
        <v>254</v>
      </c>
      <c r="AI56" s="5" t="s">
        <v>151</v>
      </c>
      <c r="AL56" s="4" t="s">
        <v>226</v>
      </c>
      <c r="AT56" s="5" t="s">
        <v>221</v>
      </c>
    </row>
    <row r="57" spans="1:46" s="5" customFormat="1" x14ac:dyDescent="0.45">
      <c r="A57" s="5" t="s">
        <v>51</v>
      </c>
      <c r="B57" s="5" t="s">
        <v>65</v>
      </c>
      <c r="C57" s="4"/>
      <c r="D57" s="4"/>
      <c r="E57" s="19" t="s">
        <v>94</v>
      </c>
      <c r="N57" s="5">
        <v>20</v>
      </c>
      <c r="AG57" s="5" t="s">
        <v>254</v>
      </c>
      <c r="AI57" s="5" t="s">
        <v>147</v>
      </c>
      <c r="AL57" s="4" t="s">
        <v>226</v>
      </c>
      <c r="AT57" s="5" t="s">
        <v>221</v>
      </c>
    </row>
    <row r="58" spans="1:46" s="5" customFormat="1" x14ac:dyDescent="0.45">
      <c r="A58" s="5" t="s">
        <v>51</v>
      </c>
      <c r="B58" s="5" t="s">
        <v>65</v>
      </c>
      <c r="C58" s="4"/>
      <c r="D58" s="4"/>
      <c r="E58" s="19" t="s">
        <v>96</v>
      </c>
      <c r="N58" s="5">
        <v>20</v>
      </c>
      <c r="AG58" s="5" t="s">
        <v>254</v>
      </c>
      <c r="AI58" s="5" t="s">
        <v>176</v>
      </c>
      <c r="AL58" s="4" t="s">
        <v>226</v>
      </c>
      <c r="AT58" s="5" t="s">
        <v>221</v>
      </c>
    </row>
    <row r="59" spans="1:46" s="5" customFormat="1" ht="26.25" x14ac:dyDescent="0.45">
      <c r="A59" s="5" t="s">
        <v>51</v>
      </c>
      <c r="B59" s="5" t="s">
        <v>65</v>
      </c>
      <c r="C59" s="4"/>
      <c r="D59" s="4"/>
      <c r="E59" s="19" t="s">
        <v>97</v>
      </c>
      <c r="N59" s="5">
        <v>20</v>
      </c>
      <c r="AG59" s="5" t="s">
        <v>254</v>
      </c>
      <c r="AI59" s="5" t="s">
        <v>148</v>
      </c>
      <c r="AL59" s="4" t="s">
        <v>226</v>
      </c>
      <c r="AT59" s="5" t="s">
        <v>221</v>
      </c>
    </row>
    <row r="60" spans="1:46" s="5" customFormat="1" x14ac:dyDescent="0.45">
      <c r="A60" s="5" t="s">
        <v>51</v>
      </c>
      <c r="B60" s="5" t="s">
        <v>65</v>
      </c>
      <c r="C60" s="4"/>
      <c r="D60" s="4"/>
      <c r="E60" s="19" t="s">
        <v>98</v>
      </c>
      <c r="N60" s="5">
        <v>20</v>
      </c>
      <c r="AG60" s="5" t="s">
        <v>254</v>
      </c>
      <c r="AI60" s="5" t="s">
        <v>149</v>
      </c>
      <c r="AL60" s="4" t="s">
        <v>226</v>
      </c>
      <c r="AT60" s="5" t="s">
        <v>221</v>
      </c>
    </row>
    <row r="61" spans="1:46" s="5" customFormat="1" x14ac:dyDescent="0.45">
      <c r="A61" s="5" t="s">
        <v>51</v>
      </c>
      <c r="B61" s="5" t="s">
        <v>65</v>
      </c>
      <c r="C61" s="4"/>
      <c r="D61" s="4"/>
      <c r="E61" s="19" t="s">
        <v>100</v>
      </c>
      <c r="N61" s="5">
        <v>20</v>
      </c>
      <c r="AG61" s="5" t="s">
        <v>254</v>
      </c>
      <c r="AI61" s="5" t="s">
        <v>151</v>
      </c>
      <c r="AL61" s="4" t="s">
        <v>226</v>
      </c>
      <c r="AT61" s="5" t="s">
        <v>221</v>
      </c>
    </row>
    <row r="62" spans="1:46" s="5" customFormat="1" x14ac:dyDescent="0.45">
      <c r="A62" s="5" t="s">
        <v>51</v>
      </c>
      <c r="B62" s="5" t="s">
        <v>65</v>
      </c>
      <c r="C62" s="4"/>
      <c r="D62" s="4"/>
      <c r="E62" s="19" t="s">
        <v>94</v>
      </c>
      <c r="N62" s="5">
        <v>30</v>
      </c>
      <c r="AG62" s="5" t="s">
        <v>254</v>
      </c>
      <c r="AI62" s="5" t="s">
        <v>147</v>
      </c>
      <c r="AL62" s="4" t="s">
        <v>226</v>
      </c>
      <c r="AT62" s="5" t="s">
        <v>221</v>
      </c>
    </row>
    <row r="63" spans="1:46" s="5" customFormat="1" x14ac:dyDescent="0.45">
      <c r="A63" s="5" t="s">
        <v>51</v>
      </c>
      <c r="B63" s="5" t="s">
        <v>65</v>
      </c>
      <c r="C63" s="4"/>
      <c r="D63" s="4"/>
      <c r="E63" s="19" t="s">
        <v>96</v>
      </c>
      <c r="N63" s="5">
        <v>30</v>
      </c>
      <c r="AG63" s="5" t="s">
        <v>254</v>
      </c>
      <c r="AI63" s="5" t="s">
        <v>176</v>
      </c>
      <c r="AL63" s="4" t="s">
        <v>226</v>
      </c>
      <c r="AT63" s="5" t="s">
        <v>221</v>
      </c>
    </row>
    <row r="64" spans="1:46" s="5" customFormat="1" ht="26.25" x14ac:dyDescent="0.45">
      <c r="A64" s="5" t="s">
        <v>51</v>
      </c>
      <c r="B64" s="5" t="s">
        <v>65</v>
      </c>
      <c r="C64" s="4"/>
      <c r="D64" s="4"/>
      <c r="E64" s="19" t="s">
        <v>97</v>
      </c>
      <c r="N64" s="5">
        <v>30</v>
      </c>
      <c r="AG64" s="5" t="s">
        <v>254</v>
      </c>
      <c r="AI64" s="5" t="s">
        <v>148</v>
      </c>
      <c r="AL64" s="4" t="s">
        <v>226</v>
      </c>
      <c r="AT64" s="5" t="s">
        <v>221</v>
      </c>
    </row>
    <row r="65" spans="1:46" s="5" customFormat="1" x14ac:dyDescent="0.45">
      <c r="A65" s="5" t="s">
        <v>51</v>
      </c>
      <c r="B65" s="5" t="s">
        <v>65</v>
      </c>
      <c r="C65" s="4"/>
      <c r="D65" s="4"/>
      <c r="E65" s="19" t="s">
        <v>98</v>
      </c>
      <c r="N65" s="5">
        <v>30</v>
      </c>
      <c r="AG65" s="5" t="s">
        <v>254</v>
      </c>
      <c r="AI65" s="5" t="s">
        <v>149</v>
      </c>
      <c r="AL65" s="4" t="s">
        <v>226</v>
      </c>
      <c r="AT65" s="5" t="s">
        <v>221</v>
      </c>
    </row>
    <row r="66" spans="1:46" s="5" customFormat="1" x14ac:dyDescent="0.45">
      <c r="A66" s="5" t="s">
        <v>51</v>
      </c>
      <c r="B66" s="5" t="s">
        <v>65</v>
      </c>
      <c r="C66" s="4"/>
      <c r="D66" s="4"/>
      <c r="E66" s="19" t="s">
        <v>100</v>
      </c>
      <c r="N66" s="5">
        <v>30</v>
      </c>
      <c r="AG66" s="5" t="s">
        <v>254</v>
      </c>
      <c r="AI66" s="5" t="s">
        <v>151</v>
      </c>
      <c r="AL66" s="4" t="s">
        <v>226</v>
      </c>
      <c r="AT66" s="5" t="s">
        <v>221</v>
      </c>
    </row>
    <row r="67" spans="1:46" s="5" customFormat="1" x14ac:dyDescent="0.45">
      <c r="A67" s="5" t="s">
        <v>51</v>
      </c>
      <c r="B67" s="5" t="s">
        <v>65</v>
      </c>
      <c r="C67" s="4"/>
      <c r="D67" s="4"/>
      <c r="E67" s="19" t="s">
        <v>94</v>
      </c>
      <c r="N67" s="5">
        <v>40</v>
      </c>
      <c r="AG67" s="5" t="s">
        <v>254</v>
      </c>
      <c r="AI67" s="5" t="s">
        <v>147</v>
      </c>
      <c r="AL67" s="4" t="s">
        <v>226</v>
      </c>
      <c r="AT67" s="5" t="s">
        <v>221</v>
      </c>
    </row>
    <row r="68" spans="1:46" s="5" customFormat="1" x14ac:dyDescent="0.45">
      <c r="A68" s="5" t="s">
        <v>51</v>
      </c>
      <c r="B68" s="5" t="s">
        <v>65</v>
      </c>
      <c r="C68" s="4"/>
      <c r="D68" s="4"/>
      <c r="E68" s="19" t="s">
        <v>96</v>
      </c>
      <c r="N68" s="5">
        <v>40</v>
      </c>
      <c r="AG68" s="5" t="s">
        <v>254</v>
      </c>
      <c r="AI68" s="5" t="s">
        <v>176</v>
      </c>
      <c r="AL68" s="4" t="s">
        <v>226</v>
      </c>
      <c r="AT68" s="5" t="s">
        <v>221</v>
      </c>
    </row>
    <row r="69" spans="1:46" s="5" customFormat="1" ht="26.25" x14ac:dyDescent="0.45">
      <c r="A69" s="5" t="s">
        <v>51</v>
      </c>
      <c r="B69" s="5" t="s">
        <v>65</v>
      </c>
      <c r="C69" s="4"/>
      <c r="D69" s="4"/>
      <c r="E69" s="19" t="s">
        <v>97</v>
      </c>
      <c r="N69" s="5">
        <v>40</v>
      </c>
      <c r="AG69" s="5" t="s">
        <v>254</v>
      </c>
      <c r="AI69" s="5" t="s">
        <v>148</v>
      </c>
      <c r="AL69" s="4" t="s">
        <v>226</v>
      </c>
      <c r="AT69" s="5" t="s">
        <v>221</v>
      </c>
    </row>
    <row r="70" spans="1:46" s="5" customFormat="1" x14ac:dyDescent="0.45">
      <c r="A70" s="5" t="s">
        <v>51</v>
      </c>
      <c r="B70" s="5" t="s">
        <v>65</v>
      </c>
      <c r="C70" s="4"/>
      <c r="D70" s="4"/>
      <c r="E70" s="19" t="s">
        <v>98</v>
      </c>
      <c r="N70" s="5">
        <v>40</v>
      </c>
      <c r="AG70" s="5" t="s">
        <v>254</v>
      </c>
      <c r="AI70" s="5" t="s">
        <v>149</v>
      </c>
      <c r="AL70" s="4" t="s">
        <v>226</v>
      </c>
      <c r="AT70" s="5" t="s">
        <v>221</v>
      </c>
    </row>
    <row r="71" spans="1:46" s="5" customFormat="1" x14ac:dyDescent="0.45">
      <c r="A71" s="5" t="s">
        <v>51</v>
      </c>
      <c r="B71" s="5" t="s">
        <v>65</v>
      </c>
      <c r="C71" s="4"/>
      <c r="D71" s="4"/>
      <c r="E71" s="19" t="s">
        <v>100</v>
      </c>
      <c r="N71" s="5">
        <v>40</v>
      </c>
      <c r="AG71" s="5" t="s">
        <v>254</v>
      </c>
      <c r="AI71" s="5" t="s">
        <v>151</v>
      </c>
      <c r="AL71" s="4" t="s">
        <v>226</v>
      </c>
      <c r="AT71" s="5" t="s">
        <v>221</v>
      </c>
    </row>
    <row r="72" spans="1:46" x14ac:dyDescent="0.45">
      <c r="A72" s="5" t="s">
        <v>51</v>
      </c>
      <c r="AT72" s="5" t="s">
        <v>221</v>
      </c>
    </row>
    <row r="73" spans="1:46" x14ac:dyDescent="0.45">
      <c r="A73" s="5" t="s">
        <v>51</v>
      </c>
      <c r="B73" s="5" t="s">
        <v>62</v>
      </c>
      <c r="P73" s="5">
        <v>200</v>
      </c>
      <c r="AG73" s="5" t="s">
        <v>254</v>
      </c>
      <c r="AJ73" s="10" t="s">
        <v>259</v>
      </c>
      <c r="AT73" s="5" t="s">
        <v>221</v>
      </c>
    </row>
    <row r="74" spans="1:46" x14ac:dyDescent="0.45">
      <c r="A74" s="5" t="s">
        <v>51</v>
      </c>
      <c r="B74" s="5" t="s">
        <v>62</v>
      </c>
      <c r="P74" s="5">
        <v>200</v>
      </c>
      <c r="AG74" s="5" t="s">
        <v>254</v>
      </c>
      <c r="AJ74" s="10" t="s">
        <v>260</v>
      </c>
      <c r="AT74" s="5" t="s">
        <v>221</v>
      </c>
    </row>
    <row r="75" spans="1:46" s="5" customFormat="1" x14ac:dyDescent="0.45">
      <c r="A75" s="5" t="s">
        <v>51</v>
      </c>
      <c r="B75" s="5" t="s">
        <v>62</v>
      </c>
      <c r="C75" s="4"/>
      <c r="D75" s="4"/>
      <c r="P75" s="5">
        <v>200</v>
      </c>
      <c r="AG75" s="5" t="s">
        <v>254</v>
      </c>
      <c r="AJ75" s="10" t="s">
        <v>187</v>
      </c>
      <c r="AT75" s="5" t="s">
        <v>221</v>
      </c>
    </row>
    <row r="76" spans="1:46" x14ac:dyDescent="0.45">
      <c r="A76" s="5" t="s">
        <v>51</v>
      </c>
      <c r="B76" s="5" t="s">
        <v>62</v>
      </c>
      <c r="P76" s="5">
        <v>200</v>
      </c>
      <c r="AG76" s="5" t="s">
        <v>254</v>
      </c>
      <c r="AJ76" s="10" t="s">
        <v>188</v>
      </c>
      <c r="AT76" s="5" t="s">
        <v>221</v>
      </c>
    </row>
    <row r="77" spans="1:46" x14ac:dyDescent="0.45">
      <c r="A77" s="5" t="s">
        <v>51</v>
      </c>
      <c r="B77" s="5" t="s">
        <v>62</v>
      </c>
      <c r="P77" s="5">
        <v>200</v>
      </c>
      <c r="AG77" s="5" t="s">
        <v>254</v>
      </c>
      <c r="AJ77" s="5" t="s">
        <v>261</v>
      </c>
      <c r="AL77" s="4"/>
      <c r="AT77" s="5" t="s">
        <v>221</v>
      </c>
    </row>
    <row r="78" spans="1:46" x14ac:dyDescent="0.45">
      <c r="A78" s="5" t="s">
        <v>51</v>
      </c>
      <c r="B78" s="5" t="s">
        <v>62</v>
      </c>
      <c r="E78" s="19" t="s">
        <v>100</v>
      </c>
      <c r="N78" s="5">
        <v>30</v>
      </c>
      <c r="P78" s="5">
        <v>200</v>
      </c>
      <c r="AF78" s="5" t="s">
        <v>262</v>
      </c>
      <c r="AG78" s="5" t="s">
        <v>254</v>
      </c>
      <c r="AJ78" s="5" t="s">
        <v>58</v>
      </c>
      <c r="AL78" s="4" t="s">
        <v>53</v>
      </c>
    </row>
    <row r="79" spans="1:46" x14ac:dyDescent="0.45">
      <c r="A79" s="5" t="s">
        <v>51</v>
      </c>
      <c r="B79" s="5" t="s">
        <v>62</v>
      </c>
      <c r="E79" s="19" t="s">
        <v>100</v>
      </c>
      <c r="N79" s="5">
        <v>30</v>
      </c>
      <c r="P79" s="5">
        <v>200.125</v>
      </c>
      <c r="AF79" s="5" t="s">
        <v>263</v>
      </c>
      <c r="AG79" s="5" t="s">
        <v>254</v>
      </c>
      <c r="AJ79" s="5" t="s">
        <v>241</v>
      </c>
      <c r="AL79" s="4" t="s">
        <v>55</v>
      </c>
      <c r="AT79" s="5" t="s">
        <v>221</v>
      </c>
    </row>
    <row r="80" spans="1:46" x14ac:dyDescent="0.45">
      <c r="A80" s="5" t="s">
        <v>51</v>
      </c>
      <c r="B80" s="5" t="s">
        <v>62</v>
      </c>
      <c r="E80" s="19" t="s">
        <v>100</v>
      </c>
      <c r="N80" s="5">
        <v>30</v>
      </c>
      <c r="P80" s="5">
        <v>200</v>
      </c>
      <c r="AF80" s="5" t="s">
        <v>264</v>
      </c>
      <c r="AG80" s="5" t="s">
        <v>254</v>
      </c>
      <c r="AJ80" s="5" t="s">
        <v>260</v>
      </c>
      <c r="AL80" s="4" t="s">
        <v>56</v>
      </c>
      <c r="AT80" s="5" t="s">
        <v>221</v>
      </c>
    </row>
    <row r="81" spans="1:46" x14ac:dyDescent="0.45">
      <c r="A81" s="5" t="s">
        <v>51</v>
      </c>
      <c r="B81" s="5" t="s">
        <v>65</v>
      </c>
      <c r="E81" s="19" t="s">
        <v>100</v>
      </c>
      <c r="N81" s="5">
        <v>30</v>
      </c>
      <c r="AF81" s="5" t="s">
        <v>265</v>
      </c>
      <c r="AL81" s="4" t="s">
        <v>52</v>
      </c>
      <c r="AT81" s="5" t="s">
        <v>221</v>
      </c>
    </row>
    <row r="82" spans="1:46" x14ac:dyDescent="0.45">
      <c r="A82" s="5" t="s">
        <v>51</v>
      </c>
      <c r="B82" s="5" t="s">
        <v>65</v>
      </c>
      <c r="E82" s="19" t="s">
        <v>100</v>
      </c>
      <c r="N82" s="5">
        <v>30</v>
      </c>
      <c r="AF82" s="5" t="s">
        <v>266</v>
      </c>
      <c r="AL82" s="4" t="s">
        <v>226</v>
      </c>
      <c r="AT82" s="5" t="s">
        <v>221</v>
      </c>
    </row>
    <row r="83" spans="1:46" x14ac:dyDescent="0.45">
      <c r="A83" s="5" t="s">
        <v>51</v>
      </c>
      <c r="B83" s="5" t="s">
        <v>65</v>
      </c>
      <c r="E83" s="19" t="s">
        <v>100</v>
      </c>
      <c r="N83" s="5">
        <v>30</v>
      </c>
      <c r="AF83" s="5" t="s">
        <v>267</v>
      </c>
      <c r="AL83" s="4" t="s">
        <v>53</v>
      </c>
      <c r="AT83" s="5" t="s">
        <v>221</v>
      </c>
    </row>
    <row r="84" spans="1:46" x14ac:dyDescent="0.45">
      <c r="A84" s="5" t="s">
        <v>51</v>
      </c>
      <c r="B84" s="5" t="s">
        <v>65</v>
      </c>
      <c r="E84" s="19" t="s">
        <v>100</v>
      </c>
      <c r="N84" s="5">
        <v>30</v>
      </c>
      <c r="AF84" s="5" t="s">
        <v>262</v>
      </c>
      <c r="AL84" s="4" t="s">
        <v>55</v>
      </c>
      <c r="AT84" s="5" t="s">
        <v>221</v>
      </c>
    </row>
    <row r="85" spans="1:46" x14ac:dyDescent="0.45">
      <c r="A85" s="5" t="s">
        <v>51</v>
      </c>
      <c r="B85" s="5" t="s">
        <v>65</v>
      </c>
      <c r="E85" s="19" t="s">
        <v>100</v>
      </c>
      <c r="N85" s="5">
        <v>30</v>
      </c>
      <c r="AF85" s="5" t="s">
        <v>263</v>
      </c>
      <c r="AL85" s="4" t="s">
        <v>56</v>
      </c>
      <c r="AT85" s="5" t="s">
        <v>221</v>
      </c>
    </row>
    <row r="86" spans="1:46" x14ac:dyDescent="0.45">
      <c r="A86" s="5" t="s">
        <v>51</v>
      </c>
      <c r="B86" s="5" t="s">
        <v>65</v>
      </c>
      <c r="E86" s="19" t="s">
        <v>100</v>
      </c>
      <c r="N86" s="5">
        <v>30</v>
      </c>
      <c r="AF86" s="5" t="s">
        <v>264</v>
      </c>
      <c r="AL86" s="4" t="s">
        <v>52</v>
      </c>
      <c r="AT86" s="5" t="s">
        <v>221</v>
      </c>
    </row>
    <row r="87" spans="1:46" x14ac:dyDescent="0.45">
      <c r="A87" s="5" t="s">
        <v>51</v>
      </c>
      <c r="B87" s="5" t="s">
        <v>65</v>
      </c>
      <c r="E87" s="19" t="s">
        <v>100</v>
      </c>
      <c r="N87" s="5">
        <v>30</v>
      </c>
      <c r="AF87" s="5" t="s">
        <v>265</v>
      </c>
      <c r="AL87" s="4" t="s">
        <v>226</v>
      </c>
      <c r="AT87" s="5" t="s">
        <v>221</v>
      </c>
    </row>
    <row r="88" spans="1:46" x14ac:dyDescent="0.45">
      <c r="A88" s="5" t="s">
        <v>51</v>
      </c>
      <c r="B88" s="5" t="s">
        <v>65</v>
      </c>
      <c r="E88" s="19" t="s">
        <v>100</v>
      </c>
      <c r="N88" s="5">
        <v>30</v>
      </c>
      <c r="AF88" s="5" t="s">
        <v>266</v>
      </c>
      <c r="AL88" s="4" t="s">
        <v>53</v>
      </c>
      <c r="AT88" s="5" t="s">
        <v>221</v>
      </c>
    </row>
    <row r="89" spans="1:46" x14ac:dyDescent="0.45">
      <c r="A89" s="5" t="s">
        <v>51</v>
      </c>
      <c r="B89" s="5" t="s">
        <v>65</v>
      </c>
      <c r="E89" s="19" t="s">
        <v>100</v>
      </c>
      <c r="N89" s="5">
        <v>30</v>
      </c>
      <c r="AF89" s="5" t="s">
        <v>267</v>
      </c>
      <c r="AL89" s="4" t="s">
        <v>55</v>
      </c>
      <c r="AT89" s="5" t="s">
        <v>221</v>
      </c>
    </row>
    <row r="90" spans="1:46" x14ac:dyDescent="0.45">
      <c r="A90" s="5" t="s">
        <v>51</v>
      </c>
      <c r="B90" s="5" t="s">
        <v>65</v>
      </c>
      <c r="E90" s="19" t="s">
        <v>100</v>
      </c>
      <c r="N90" s="5">
        <v>30</v>
      </c>
      <c r="AF90" s="5" t="s">
        <v>262</v>
      </c>
      <c r="AL90" s="4" t="s">
        <v>56</v>
      </c>
      <c r="AT90" s="5" t="s">
        <v>221</v>
      </c>
    </row>
    <row r="91" spans="1:46" x14ac:dyDescent="0.45">
      <c r="A91" s="5" t="s">
        <v>51</v>
      </c>
      <c r="B91" s="5" t="s">
        <v>65</v>
      </c>
      <c r="E91" s="19" t="s">
        <v>100</v>
      </c>
      <c r="N91" s="5">
        <v>30</v>
      </c>
      <c r="AF91" s="5" t="s">
        <v>263</v>
      </c>
      <c r="AL91" s="4" t="s">
        <v>52</v>
      </c>
      <c r="AT91" s="5" t="s">
        <v>221</v>
      </c>
    </row>
    <row r="92" spans="1:46" x14ac:dyDescent="0.45">
      <c r="A92" s="5" t="s">
        <v>51</v>
      </c>
      <c r="B92" s="5" t="s">
        <v>65</v>
      </c>
      <c r="E92" s="19" t="s">
        <v>100</v>
      </c>
      <c r="N92" s="5">
        <v>30</v>
      </c>
      <c r="AF92" s="5" t="s">
        <v>262</v>
      </c>
      <c r="AT92" s="5" t="s">
        <v>221</v>
      </c>
    </row>
    <row r="93" spans="1:46" x14ac:dyDescent="0.45">
      <c r="A93" s="5" t="s">
        <v>51</v>
      </c>
      <c r="B93" s="5" t="s">
        <v>58</v>
      </c>
      <c r="E93" s="19" t="s">
        <v>227</v>
      </c>
      <c r="AT93" s="5" t="s">
        <v>221</v>
      </c>
    </row>
    <row r="94" spans="1:46" x14ac:dyDescent="0.45">
      <c r="A94" s="5" t="s">
        <v>51</v>
      </c>
      <c r="B94" s="5" t="s">
        <v>58</v>
      </c>
      <c r="E94" s="19" t="s">
        <v>228</v>
      </c>
      <c r="AT94" s="5" t="s">
        <v>221</v>
      </c>
    </row>
    <row r="95" spans="1:46" x14ac:dyDescent="0.45">
      <c r="A95" s="5" t="s">
        <v>51</v>
      </c>
      <c r="B95" s="5" t="s">
        <v>58</v>
      </c>
      <c r="E95" s="19" t="s">
        <v>229</v>
      </c>
      <c r="AT95" s="5" t="s">
        <v>221</v>
      </c>
    </row>
    <row r="96" spans="1:46" ht="26.25" x14ac:dyDescent="0.45">
      <c r="A96" s="5" t="s">
        <v>51</v>
      </c>
      <c r="B96" s="5" t="s">
        <v>58</v>
      </c>
      <c r="E96" s="19" t="s">
        <v>230</v>
      </c>
      <c r="AT96" s="5" t="s">
        <v>221</v>
      </c>
    </row>
    <row r="97" spans="1:47" x14ac:dyDescent="0.45">
      <c r="A97" s="5" t="s">
        <v>51</v>
      </c>
      <c r="B97" s="5" t="s">
        <v>58</v>
      </c>
      <c r="E97" s="19" t="s">
        <v>231</v>
      </c>
      <c r="AT97" s="5" t="s">
        <v>221</v>
      </c>
    </row>
    <row r="98" spans="1:47" ht="26.25" x14ac:dyDescent="0.45">
      <c r="A98" s="5" t="s">
        <v>51</v>
      </c>
      <c r="B98" s="5" t="s">
        <v>58</v>
      </c>
      <c r="E98" s="19" t="s">
        <v>232</v>
      </c>
      <c r="AT98" s="5" t="s">
        <v>221</v>
      </c>
    </row>
    <row r="99" spans="1:47" x14ac:dyDescent="0.45">
      <c r="A99" s="5" t="s">
        <v>51</v>
      </c>
      <c r="B99" s="5" t="s">
        <v>58</v>
      </c>
      <c r="E99" s="19" t="s">
        <v>233</v>
      </c>
      <c r="AT99" s="5" t="s">
        <v>221</v>
      </c>
    </row>
    <row r="100" spans="1:47" ht="39.4" x14ac:dyDescent="0.45">
      <c r="A100" s="5" t="s">
        <v>51</v>
      </c>
      <c r="B100" s="5" t="s">
        <v>58</v>
      </c>
      <c r="E100" s="19" t="s">
        <v>234</v>
      </c>
      <c r="AT100" s="5" t="s">
        <v>221</v>
      </c>
    </row>
    <row r="101" spans="1:47" ht="26.25" x14ac:dyDescent="0.45">
      <c r="A101" s="5" t="s">
        <v>51</v>
      </c>
      <c r="B101" s="5" t="s">
        <v>58</v>
      </c>
      <c r="E101" s="19" t="s">
        <v>235</v>
      </c>
      <c r="AT101" s="5" t="s">
        <v>221</v>
      </c>
    </row>
    <row r="102" spans="1:47" ht="26.25" x14ac:dyDescent="0.45">
      <c r="A102" s="5" t="s">
        <v>51</v>
      </c>
      <c r="B102" s="5" t="s">
        <v>58</v>
      </c>
      <c r="E102" s="19" t="s">
        <v>236</v>
      </c>
      <c r="AT102" s="5" t="s">
        <v>221</v>
      </c>
    </row>
    <row r="103" spans="1:47" ht="26.25" x14ac:dyDescent="0.45">
      <c r="A103" s="5" t="s">
        <v>51</v>
      </c>
      <c r="B103" s="5" t="s">
        <v>58</v>
      </c>
      <c r="E103" s="19" t="s">
        <v>237</v>
      </c>
      <c r="AT103" s="5" t="s">
        <v>221</v>
      </c>
    </row>
    <row r="104" spans="1:47" ht="26.25" x14ac:dyDescent="0.45">
      <c r="A104" s="5" t="s">
        <v>51</v>
      </c>
      <c r="B104" s="5" t="s">
        <v>58</v>
      </c>
      <c r="E104" s="19" t="s">
        <v>238</v>
      </c>
      <c r="AT104" s="5" t="s">
        <v>221</v>
      </c>
    </row>
    <row r="105" spans="1:47" x14ac:dyDescent="0.45">
      <c r="A105" s="5" t="s">
        <v>51</v>
      </c>
      <c r="B105" s="5" t="s">
        <v>58</v>
      </c>
      <c r="E105" s="19" t="s">
        <v>239</v>
      </c>
      <c r="AT105" s="5" t="s">
        <v>221</v>
      </c>
      <c r="AU105" s="5" t="s">
        <v>119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5"/>
  <sheetViews>
    <sheetView workbookViewId="0"/>
  </sheetViews>
  <sheetFormatPr defaultRowHeight="14.25" x14ac:dyDescent="0.45"/>
  <sheetData>
    <row r="1" spans="1:2" x14ac:dyDescent="0.45">
      <c r="A1" s="43" t="s">
        <v>201</v>
      </c>
    </row>
    <row r="3" spans="1:2" x14ac:dyDescent="0.45">
      <c r="A3" t="s">
        <v>198</v>
      </c>
    </row>
    <row r="4" spans="1:2" x14ac:dyDescent="0.45">
      <c r="B4" t="s">
        <v>197</v>
      </c>
    </row>
    <row r="5" spans="1:2" x14ac:dyDescent="0.45">
      <c r="A5" t="s">
        <v>212</v>
      </c>
    </row>
    <row r="6" spans="1:2" x14ac:dyDescent="0.45">
      <c r="B6" t="s">
        <v>213</v>
      </c>
    </row>
    <row r="7" spans="1:2" x14ac:dyDescent="0.45">
      <c r="A7" t="s">
        <v>214</v>
      </c>
    </row>
    <row r="8" spans="1:2" x14ac:dyDescent="0.45">
      <c r="B8" t="s">
        <v>199</v>
      </c>
    </row>
    <row r="9" spans="1:2" x14ac:dyDescent="0.45">
      <c r="A9" t="s">
        <v>215</v>
      </c>
    </row>
    <row r="10" spans="1:2" x14ac:dyDescent="0.45">
      <c r="B10" t="s">
        <v>200</v>
      </c>
    </row>
    <row r="11" spans="1:2" x14ac:dyDescent="0.45">
      <c r="A11" t="s">
        <v>216</v>
      </c>
    </row>
    <row r="12" spans="1:2" x14ac:dyDescent="0.45">
      <c r="B12" t="s">
        <v>202</v>
      </c>
    </row>
    <row r="13" spans="1:2" x14ac:dyDescent="0.45">
      <c r="B13" t="s">
        <v>203</v>
      </c>
    </row>
    <row r="14" spans="1:2" x14ac:dyDescent="0.45">
      <c r="A14" t="s">
        <v>217</v>
      </c>
    </row>
    <row r="15" spans="1:2" x14ac:dyDescent="0.45">
      <c r="B15" t="s">
        <v>204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1BD0-192E-45AD-AE8F-62E9FD505386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66"/>
  <sheetViews>
    <sheetView zoomScale="90" zoomScaleNormal="90" workbookViewId="0"/>
  </sheetViews>
  <sheetFormatPr defaultRowHeight="14.25" x14ac:dyDescent="0.45"/>
  <cols>
    <col min="1" max="1" width="12.19921875" bestFit="1" customWidth="1"/>
    <col min="2" max="2" width="22.46484375" bestFit="1" customWidth="1"/>
    <col min="3" max="3" width="10.19921875" bestFit="1" customWidth="1"/>
    <col min="4" max="4" width="14.6640625" bestFit="1" customWidth="1"/>
    <col min="5" max="5" width="28.6640625" bestFit="1" customWidth="1"/>
    <col min="6" max="6" width="16.86328125" bestFit="1" customWidth="1"/>
    <col min="7" max="7" width="22.46484375" bestFit="1" customWidth="1"/>
    <col min="8" max="8" width="13" bestFit="1" customWidth="1"/>
    <col min="9" max="9" width="12" customWidth="1"/>
    <col min="10" max="10" width="22.46484375" bestFit="1" customWidth="1"/>
    <col min="11" max="11" width="15.1328125" bestFit="1" customWidth="1"/>
    <col min="12" max="12" width="14.53125" customWidth="1"/>
    <col min="13" max="17" width="14.1328125" customWidth="1"/>
    <col min="18" max="18" width="15.73046875" customWidth="1"/>
    <col min="19" max="19" width="14.1328125" customWidth="1"/>
    <col min="20" max="20" width="15.33203125" customWidth="1"/>
    <col min="21" max="21" width="14.1328125" customWidth="1"/>
    <col min="22" max="24" width="15.73046875" customWidth="1"/>
    <col min="26" max="26" width="22.73046875" customWidth="1"/>
    <col min="28" max="28" width="12.6640625" bestFit="1" customWidth="1"/>
    <col min="29" max="29" width="22.46484375" bestFit="1" customWidth="1"/>
    <col min="30" max="30" width="27.06640625" bestFit="1" customWidth="1"/>
  </cols>
  <sheetData>
    <row r="1" spans="1:30" x14ac:dyDescent="0.45">
      <c r="A1" s="39" t="s">
        <v>182</v>
      </c>
      <c r="B1" t="s">
        <v>155</v>
      </c>
      <c r="K1" t="s">
        <v>275</v>
      </c>
      <c r="L1" t="s">
        <v>261</v>
      </c>
      <c r="M1" t="s">
        <v>135</v>
      </c>
      <c r="N1" t="s">
        <v>260</v>
      </c>
      <c r="O1" t="s">
        <v>261</v>
      </c>
      <c r="P1" t="s">
        <v>259</v>
      </c>
      <c r="Q1" s="79" t="s">
        <v>135</v>
      </c>
      <c r="R1" s="79"/>
      <c r="S1" s="79" t="s">
        <v>260</v>
      </c>
      <c r="T1" s="79"/>
      <c r="U1" s="79" t="s">
        <v>261</v>
      </c>
      <c r="V1" s="79"/>
      <c r="W1" s="79" t="s">
        <v>276</v>
      </c>
      <c r="X1" s="79"/>
      <c r="AB1" s="16" t="s">
        <v>135</v>
      </c>
      <c r="AC1" t="s">
        <v>254</v>
      </c>
    </row>
    <row r="2" spans="1:30" x14ac:dyDescent="0.45">
      <c r="A2" t="s">
        <v>137</v>
      </c>
      <c r="B2" s="44">
        <f ca="1">MAX(NETWORKDAYS($D$3,$E$6,$Z$4:$Z$9)/NETWORKDAYS($D$3,$E$3,$Z$4:$Z$9),0%)</f>
        <v>0.84745762711864403</v>
      </c>
      <c r="D2" s="28" t="s">
        <v>124</v>
      </c>
      <c r="E2" s="29" t="s">
        <v>125</v>
      </c>
      <c r="G2" s="22" t="s">
        <v>139</v>
      </c>
      <c r="H2" s="22" t="s">
        <v>124</v>
      </c>
      <c r="I2" s="22" t="s">
        <v>125</v>
      </c>
      <c r="J2" s="22" t="s">
        <v>169</v>
      </c>
      <c r="K2" s="22" t="s">
        <v>180</v>
      </c>
      <c r="L2" s="22" t="s">
        <v>180</v>
      </c>
      <c r="M2" s="64" t="s">
        <v>181</v>
      </c>
      <c r="N2" s="22" t="s">
        <v>181</v>
      </c>
      <c r="O2" s="22" t="s">
        <v>181</v>
      </c>
      <c r="P2" s="22" t="s">
        <v>181</v>
      </c>
      <c r="Q2" s="22" t="s">
        <v>195</v>
      </c>
      <c r="R2" s="22" t="s">
        <v>196</v>
      </c>
      <c r="S2" s="22" t="s">
        <v>195</v>
      </c>
      <c r="T2" s="22" t="s">
        <v>196</v>
      </c>
      <c r="U2" s="22" t="s">
        <v>195</v>
      </c>
      <c r="V2" s="22" t="s">
        <v>196</v>
      </c>
      <c r="W2" s="22" t="s">
        <v>195</v>
      </c>
      <c r="X2" s="22" t="s">
        <v>196</v>
      </c>
      <c r="Z2" s="25" t="s">
        <v>168</v>
      </c>
      <c r="AB2" s="16" t="s">
        <v>9</v>
      </c>
      <c r="AC2" t="s">
        <v>62</v>
      </c>
    </row>
    <row r="3" spans="1:30" x14ac:dyDescent="0.45">
      <c r="A3" t="s">
        <v>138</v>
      </c>
      <c r="B3" s="30">
        <f ca="1">MAX(100%,B2)-B2</f>
        <v>0.15254237288135597</v>
      </c>
      <c r="D3" s="26">
        <v>43495</v>
      </c>
      <c r="E3" s="27">
        <v>43578</v>
      </c>
      <c r="J3" s="34"/>
      <c r="K3" s="33">
        <v>0</v>
      </c>
      <c r="L3" s="33">
        <v>0</v>
      </c>
      <c r="M3" s="78">
        <v>0.04</v>
      </c>
      <c r="N3" s="33">
        <v>0.02</v>
      </c>
      <c r="O3" s="33">
        <v>0.12</v>
      </c>
      <c r="P3" s="33">
        <v>0.03</v>
      </c>
      <c r="Q3" s="40">
        <f>$Q$25*(100%-K3)</f>
        <v>300</v>
      </c>
      <c r="R3" s="40">
        <v>283.5</v>
      </c>
      <c r="S3" s="40">
        <f>$Q$26*(100%-K3)</f>
        <v>115</v>
      </c>
      <c r="T3" s="40">
        <v>126</v>
      </c>
      <c r="U3" s="40">
        <f>$Q$27*(100%-L3)</f>
        <v>60</v>
      </c>
      <c r="V3" s="40">
        <v>53</v>
      </c>
      <c r="W3" s="40">
        <f>$Q$28*(100%-K3)</f>
        <v>30</v>
      </c>
      <c r="X3" s="40">
        <v>41.5</v>
      </c>
      <c r="Z3" s="32">
        <v>43514</v>
      </c>
      <c r="AB3" s="16" t="s">
        <v>251</v>
      </c>
      <c r="AC3" t="s">
        <v>221</v>
      </c>
    </row>
    <row r="4" spans="1:30" x14ac:dyDescent="0.45">
      <c r="D4" s="45"/>
      <c r="E4" s="46">
        <v>43578</v>
      </c>
      <c r="G4" s="23" t="s">
        <v>262</v>
      </c>
      <c r="H4" s="24">
        <v>43495</v>
      </c>
      <c r="I4" s="24">
        <f>H4+13</f>
        <v>43508</v>
      </c>
      <c r="J4" s="35">
        <f t="shared" ref="J4:J9" si="0">NETWORKDAYS(H4,I4,$Z$3:$Z$9)</f>
        <v>10</v>
      </c>
      <c r="K4" s="36">
        <f>SUM($J$4:J4)/SUM($J$4:$J$19)</f>
        <v>0.17241379310344829</v>
      </c>
      <c r="L4" s="36">
        <f>SUM($J$4:J4)/SUM($J$4:$J$9)</f>
        <v>0.17241379310344829</v>
      </c>
      <c r="M4" s="70">
        <v>0.19</v>
      </c>
      <c r="N4" s="76">
        <v>0.34</v>
      </c>
      <c r="O4" s="76">
        <v>0.2</v>
      </c>
      <c r="P4" s="76">
        <v>0.06</v>
      </c>
      <c r="Q4" s="40">
        <f>$Q$25*(100%-K4)</f>
        <v>248.27586206896552</v>
      </c>
      <c r="R4" s="42">
        <v>263</v>
      </c>
      <c r="S4" s="42">
        <f>$Q$26*(100%-K4)</f>
        <v>95.172413793103445</v>
      </c>
      <c r="T4" s="42">
        <v>73</v>
      </c>
      <c r="U4" s="40">
        <f>$Q$27*(100%-L4)</f>
        <v>49.655172413793103</v>
      </c>
      <c r="V4" s="42">
        <v>63</v>
      </c>
      <c r="W4" s="40">
        <f>$Q$28*(100%-K4)</f>
        <v>24.827586206896552</v>
      </c>
      <c r="X4" s="42">
        <v>44</v>
      </c>
      <c r="Z4" s="32">
        <v>43574</v>
      </c>
    </row>
    <row r="5" spans="1:30" x14ac:dyDescent="0.45">
      <c r="A5" s="39" t="s">
        <v>135</v>
      </c>
      <c r="D5" t="s">
        <v>185</v>
      </c>
      <c r="E5" s="25" t="s">
        <v>183</v>
      </c>
      <c r="G5" s="23" t="s">
        <v>263</v>
      </c>
      <c r="H5" s="24">
        <f>I4+1</f>
        <v>43509</v>
      </c>
      <c r="I5" s="24">
        <f>I4+14</f>
        <v>43522</v>
      </c>
      <c r="J5" s="35">
        <f t="shared" si="0"/>
        <v>9</v>
      </c>
      <c r="K5" s="36">
        <f>SUM($J$4:J5)/SUM($J$4:$J$9)</f>
        <v>0.32758620689655171</v>
      </c>
      <c r="L5" s="36">
        <f>SUM($J$4:J5)/SUM($J$4:$J$9)</f>
        <v>0.32758620689655171</v>
      </c>
      <c r="M5" s="70">
        <v>0.44</v>
      </c>
      <c r="N5" s="76">
        <v>0.65</v>
      </c>
      <c r="O5" s="76">
        <v>0.56999999999999995</v>
      </c>
      <c r="P5" s="76">
        <v>0.17</v>
      </c>
      <c r="Q5" s="40">
        <f t="shared" ref="Q5:Q9" si="1">$Q$25*(100%-K5)</f>
        <v>201.72413793103448</v>
      </c>
      <c r="R5" s="42">
        <v>182.5</v>
      </c>
      <c r="S5" s="42">
        <f t="shared" ref="S5:S9" si="2">$Q$26*(100%-K5)</f>
        <v>77.327586206896555</v>
      </c>
      <c r="T5" s="42">
        <v>39</v>
      </c>
      <c r="U5" s="40">
        <f t="shared" ref="U5:U9" si="3">$Q$27*(100%-L5)</f>
        <v>40.344827586206897</v>
      </c>
      <c r="V5" s="42">
        <v>34</v>
      </c>
      <c r="W5" s="40">
        <f t="shared" ref="W5:W9" si="4">$Q$28*(100%-K5)</f>
        <v>20.172413793103448</v>
      </c>
      <c r="X5" s="42">
        <v>39</v>
      </c>
      <c r="Z5" s="32"/>
      <c r="AB5" s="16" t="s">
        <v>140</v>
      </c>
      <c r="AC5" t="s">
        <v>112</v>
      </c>
      <c r="AD5" t="s">
        <v>111</v>
      </c>
    </row>
    <row r="6" spans="1:30" x14ac:dyDescent="0.45">
      <c r="A6" t="s">
        <v>137</v>
      </c>
      <c r="B6" s="44">
        <f>100%-GETPIVOTDATA("Epic Remaining Estimate",$AB$4)/GETPIVOTDATA("Epic Total Estimate",$AB$4)</f>
        <v>0.77501406162114872</v>
      </c>
      <c r="C6" s="21"/>
      <c r="D6" s="21" t="s">
        <v>184</v>
      </c>
      <c r="E6" s="25">
        <f ca="1">TODAY()</f>
        <v>43564</v>
      </c>
      <c r="G6" s="23" t="s">
        <v>264</v>
      </c>
      <c r="H6" s="24">
        <f>I5+1</f>
        <v>43523</v>
      </c>
      <c r="I6" s="24">
        <f>I5+14</f>
        <v>43536</v>
      </c>
      <c r="J6" s="35">
        <f t="shared" si="0"/>
        <v>10</v>
      </c>
      <c r="K6" s="36">
        <f>SUM($J$4:J6)/SUM($J$4:$J$9)</f>
        <v>0.5</v>
      </c>
      <c r="L6" s="36">
        <f>SUM($J$4:J6)/SUM($J$4:$J$9)</f>
        <v>0.5</v>
      </c>
      <c r="M6" s="70">
        <v>0.56000000000000005</v>
      </c>
      <c r="N6" s="76">
        <v>0.69</v>
      </c>
      <c r="O6" s="76">
        <v>0.73</v>
      </c>
      <c r="P6" s="76">
        <v>0.24</v>
      </c>
      <c r="Q6" s="40">
        <f t="shared" ref="Q6" si="5">$Q$25*(100%-K6)</f>
        <v>150</v>
      </c>
      <c r="R6" s="42">
        <v>143.5</v>
      </c>
      <c r="S6" s="42">
        <f t="shared" ref="S6" si="6">$Q$26*(100%-K6)</f>
        <v>57.5</v>
      </c>
      <c r="T6" s="42">
        <v>36</v>
      </c>
      <c r="U6" s="40">
        <f t="shared" ref="U6" si="7">$Q$27*(100%-L6)</f>
        <v>30</v>
      </c>
      <c r="V6" s="42">
        <v>21</v>
      </c>
      <c r="W6" s="40">
        <f t="shared" ref="W6" si="8">$Q$28*(100%-K6)</f>
        <v>15</v>
      </c>
      <c r="X6" s="42">
        <v>35</v>
      </c>
      <c r="Z6" s="32"/>
      <c r="AB6" s="17" t="s">
        <v>186</v>
      </c>
      <c r="AC6" s="20">
        <v>1400.125</v>
      </c>
      <c r="AD6" s="20"/>
    </row>
    <row r="7" spans="1:30" x14ac:dyDescent="0.45">
      <c r="A7" t="s">
        <v>138</v>
      </c>
      <c r="B7" s="30">
        <f>MAX(100%,B6)-B6</f>
        <v>0.22498593837885128</v>
      </c>
      <c r="D7" s="21"/>
      <c r="E7" s="20"/>
      <c r="G7" s="23" t="s">
        <v>265</v>
      </c>
      <c r="H7" s="24">
        <f t="shared" ref="H7:H9" si="9">I6+1</f>
        <v>43537</v>
      </c>
      <c r="I7" s="24">
        <f t="shared" ref="I7:I9" si="10">I6+14</f>
        <v>43550</v>
      </c>
      <c r="J7" s="35">
        <f t="shared" si="0"/>
        <v>10</v>
      </c>
      <c r="K7" s="36">
        <f>SUM($J$4:J7)/SUM($J$4:$J$9)</f>
        <v>0.67241379310344829</v>
      </c>
      <c r="L7" s="36">
        <f>SUM($J$4:J7)/SUM($J$4:$J$9)</f>
        <v>0.67241379310344829</v>
      </c>
      <c r="M7" s="70">
        <v>0.71</v>
      </c>
      <c r="N7" s="76">
        <v>0.83</v>
      </c>
      <c r="O7" s="76">
        <v>0.98</v>
      </c>
      <c r="P7" s="76">
        <v>0.32</v>
      </c>
      <c r="Q7" s="40">
        <f t="shared" si="1"/>
        <v>98.275862068965509</v>
      </c>
      <c r="R7" s="42">
        <v>105.3</v>
      </c>
      <c r="S7" s="42">
        <f t="shared" si="2"/>
        <v>37.672413793103445</v>
      </c>
      <c r="T7" s="42">
        <v>22.5</v>
      </c>
      <c r="U7" s="40">
        <f t="shared" si="3"/>
        <v>19.655172413793103</v>
      </c>
      <c r="V7" s="42">
        <v>2</v>
      </c>
      <c r="W7" s="40">
        <f t="shared" si="4"/>
        <v>9.8275862068965516</v>
      </c>
      <c r="X7" s="42">
        <v>38</v>
      </c>
      <c r="Z7" s="32"/>
      <c r="AB7" s="17" t="s">
        <v>178</v>
      </c>
      <c r="AC7" s="20">
        <v>200</v>
      </c>
      <c r="AD7" s="20">
        <v>150</v>
      </c>
    </row>
    <row r="8" spans="1:30" x14ac:dyDescent="0.45">
      <c r="B8" s="21"/>
      <c r="C8" s="21"/>
      <c r="G8" s="23" t="s">
        <v>266</v>
      </c>
      <c r="H8" s="24">
        <f t="shared" si="9"/>
        <v>43551</v>
      </c>
      <c r="I8" s="24">
        <f t="shared" si="10"/>
        <v>43564</v>
      </c>
      <c r="J8" s="35">
        <f t="shared" si="0"/>
        <v>10</v>
      </c>
      <c r="K8" s="36">
        <f>SUM($J$4:J8)/SUM($J$4:$J$9)</f>
        <v>0.84482758620689657</v>
      </c>
      <c r="L8" s="36">
        <f>SUM($J$4:J8)/SUM($J$4:$J$9)</f>
        <v>0.84482758620689657</v>
      </c>
      <c r="M8" s="70">
        <v>0.88</v>
      </c>
      <c r="N8" s="76">
        <v>1</v>
      </c>
      <c r="O8" s="76">
        <v>1</v>
      </c>
      <c r="P8" s="76">
        <v>0.7</v>
      </c>
      <c r="Q8" s="40">
        <f t="shared" si="1"/>
        <v>46.551724137931025</v>
      </c>
      <c r="R8" s="42">
        <v>43</v>
      </c>
      <c r="S8" s="42">
        <f t="shared" si="2"/>
        <v>17.844827586206893</v>
      </c>
      <c r="T8" s="42">
        <v>0</v>
      </c>
      <c r="U8" s="40">
        <f t="shared" si="3"/>
        <v>9.3103448275862064</v>
      </c>
      <c r="V8" s="42">
        <v>0</v>
      </c>
      <c r="W8" s="40">
        <f t="shared" si="4"/>
        <v>4.6551724137931032</v>
      </c>
      <c r="X8" s="42">
        <v>15.5</v>
      </c>
      <c r="Z8" s="32"/>
      <c r="AB8" s="17" t="s">
        <v>260</v>
      </c>
      <c r="AC8" s="20">
        <v>200</v>
      </c>
      <c r="AD8" s="20">
        <v>150</v>
      </c>
    </row>
    <row r="9" spans="1:30" x14ac:dyDescent="0.45">
      <c r="A9" s="39" t="s">
        <v>260</v>
      </c>
      <c r="B9" s="21"/>
      <c r="C9" s="21"/>
      <c r="D9" s="21"/>
      <c r="G9" s="72" t="s">
        <v>267</v>
      </c>
      <c r="H9" s="73">
        <f t="shared" si="9"/>
        <v>43565</v>
      </c>
      <c r="I9" s="73">
        <f t="shared" si="10"/>
        <v>43578</v>
      </c>
      <c r="J9" s="74">
        <f t="shared" si="0"/>
        <v>9</v>
      </c>
      <c r="K9" s="75">
        <f>SUM($J$4:J9)/SUM($J$4:$J$9)</f>
        <v>1</v>
      </c>
      <c r="L9" s="75">
        <f>SUM($J$4:J9)/SUM($J$4:$J$9)</f>
        <v>1</v>
      </c>
      <c r="M9" s="75">
        <f>100%-GETPIVOTDATA("Epic Remaining Estimate",$AB$4)/GETPIVOTDATA("Epic Total Estimate",$AB$4)</f>
        <v>0.77501406162114872</v>
      </c>
      <c r="N9" s="77">
        <f>100%-GETPIVOTDATA("Epic Remaining Estimate",$AB$4,"ST:Components","Reuse")/GETPIVOTDATA("Epic Total Estimate",$AB$4,"ST:Components","Reuse")</f>
        <v>0.25</v>
      </c>
      <c r="O9" s="77">
        <f>100%-GETPIVOTDATA("Epic Remaining Estimate",$AB$4,"ST:Components","Drag &amp; Drop")/GETPIVOTDATA("Epic Total Estimate",$AB$4,"ST:Components","Drag &amp; Drop")</f>
        <v>0.25</v>
      </c>
      <c r="P9" s="77">
        <f>100%-GETPIVOTDATA("Epic Remaining Estimate",$AB$4,"ST:Components","Diagram Editor")/GETPIVOTDATA("Epic Total Estimate",$AB$4,"ST:Components","Diagram Editor")</f>
        <v>0.25</v>
      </c>
      <c r="Q9" s="71">
        <f t="shared" si="1"/>
        <v>0</v>
      </c>
      <c r="R9" s="71">
        <f>GETPIVOTDATA("Epic Remaining Estimate",$AB$4)</f>
        <v>450</v>
      </c>
      <c r="S9" s="71">
        <f t="shared" si="2"/>
        <v>0</v>
      </c>
      <c r="T9" s="71">
        <f>GETPIVOTDATA("Epic Remaining Estimate",$AB$4,"ST:Components","Reuse")</f>
        <v>150</v>
      </c>
      <c r="U9" s="71">
        <f t="shared" si="3"/>
        <v>0</v>
      </c>
      <c r="V9" s="71">
        <f>GETPIVOTDATA("Epic Remaining Estimate",$AB$4,"ST:Components","Drag &amp; Drop")</f>
        <v>150</v>
      </c>
      <c r="W9" s="71">
        <f t="shared" si="4"/>
        <v>0</v>
      </c>
      <c r="X9" s="71">
        <f>GETPIVOTDATA("Epic Remaining Estimate",$AB$4,"ST:Components","Diagram Editor")</f>
        <v>150</v>
      </c>
      <c r="Z9" s="32"/>
      <c r="AB9" s="17" t="s">
        <v>261</v>
      </c>
      <c r="AC9" s="20">
        <v>200</v>
      </c>
      <c r="AD9" s="20">
        <v>150</v>
      </c>
    </row>
    <row r="10" spans="1:30" x14ac:dyDescent="0.45">
      <c r="A10" t="s">
        <v>137</v>
      </c>
      <c r="B10" s="44">
        <f>100%-GETPIVOTDATA("Epic Remaining Estimate",$AB$4,"ST:Components","Reuse")/GETPIVOTDATA("Epic Total Estimate",$AB$4,"ST:Components","Reuse")</f>
        <v>0.25</v>
      </c>
      <c r="G10" s="67"/>
      <c r="H10" s="68"/>
      <c r="I10" s="68"/>
      <c r="J10" s="69"/>
      <c r="K10" s="70"/>
      <c r="L10" s="70"/>
      <c r="M10" s="70"/>
      <c r="N10" s="76"/>
      <c r="O10" s="76"/>
      <c r="P10" s="76"/>
      <c r="Q10" s="42"/>
      <c r="R10" s="42"/>
      <c r="S10" s="42"/>
      <c r="T10" s="42"/>
      <c r="U10" s="42"/>
      <c r="V10" s="42"/>
      <c r="W10" s="42"/>
      <c r="X10" s="42"/>
      <c r="Z10" s="32"/>
      <c r="AB10" s="17" t="s">
        <v>50</v>
      </c>
      <c r="AC10" s="20">
        <v>2000.125</v>
      </c>
      <c r="AD10" s="20">
        <v>450</v>
      </c>
    </row>
    <row r="11" spans="1:30" x14ac:dyDescent="0.45">
      <c r="A11" t="s">
        <v>138</v>
      </c>
      <c r="B11" s="30">
        <f>MAX(100%,B10)-B10</f>
        <v>0.75</v>
      </c>
      <c r="G11" s="67"/>
      <c r="H11" s="68"/>
      <c r="I11" s="68"/>
      <c r="J11" s="69"/>
      <c r="K11" s="70"/>
      <c r="L11" s="70"/>
      <c r="M11" s="65"/>
      <c r="N11" s="65"/>
      <c r="O11" s="65"/>
      <c r="P11" s="65"/>
      <c r="Q11" s="42"/>
      <c r="R11" s="66"/>
      <c r="S11" s="42"/>
      <c r="T11" s="66"/>
      <c r="U11" s="42"/>
      <c r="V11" s="66"/>
      <c r="W11" s="66"/>
      <c r="X11" s="66"/>
      <c r="Z11" s="32"/>
    </row>
    <row r="12" spans="1:30" x14ac:dyDescent="0.45">
      <c r="G12" s="23"/>
      <c r="H12" s="24"/>
      <c r="I12" s="24"/>
      <c r="J12" s="35"/>
      <c r="K12" s="36"/>
      <c r="L12" s="36"/>
      <c r="M12" s="38"/>
      <c r="N12" s="38"/>
      <c r="O12" s="38"/>
      <c r="P12" s="38"/>
      <c r="Q12" s="40"/>
      <c r="R12" s="41"/>
      <c r="S12" s="42"/>
      <c r="T12" s="41"/>
      <c r="U12" s="40"/>
      <c r="V12" s="41"/>
      <c r="W12" s="41"/>
      <c r="X12" s="41"/>
      <c r="Z12" s="32"/>
    </row>
    <row r="13" spans="1:30" x14ac:dyDescent="0.45">
      <c r="A13" s="39" t="s">
        <v>261</v>
      </c>
      <c r="G13" s="23"/>
      <c r="H13" s="24"/>
      <c r="I13" s="24"/>
      <c r="J13" s="35"/>
      <c r="K13" s="36"/>
      <c r="L13" s="36"/>
      <c r="M13" s="38"/>
      <c r="N13" s="38"/>
      <c r="O13" s="38"/>
      <c r="P13" s="38"/>
      <c r="Q13" s="40"/>
      <c r="R13" s="41"/>
      <c r="S13" s="42"/>
      <c r="T13" s="41"/>
      <c r="U13" s="40"/>
      <c r="V13" s="41"/>
      <c r="W13" s="41"/>
      <c r="X13" s="41"/>
    </row>
    <row r="14" spans="1:30" x14ac:dyDescent="0.45">
      <c r="A14" t="s">
        <v>137</v>
      </c>
      <c r="B14" s="44">
        <f>100%-GETPIVOTDATA("Epic Remaining Estimate",$AB$4,"ST:Components","Drag &amp; Drop")/GETPIVOTDATA("Epic Total Estimate",$AB$4,"ST:Components","Drag &amp; Drop")</f>
        <v>0.25</v>
      </c>
      <c r="G14" s="23"/>
      <c r="H14" s="24"/>
      <c r="I14" s="24"/>
      <c r="J14" s="35"/>
      <c r="K14" s="36"/>
      <c r="L14" s="36"/>
      <c r="M14" s="38"/>
      <c r="N14" s="38"/>
      <c r="O14" s="38"/>
      <c r="P14" s="38"/>
      <c r="Q14" s="40"/>
      <c r="R14" s="41"/>
      <c r="S14" s="42"/>
      <c r="T14" s="41"/>
      <c r="U14" s="40"/>
      <c r="V14" s="41"/>
      <c r="W14" s="41"/>
      <c r="X14" s="41"/>
    </row>
    <row r="15" spans="1:30" x14ac:dyDescent="0.45">
      <c r="A15" t="s">
        <v>138</v>
      </c>
      <c r="B15" s="30">
        <f>MAX(100%,B14)-B14</f>
        <v>0.75</v>
      </c>
      <c r="G15" s="23"/>
      <c r="H15" s="24"/>
      <c r="I15" s="24"/>
      <c r="J15" s="35"/>
      <c r="K15" s="36"/>
      <c r="L15" s="36"/>
      <c r="M15" s="38"/>
      <c r="N15" s="38"/>
      <c r="O15" s="38"/>
      <c r="P15" s="38"/>
      <c r="Q15" s="40"/>
      <c r="R15" s="41"/>
      <c r="S15" s="42"/>
      <c r="T15" s="41"/>
      <c r="U15" s="40"/>
      <c r="V15" s="41"/>
      <c r="W15" s="41"/>
      <c r="X15" s="41"/>
    </row>
    <row r="16" spans="1:30" x14ac:dyDescent="0.45">
      <c r="G16" s="23"/>
      <c r="H16" s="24"/>
      <c r="I16" s="24"/>
      <c r="J16" s="35"/>
      <c r="K16" s="36"/>
      <c r="L16" s="36"/>
      <c r="M16" s="38"/>
      <c r="N16" s="38"/>
      <c r="O16" s="38"/>
      <c r="P16" s="38"/>
      <c r="Q16" s="40"/>
      <c r="R16" s="41"/>
      <c r="S16" s="42"/>
      <c r="T16" s="41"/>
      <c r="U16" s="40"/>
      <c r="V16" s="41"/>
      <c r="W16" s="41"/>
      <c r="X16" s="41"/>
    </row>
    <row r="17" spans="1:24" x14ac:dyDescent="0.45">
      <c r="A17" s="39" t="s">
        <v>259</v>
      </c>
      <c r="G17" s="23"/>
      <c r="H17" s="24"/>
      <c r="I17" s="24"/>
      <c r="J17" s="35"/>
      <c r="K17" s="36"/>
      <c r="L17" s="36"/>
      <c r="M17" s="38"/>
      <c r="N17" s="38"/>
      <c r="O17" s="38"/>
      <c r="P17" s="38"/>
      <c r="Q17" s="40"/>
      <c r="R17" s="41"/>
      <c r="S17" s="42"/>
      <c r="T17" s="41"/>
      <c r="U17" s="40"/>
      <c r="V17" s="41"/>
      <c r="W17" s="41"/>
      <c r="X17" s="41"/>
    </row>
    <row r="18" spans="1:24" x14ac:dyDescent="0.45">
      <c r="A18" t="s">
        <v>137</v>
      </c>
      <c r="B18" s="44">
        <f>100%-GETPIVOTDATA("Epic Remaining Estimate",$AB$4,"ST:Components","Diagram Editor")/GETPIVOTDATA("Epic Total Estimate",$AB$4,"ST:Components","Diagram Editor")</f>
        <v>0.25</v>
      </c>
      <c r="G18" s="23"/>
      <c r="H18" s="24"/>
      <c r="I18" s="24"/>
      <c r="J18" s="35"/>
      <c r="K18" s="36"/>
      <c r="L18" s="36"/>
      <c r="M18" s="38"/>
      <c r="N18" s="38"/>
      <c r="O18" s="38"/>
      <c r="P18" s="38"/>
      <c r="Q18" s="40"/>
      <c r="R18" s="41"/>
      <c r="S18" s="42"/>
      <c r="T18" s="41"/>
      <c r="U18" s="40"/>
      <c r="V18" s="41"/>
      <c r="W18" s="41"/>
      <c r="X18" s="41"/>
    </row>
    <row r="19" spans="1:24" x14ac:dyDescent="0.45">
      <c r="A19" t="s">
        <v>138</v>
      </c>
      <c r="B19" s="30">
        <f>MAX(100%,B18)-B18</f>
        <v>0.75</v>
      </c>
      <c r="G19" s="23"/>
      <c r="H19" s="24"/>
      <c r="I19" s="24"/>
      <c r="J19" s="35"/>
      <c r="K19" s="36"/>
      <c r="L19" s="36"/>
      <c r="M19" s="38"/>
      <c r="N19" s="38"/>
      <c r="O19" s="38"/>
      <c r="P19" s="38"/>
      <c r="Q19" s="40"/>
      <c r="R19" s="41"/>
      <c r="S19" s="42"/>
      <c r="T19" s="41"/>
      <c r="U19" s="40"/>
      <c r="V19" s="41"/>
      <c r="W19" s="41"/>
      <c r="X19" s="41"/>
    </row>
    <row r="20" spans="1:24" x14ac:dyDescent="0.45">
      <c r="B20" s="30"/>
      <c r="G20" s="23"/>
      <c r="H20" s="24"/>
      <c r="I20" s="24"/>
      <c r="J20" s="35"/>
      <c r="K20" s="36"/>
      <c r="L20" s="36"/>
      <c r="M20" s="38"/>
      <c r="N20" s="38"/>
      <c r="O20" s="38"/>
      <c r="P20" s="38"/>
      <c r="Q20" s="40"/>
      <c r="R20" s="41"/>
      <c r="S20" s="42"/>
      <c r="T20" s="41"/>
      <c r="U20" s="40"/>
      <c r="V20" s="41"/>
      <c r="W20" s="41"/>
      <c r="X20" s="41"/>
    </row>
    <row r="21" spans="1:24" x14ac:dyDescent="0.45">
      <c r="A21" s="39" t="s">
        <v>274</v>
      </c>
      <c r="B21" s="39"/>
    </row>
    <row r="22" spans="1:24" x14ac:dyDescent="0.45">
      <c r="A22" t="s">
        <v>137</v>
      </c>
      <c r="B22" s="44">
        <f ca="1">MAX(NETWORKDAYS($D$3,$E$6,$Z$4:$Z$9)/NETWORKDAYS($D$3,$E$3,$Z$4:$Z$9),0%)</f>
        <v>0.84745762711864403</v>
      </c>
    </row>
    <row r="23" spans="1:24" x14ac:dyDescent="0.45">
      <c r="A23" t="s">
        <v>138</v>
      </c>
      <c r="B23" s="30">
        <f ca="1">MAX(100%,B22)-B22</f>
        <v>0.15254237288135597</v>
      </c>
    </row>
    <row r="24" spans="1:24" x14ac:dyDescent="0.45">
      <c r="D24" s="16" t="s">
        <v>135</v>
      </c>
      <c r="E24" t="s">
        <v>254</v>
      </c>
      <c r="G24" s="16" t="s">
        <v>135</v>
      </c>
      <c r="H24" t="s">
        <v>254</v>
      </c>
      <c r="J24" s="16" t="s">
        <v>135</v>
      </c>
      <c r="K24" t="s">
        <v>254</v>
      </c>
      <c r="P24" t="s">
        <v>224</v>
      </c>
      <c r="Q24" t="s">
        <v>225</v>
      </c>
    </row>
    <row r="25" spans="1:24" x14ac:dyDescent="0.45">
      <c r="A25" s="16" t="s">
        <v>135</v>
      </c>
      <c r="B25" t="s">
        <v>254</v>
      </c>
      <c r="D25" s="16" t="s">
        <v>9</v>
      </c>
      <c r="E25" t="s">
        <v>62</v>
      </c>
      <c r="G25" s="16" t="s">
        <v>9</v>
      </c>
      <c r="H25" t="s">
        <v>62</v>
      </c>
      <c r="J25" s="16" t="s">
        <v>9</v>
      </c>
      <c r="K25" t="s">
        <v>62</v>
      </c>
      <c r="P25" t="s">
        <v>135</v>
      </c>
      <c r="Q25">
        <v>300</v>
      </c>
    </row>
    <row r="26" spans="1:24" x14ac:dyDescent="0.45">
      <c r="A26" s="16" t="s">
        <v>9</v>
      </c>
      <c r="B26" t="s">
        <v>62</v>
      </c>
      <c r="C26" s="37"/>
      <c r="D26" s="16" t="s">
        <v>20</v>
      </c>
      <c r="E26" t="s">
        <v>260</v>
      </c>
      <c r="G26" s="16" t="s">
        <v>20</v>
      </c>
      <c r="H26" t="s">
        <v>261</v>
      </c>
      <c r="J26" s="16" t="s">
        <v>20</v>
      </c>
      <c r="K26" t="s">
        <v>178</v>
      </c>
      <c r="P26" t="s">
        <v>260</v>
      </c>
      <c r="Q26">
        <v>115</v>
      </c>
    </row>
    <row r="27" spans="1:24" x14ac:dyDescent="0.45">
      <c r="A27" s="16" t="s">
        <v>251</v>
      </c>
      <c r="B27" t="s">
        <v>221</v>
      </c>
      <c r="D27" s="16" t="s">
        <v>251</v>
      </c>
      <c r="E27" t="s">
        <v>221</v>
      </c>
      <c r="G27" s="16" t="s">
        <v>251</v>
      </c>
      <c r="H27" t="s">
        <v>221</v>
      </c>
      <c r="J27" s="16" t="s">
        <v>251</v>
      </c>
      <c r="K27" t="s">
        <v>221</v>
      </c>
      <c r="P27" t="s">
        <v>261</v>
      </c>
      <c r="Q27">
        <v>60</v>
      </c>
    </row>
    <row r="28" spans="1:24" x14ac:dyDescent="0.45">
      <c r="L28" s="16"/>
      <c r="M28" s="16"/>
      <c r="N28" s="16"/>
      <c r="O28" s="16"/>
      <c r="P28" s="16" t="s">
        <v>259</v>
      </c>
      <c r="Q28" s="16">
        <v>30</v>
      </c>
    </row>
    <row r="29" spans="1:24" x14ac:dyDescent="0.45">
      <c r="A29" s="16" t="s">
        <v>173</v>
      </c>
      <c r="D29" s="16" t="s">
        <v>173</v>
      </c>
      <c r="G29" s="16" t="s">
        <v>173</v>
      </c>
      <c r="J29" s="16" t="s">
        <v>173</v>
      </c>
    </row>
    <row r="30" spans="1:24" x14ac:dyDescent="0.45">
      <c r="A30" s="17" t="s">
        <v>174</v>
      </c>
      <c r="B30" s="20">
        <v>1550.125</v>
      </c>
      <c r="D30" s="17" t="s">
        <v>174</v>
      </c>
      <c r="E30" s="20">
        <v>50</v>
      </c>
      <c r="G30" s="17" t="s">
        <v>174</v>
      </c>
      <c r="H30" s="20">
        <v>50</v>
      </c>
      <c r="J30" s="17" t="s">
        <v>174</v>
      </c>
      <c r="K30" s="20">
        <v>50</v>
      </c>
    </row>
    <row r="31" spans="1:24" x14ac:dyDescent="0.45">
      <c r="A31" s="17" t="s">
        <v>175</v>
      </c>
      <c r="B31" s="20">
        <v>120</v>
      </c>
      <c r="D31" s="17" t="s">
        <v>175</v>
      </c>
      <c r="E31" s="20">
        <v>40</v>
      </c>
      <c r="G31" s="17" t="s">
        <v>175</v>
      </c>
      <c r="H31" s="20">
        <v>40</v>
      </c>
      <c r="J31" s="17" t="s">
        <v>175</v>
      </c>
      <c r="K31" s="20">
        <v>40</v>
      </c>
    </row>
    <row r="32" spans="1:24" x14ac:dyDescent="0.45">
      <c r="A32" s="17" t="s">
        <v>148</v>
      </c>
      <c r="B32" s="20">
        <v>180</v>
      </c>
      <c r="D32" s="17" t="s">
        <v>148</v>
      </c>
      <c r="E32" s="20">
        <v>60</v>
      </c>
      <c r="G32" s="17" t="s">
        <v>148</v>
      </c>
      <c r="H32" s="20">
        <v>60</v>
      </c>
      <c r="J32" s="17" t="s">
        <v>148</v>
      </c>
      <c r="K32" s="20">
        <v>60</v>
      </c>
    </row>
    <row r="33" spans="1:11" x14ac:dyDescent="0.45">
      <c r="A33" s="17" t="s">
        <v>176</v>
      </c>
      <c r="B33" s="20">
        <v>90</v>
      </c>
      <c r="D33" s="17" t="s">
        <v>176</v>
      </c>
      <c r="E33" s="20">
        <v>30</v>
      </c>
      <c r="G33" s="17" t="s">
        <v>176</v>
      </c>
      <c r="H33" s="20">
        <v>30</v>
      </c>
      <c r="J33" s="17" t="s">
        <v>176</v>
      </c>
      <c r="K33" s="20">
        <v>30</v>
      </c>
    </row>
    <row r="34" spans="1:11" x14ac:dyDescent="0.45">
      <c r="A34" s="17" t="s">
        <v>177</v>
      </c>
      <c r="B34" s="20">
        <v>1460.125</v>
      </c>
      <c r="D34" s="17" t="s">
        <v>177</v>
      </c>
      <c r="E34" s="20">
        <v>20</v>
      </c>
      <c r="G34" s="17" t="s">
        <v>177</v>
      </c>
      <c r="H34" s="20">
        <v>20</v>
      </c>
      <c r="J34" s="17" t="s">
        <v>177</v>
      </c>
      <c r="K34" s="20">
        <v>20</v>
      </c>
    </row>
    <row r="35" spans="1:11" x14ac:dyDescent="0.45">
      <c r="A35" s="17"/>
      <c r="B35" s="20"/>
      <c r="D35" s="17"/>
      <c r="E35" s="20"/>
      <c r="G35" s="17"/>
      <c r="H35" s="20"/>
      <c r="J35" s="17"/>
      <c r="K35" s="20"/>
    </row>
    <row r="36" spans="1:11" x14ac:dyDescent="0.45">
      <c r="A36" s="16" t="s">
        <v>135</v>
      </c>
      <c r="B36" t="s">
        <v>254</v>
      </c>
    </row>
    <row r="37" spans="1:11" x14ac:dyDescent="0.45">
      <c r="A37" s="16" t="s">
        <v>9</v>
      </c>
      <c r="B37" t="s">
        <v>62</v>
      </c>
      <c r="D37" s="16" t="s">
        <v>135</v>
      </c>
      <c r="E37" t="s">
        <v>254</v>
      </c>
      <c r="G37" s="16" t="s">
        <v>135</v>
      </c>
      <c r="H37" t="s">
        <v>254</v>
      </c>
      <c r="J37" s="16" t="s">
        <v>135</v>
      </c>
      <c r="K37" t="s">
        <v>254</v>
      </c>
    </row>
    <row r="38" spans="1:11" x14ac:dyDescent="0.45">
      <c r="A38" s="16" t="s">
        <v>251</v>
      </c>
      <c r="B38" t="s">
        <v>221</v>
      </c>
      <c r="D38" s="16" t="s">
        <v>9</v>
      </c>
      <c r="E38" t="s">
        <v>62</v>
      </c>
      <c r="G38" s="16" t="s">
        <v>9</v>
      </c>
      <c r="H38" t="s">
        <v>62</v>
      </c>
      <c r="J38" s="16" t="s">
        <v>9</v>
      </c>
      <c r="K38" t="s">
        <v>62</v>
      </c>
    </row>
    <row r="39" spans="1:11" x14ac:dyDescent="0.45">
      <c r="D39" s="16" t="s">
        <v>20</v>
      </c>
      <c r="E39" t="s">
        <v>260</v>
      </c>
      <c r="G39" s="16" t="s">
        <v>20</v>
      </c>
      <c r="H39" t="s">
        <v>261</v>
      </c>
      <c r="J39" s="16" t="s">
        <v>20</v>
      </c>
      <c r="K39" t="s">
        <v>178</v>
      </c>
    </row>
    <row r="40" spans="1:11" x14ac:dyDescent="0.45">
      <c r="A40" t="s">
        <v>112</v>
      </c>
    </row>
    <row r="41" spans="1:11" x14ac:dyDescent="0.45">
      <c r="A41" s="20">
        <v>2000.125</v>
      </c>
      <c r="B41">
        <f>SUM(B30:B34)</f>
        <v>3400.25</v>
      </c>
      <c r="D41" t="s">
        <v>112</v>
      </c>
      <c r="G41" t="s">
        <v>112</v>
      </c>
      <c r="J41" t="s">
        <v>112</v>
      </c>
    </row>
    <row r="42" spans="1:11" x14ac:dyDescent="0.45">
      <c r="D42" s="20">
        <v>200</v>
      </c>
      <c r="E42">
        <f>SUM(E30:E34)</f>
        <v>200</v>
      </c>
      <c r="G42" s="20">
        <v>200</v>
      </c>
      <c r="H42">
        <f>SUM(H30:H34)</f>
        <v>200</v>
      </c>
      <c r="J42" s="20">
        <v>200</v>
      </c>
      <c r="K42">
        <f>SUM(K30:K34)</f>
        <v>200</v>
      </c>
    </row>
    <row r="43" spans="1:11" x14ac:dyDescent="0.45">
      <c r="D43" s="20"/>
      <c r="G43" s="20"/>
    </row>
    <row r="44" spans="1:11" x14ac:dyDescent="0.45">
      <c r="D44" s="20"/>
      <c r="G44" s="20"/>
    </row>
    <row r="45" spans="1:11" x14ac:dyDescent="0.45">
      <c r="D45" s="20"/>
      <c r="G45" s="20"/>
    </row>
    <row r="46" spans="1:11" x14ac:dyDescent="0.45">
      <c r="D46" s="20"/>
      <c r="G46" s="20"/>
    </row>
    <row r="47" spans="1:11" x14ac:dyDescent="0.45">
      <c r="D47" s="20"/>
      <c r="G47" s="20"/>
    </row>
    <row r="48" spans="1:11" x14ac:dyDescent="0.45">
      <c r="D48" s="20"/>
      <c r="G48" s="20"/>
    </row>
    <row r="49" spans="1:7" x14ac:dyDescent="0.45">
      <c r="D49" s="20"/>
      <c r="E49" s="16" t="s">
        <v>9</v>
      </c>
      <c r="F49" t="s">
        <v>58</v>
      </c>
      <c r="G49" s="20"/>
    </row>
    <row r="50" spans="1:7" x14ac:dyDescent="0.45">
      <c r="A50" s="16" t="s">
        <v>9</v>
      </c>
      <c r="B50" t="s">
        <v>62</v>
      </c>
    </row>
    <row r="51" spans="1:7" x14ac:dyDescent="0.45">
      <c r="A51" s="16" t="s">
        <v>135</v>
      </c>
      <c r="B51" t="s">
        <v>254</v>
      </c>
      <c r="E51" s="16" t="s">
        <v>140</v>
      </c>
      <c r="F51" t="s">
        <v>144</v>
      </c>
    </row>
    <row r="52" spans="1:7" x14ac:dyDescent="0.45">
      <c r="A52" s="16" t="s">
        <v>251</v>
      </c>
      <c r="B52" t="s">
        <v>221</v>
      </c>
      <c r="E52" s="17" t="s">
        <v>244</v>
      </c>
      <c r="F52" s="20">
        <v>10</v>
      </c>
    </row>
    <row r="53" spans="1:7" x14ac:dyDescent="0.45">
      <c r="E53" s="17" t="s">
        <v>246</v>
      </c>
      <c r="F53" s="20">
        <v>10</v>
      </c>
    </row>
    <row r="54" spans="1:7" x14ac:dyDescent="0.45">
      <c r="A54" s="16" t="s">
        <v>140</v>
      </c>
      <c r="B54" t="s">
        <v>112</v>
      </c>
      <c r="E54" s="17" t="s">
        <v>247</v>
      </c>
      <c r="F54" s="20">
        <v>10</v>
      </c>
    </row>
    <row r="55" spans="1:7" x14ac:dyDescent="0.45">
      <c r="A55" s="17" t="s">
        <v>260</v>
      </c>
      <c r="B55" s="20">
        <v>600</v>
      </c>
      <c r="E55" s="17" t="s">
        <v>248</v>
      </c>
      <c r="F55" s="20">
        <v>10</v>
      </c>
    </row>
    <row r="56" spans="1:7" x14ac:dyDescent="0.45">
      <c r="A56" s="17" t="s">
        <v>261</v>
      </c>
      <c r="B56" s="20">
        <v>200</v>
      </c>
      <c r="E56" s="17" t="s">
        <v>249</v>
      </c>
      <c r="F56" s="20">
        <v>10</v>
      </c>
    </row>
    <row r="57" spans="1:7" x14ac:dyDescent="0.45">
      <c r="A57" s="17" t="s">
        <v>259</v>
      </c>
      <c r="B57" s="20">
        <v>400</v>
      </c>
      <c r="E57" s="17" t="s">
        <v>245</v>
      </c>
      <c r="F57" s="20">
        <v>10</v>
      </c>
    </row>
    <row r="58" spans="1:7" x14ac:dyDescent="0.45">
      <c r="A58" s="17" t="s">
        <v>241</v>
      </c>
      <c r="B58" s="20">
        <v>200.125</v>
      </c>
      <c r="E58" s="17" t="s">
        <v>250</v>
      </c>
      <c r="F58" s="20">
        <v>10</v>
      </c>
    </row>
    <row r="59" spans="1:7" x14ac:dyDescent="0.45">
      <c r="A59" s="17" t="s">
        <v>187</v>
      </c>
      <c r="B59" s="20">
        <v>200</v>
      </c>
      <c r="E59" s="17" t="s">
        <v>186</v>
      </c>
      <c r="F59" s="20"/>
    </row>
    <row r="60" spans="1:7" x14ac:dyDescent="0.45">
      <c r="A60" s="17" t="s">
        <v>58</v>
      </c>
      <c r="B60" s="20">
        <v>200</v>
      </c>
      <c r="E60" s="17" t="s">
        <v>50</v>
      </c>
      <c r="F60" s="20">
        <v>70</v>
      </c>
    </row>
    <row r="61" spans="1:7" x14ac:dyDescent="0.45">
      <c r="A61" s="17" t="s">
        <v>188</v>
      </c>
      <c r="B61" s="20">
        <v>200</v>
      </c>
    </row>
    <row r="62" spans="1:7" x14ac:dyDescent="0.45">
      <c r="A62" s="17" t="s">
        <v>50</v>
      </c>
      <c r="B62" s="20">
        <v>2000.125</v>
      </c>
    </row>
    <row r="66" spans="2:6" x14ac:dyDescent="0.45">
      <c r="B66">
        <f>GETPIVOTDATA("Epic Total Estimate",$A$54)</f>
        <v>2000.125</v>
      </c>
      <c r="F66">
        <f>GETPIVOTDATA("Story Points",$E$51)</f>
        <v>70</v>
      </c>
    </row>
  </sheetData>
  <mergeCells count="4">
    <mergeCell ref="Q1:R1"/>
    <mergeCell ref="S1:T1"/>
    <mergeCell ref="U1:V1"/>
    <mergeCell ref="W1:X1"/>
  </mergeCells>
  <conditionalFormatting sqref="B41">
    <cfRule type="cellIs" dxfId="15" priority="4" operator="notEqual">
      <formula>$A$41</formula>
    </cfRule>
  </conditionalFormatting>
  <conditionalFormatting sqref="E42">
    <cfRule type="cellIs" dxfId="14" priority="3" operator="notEqual">
      <formula>$D$42</formula>
    </cfRule>
  </conditionalFormatting>
  <conditionalFormatting sqref="H42">
    <cfRule type="cellIs" dxfId="13" priority="2" operator="notEqual">
      <formula>$G$42</formula>
    </cfRule>
  </conditionalFormatting>
  <conditionalFormatting sqref="K42">
    <cfRule type="cellIs" dxfId="12" priority="1" operator="notEqual">
      <formula>$J$42</formula>
    </cfRule>
  </conditionalFormatting>
  <pageMargins left="0.7" right="0.7" top="0.75" bottom="0.75" header="0.3" footer="0.3"/>
  <pageSetup orientation="portrait" r:id="rId12"/>
  <tableParts count="3">
    <tablePart r:id="rId13"/>
    <tablePart r:id="rId14"/>
    <tablePart r:id="rId1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C1"/>
    </sheetView>
  </sheetViews>
  <sheetFormatPr defaultRowHeight="14.25" x14ac:dyDescent="0.45"/>
  <cols>
    <col min="1" max="1" width="7.19921875" customWidth="1"/>
    <col min="2" max="2" width="10.19921875" customWidth="1"/>
    <col min="3" max="3" width="9.9296875" customWidth="1"/>
    <col min="4" max="4" width="8.06640625" style="61" customWidth="1"/>
    <col min="5" max="5" width="8.06640625" style="63" customWidth="1"/>
    <col min="6" max="6" width="11.3984375" customWidth="1"/>
    <col min="7" max="7" width="11.33203125" customWidth="1"/>
    <col min="8" max="8" width="10" customWidth="1"/>
    <col min="9" max="9" width="9.33203125" customWidth="1"/>
    <col min="10" max="10" width="12.53125" customWidth="1"/>
    <col min="11" max="11" width="12.19921875" customWidth="1"/>
    <col min="12" max="12" width="9.06640625" style="47"/>
    <col min="13" max="13" width="9.06640625" style="63"/>
    <col min="14" max="15" width="11.3984375" customWidth="1"/>
    <col min="16" max="16" width="10.3984375" customWidth="1"/>
    <col min="17" max="17" width="9.9296875" customWidth="1"/>
    <col min="18" max="18" width="12.6640625" customWidth="1"/>
    <col min="19" max="19" width="12.33203125" customWidth="1"/>
    <col min="20" max="20" width="8" style="61" customWidth="1"/>
    <col min="21" max="21" width="8" style="63" customWidth="1"/>
    <col min="22" max="22" width="11.265625" customWidth="1"/>
    <col min="23" max="23" width="12.19921875" customWidth="1"/>
    <col min="24" max="24" width="12.265625" customWidth="1"/>
    <col min="25" max="25" width="12.3984375" customWidth="1"/>
    <col min="26" max="26" width="12.73046875" customWidth="1"/>
    <col min="27" max="27" width="12.33203125" customWidth="1"/>
    <col min="28" max="28" width="8" style="61" customWidth="1"/>
    <col min="29" max="29" width="8" style="63" customWidth="1"/>
    <col min="30" max="30" width="11.265625" customWidth="1"/>
    <col min="31" max="31" width="12.19921875" customWidth="1"/>
    <col min="32" max="32" width="12.265625" customWidth="1"/>
    <col min="33" max="33" width="12.3984375" customWidth="1"/>
    <col min="34" max="34" width="12.73046875" customWidth="1"/>
    <col min="35" max="35" width="12.33203125" customWidth="1"/>
    <col min="36" max="36" width="9.06640625" style="47"/>
    <col min="38" max="38" width="12.59765625" bestFit="1" customWidth="1"/>
    <col min="39" max="39" width="22.46484375" bestFit="1" customWidth="1"/>
    <col min="40" max="40" width="20.19921875" bestFit="1" customWidth="1"/>
    <col min="41" max="41" width="21.53125" bestFit="1" customWidth="1"/>
    <col min="42" max="43" width="27.06640625" bestFit="1" customWidth="1"/>
    <col min="44" max="44" width="24.796875" bestFit="1" customWidth="1"/>
    <col min="45" max="45" width="26.1328125" bestFit="1" customWidth="1"/>
    <col min="46" max="46" width="31.6640625" bestFit="1" customWidth="1"/>
  </cols>
  <sheetData>
    <row r="1" spans="1:42" x14ac:dyDescent="0.45">
      <c r="A1" s="80"/>
      <c r="B1" s="80"/>
      <c r="C1" s="80"/>
      <c r="D1" s="81" t="s">
        <v>135</v>
      </c>
      <c r="E1" s="81"/>
      <c r="F1" s="81"/>
      <c r="G1" s="81"/>
      <c r="H1" s="81"/>
      <c r="I1" s="81"/>
      <c r="J1" s="81"/>
      <c r="K1" s="81"/>
      <c r="L1" s="81" t="s">
        <v>260</v>
      </c>
      <c r="M1" s="81"/>
      <c r="N1" s="81"/>
      <c r="O1" s="81"/>
      <c r="P1" s="81"/>
      <c r="Q1" s="81"/>
      <c r="R1" s="81"/>
      <c r="S1" s="81"/>
      <c r="T1" s="81" t="s">
        <v>261</v>
      </c>
      <c r="U1" s="81"/>
      <c r="V1" s="81"/>
      <c r="W1" s="81"/>
      <c r="X1" s="81"/>
      <c r="Y1" s="81"/>
      <c r="Z1" s="81"/>
      <c r="AA1" s="81"/>
      <c r="AB1" s="81" t="s">
        <v>259</v>
      </c>
      <c r="AC1" s="81"/>
      <c r="AD1" s="81"/>
      <c r="AE1" s="81"/>
      <c r="AF1" s="81"/>
      <c r="AG1" s="81"/>
      <c r="AH1" s="81"/>
      <c r="AI1" s="81"/>
    </row>
    <row r="2" spans="1:42" s="55" customFormat="1" ht="42.75" x14ac:dyDescent="0.45">
      <c r="A2" s="48" t="s">
        <v>190</v>
      </c>
      <c r="B2" s="48" t="s">
        <v>124</v>
      </c>
      <c r="C2" s="48" t="s">
        <v>125</v>
      </c>
      <c r="D2" s="49" t="s">
        <v>205</v>
      </c>
      <c r="E2" s="50" t="s">
        <v>206</v>
      </c>
      <c r="F2" s="51" t="s">
        <v>117</v>
      </c>
      <c r="G2" s="51" t="s">
        <v>207</v>
      </c>
      <c r="H2" s="51" t="s">
        <v>208</v>
      </c>
      <c r="I2" s="51" t="s">
        <v>209</v>
      </c>
      <c r="J2" s="51" t="s">
        <v>210</v>
      </c>
      <c r="K2" s="52" t="s">
        <v>211</v>
      </c>
      <c r="L2" s="49" t="s">
        <v>205</v>
      </c>
      <c r="M2" s="50" t="s">
        <v>206</v>
      </c>
      <c r="N2" s="51" t="s">
        <v>117</v>
      </c>
      <c r="O2" s="51" t="s">
        <v>207</v>
      </c>
      <c r="P2" s="51" t="s">
        <v>208</v>
      </c>
      <c r="Q2" s="51" t="s">
        <v>209</v>
      </c>
      <c r="R2" s="51" t="s">
        <v>210</v>
      </c>
      <c r="S2" s="52" t="s">
        <v>211</v>
      </c>
      <c r="T2" s="53" t="s">
        <v>205</v>
      </c>
      <c r="U2" s="50" t="s">
        <v>206</v>
      </c>
      <c r="V2" s="51" t="s">
        <v>117</v>
      </c>
      <c r="W2" s="51" t="s">
        <v>207</v>
      </c>
      <c r="X2" s="51" t="s">
        <v>208</v>
      </c>
      <c r="Y2" s="51" t="s">
        <v>209</v>
      </c>
      <c r="Z2" s="51" t="s">
        <v>210</v>
      </c>
      <c r="AA2" s="52" t="s">
        <v>211</v>
      </c>
      <c r="AB2" s="53" t="s">
        <v>205</v>
      </c>
      <c r="AC2" s="50" t="s">
        <v>206</v>
      </c>
      <c r="AD2" s="51" t="s">
        <v>117</v>
      </c>
      <c r="AE2" s="51" t="s">
        <v>207</v>
      </c>
      <c r="AF2" s="51" t="s">
        <v>208</v>
      </c>
      <c r="AG2" s="51" t="s">
        <v>209</v>
      </c>
      <c r="AH2" s="51" t="s">
        <v>210</v>
      </c>
      <c r="AI2" s="52" t="s">
        <v>211</v>
      </c>
      <c r="AJ2" s="54"/>
    </row>
    <row r="3" spans="1:42" x14ac:dyDescent="0.45">
      <c r="B3" s="56"/>
      <c r="C3" s="56"/>
      <c r="D3" s="57">
        <v>295</v>
      </c>
      <c r="E3" s="58">
        <f>_ReleaseData!$Q$25</f>
        <v>300</v>
      </c>
      <c r="F3" s="40">
        <v>291</v>
      </c>
      <c r="G3" s="40">
        <v>192</v>
      </c>
      <c r="H3" s="40">
        <f t="shared" ref="H3:H4" si="0">D3-I3</f>
        <v>11.5</v>
      </c>
      <c r="I3" s="40">
        <v>283.5</v>
      </c>
      <c r="J3" s="33">
        <f t="shared" ref="J3" si="1" xml:space="preserve"> G3/D3</f>
        <v>0.6508474576271186</v>
      </c>
      <c r="K3" s="33">
        <f t="shared" ref="K3" si="2" xml:space="preserve"> H3/D3</f>
        <v>3.898305084745763E-2</v>
      </c>
      <c r="L3" s="59">
        <v>129</v>
      </c>
      <c r="M3" s="58">
        <f>_ReleaseData!$Q$26</f>
        <v>115</v>
      </c>
      <c r="N3" s="40">
        <v>125</v>
      </c>
      <c r="O3" s="40">
        <v>54</v>
      </c>
      <c r="P3" s="40">
        <f t="shared" ref="P3" si="3">L3-Q3</f>
        <v>3</v>
      </c>
      <c r="Q3" s="40">
        <v>126</v>
      </c>
      <c r="R3" s="33">
        <f t="shared" ref="R3" si="4" xml:space="preserve"> O3/L3</f>
        <v>0.41860465116279072</v>
      </c>
      <c r="S3" s="33">
        <f t="shared" ref="S3" si="5" xml:space="preserve"> P3/L3</f>
        <v>2.3255813953488372E-2</v>
      </c>
      <c r="T3" s="57">
        <v>60</v>
      </c>
      <c r="U3" s="58">
        <f>_ReleaseData!$Q$27</f>
        <v>60</v>
      </c>
      <c r="V3" s="40">
        <v>60</v>
      </c>
      <c r="W3" s="40">
        <v>57</v>
      </c>
      <c r="X3" s="40">
        <f t="shared" ref="X3:X4" si="6">T3-Y3</f>
        <v>7</v>
      </c>
      <c r="Y3" s="40">
        <v>53</v>
      </c>
      <c r="Z3" s="33">
        <f t="shared" ref="Z3" si="7" xml:space="preserve"> W3/T3</f>
        <v>0.95</v>
      </c>
      <c r="AA3" s="33">
        <f t="shared" ref="AA3" si="8">X3/T3</f>
        <v>0.11666666666666667</v>
      </c>
      <c r="AB3" s="57">
        <v>43</v>
      </c>
      <c r="AC3" s="58">
        <f>_ReleaseData!$Q$28</f>
        <v>30</v>
      </c>
      <c r="AD3" s="40">
        <v>43</v>
      </c>
      <c r="AE3" s="40">
        <v>22</v>
      </c>
      <c r="AF3" s="40">
        <f t="shared" ref="AF3" si="9">AB3-AG3</f>
        <v>1.5</v>
      </c>
      <c r="AG3" s="40">
        <v>41.5</v>
      </c>
      <c r="AH3" s="33">
        <f t="shared" ref="AH3" si="10" xml:space="preserve"> AE3/AB3</f>
        <v>0.51162790697674421</v>
      </c>
      <c r="AI3" s="33">
        <f t="shared" ref="AI3" si="11">AF3/AB3</f>
        <v>3.4883720930232558E-2</v>
      </c>
    </row>
    <row r="4" spans="1:42" x14ac:dyDescent="0.45">
      <c r="A4" t="s">
        <v>262</v>
      </c>
      <c r="B4" s="60">
        <v>43495</v>
      </c>
      <c r="C4" s="60">
        <v>43508</v>
      </c>
      <c r="D4" s="57">
        <v>323</v>
      </c>
      <c r="E4" s="58">
        <f>_ReleaseData!$Q$25</f>
        <v>300</v>
      </c>
      <c r="F4" s="40">
        <v>318</v>
      </c>
      <c r="G4" s="40">
        <v>267.5</v>
      </c>
      <c r="H4" s="40">
        <f t="shared" si="0"/>
        <v>60</v>
      </c>
      <c r="I4" s="40">
        <v>263</v>
      </c>
      <c r="J4" s="33">
        <f t="shared" ref="J4" si="12" xml:space="preserve"> G4/D4</f>
        <v>0.82817337461300311</v>
      </c>
      <c r="K4" s="33">
        <f t="shared" ref="K4" si="13" xml:space="preserve"> H4/D4</f>
        <v>0.18575851393188855</v>
      </c>
      <c r="L4" s="59">
        <v>110</v>
      </c>
      <c r="M4" s="58">
        <f>_ReleaseData!$Q$26</f>
        <v>115</v>
      </c>
      <c r="N4" s="40">
        <v>110</v>
      </c>
      <c r="O4" s="40">
        <v>81</v>
      </c>
      <c r="P4" s="40">
        <f t="shared" ref="P4" si="14">L4-Q4</f>
        <v>37</v>
      </c>
      <c r="Q4" s="40">
        <v>73</v>
      </c>
      <c r="R4" s="33">
        <f t="shared" ref="R4" si="15" xml:space="preserve"> O4/L4</f>
        <v>0.73636363636363633</v>
      </c>
      <c r="S4" s="33">
        <f t="shared" ref="S4" si="16" xml:space="preserve"> P4/L4</f>
        <v>0.33636363636363636</v>
      </c>
      <c r="T4" s="57">
        <v>79</v>
      </c>
      <c r="U4" s="58">
        <f>_ReleaseData!$Q$27</f>
        <v>60</v>
      </c>
      <c r="V4" s="40">
        <v>79</v>
      </c>
      <c r="W4" s="40">
        <v>79</v>
      </c>
      <c r="X4" s="40">
        <f t="shared" si="6"/>
        <v>16</v>
      </c>
      <c r="Y4" s="40">
        <v>63</v>
      </c>
      <c r="Z4" s="33">
        <f t="shared" ref="Z4" si="17" xml:space="preserve"> W4/T4</f>
        <v>1</v>
      </c>
      <c r="AA4" s="33">
        <f t="shared" ref="AA4" si="18">X4/T4</f>
        <v>0.20253164556962025</v>
      </c>
      <c r="AB4" s="57">
        <v>47</v>
      </c>
      <c r="AC4" s="58">
        <f>_ReleaseData!$Q$28</f>
        <v>30</v>
      </c>
      <c r="AD4" s="40">
        <v>47</v>
      </c>
      <c r="AE4" s="40">
        <v>29</v>
      </c>
      <c r="AF4" s="40">
        <f t="shared" ref="AF4" si="19">AB4-AG4</f>
        <v>3</v>
      </c>
      <c r="AG4" s="40">
        <v>44</v>
      </c>
      <c r="AH4" s="33">
        <f t="shared" ref="AH4" si="20" xml:space="preserve"> AE4/AB4</f>
        <v>0.61702127659574468</v>
      </c>
      <c r="AI4" s="33">
        <f t="shared" ref="AI4" si="21">AF4/AB4</f>
        <v>6.3829787234042548E-2</v>
      </c>
    </row>
    <row r="5" spans="1:42" x14ac:dyDescent="0.45">
      <c r="A5" t="s">
        <v>263</v>
      </c>
      <c r="B5" s="60">
        <v>43509</v>
      </c>
      <c r="C5" s="60">
        <v>43522</v>
      </c>
      <c r="D5" s="57">
        <v>323.5</v>
      </c>
      <c r="E5" s="58">
        <f>_ReleaseData!$Q$25</f>
        <v>300</v>
      </c>
      <c r="F5" s="40">
        <v>323.5</v>
      </c>
      <c r="G5" s="40">
        <v>301.5</v>
      </c>
      <c r="H5" s="40">
        <f t="shared" ref="H5" si="22">D5-I5</f>
        <v>141</v>
      </c>
      <c r="I5" s="40">
        <v>182.5</v>
      </c>
      <c r="J5" s="33">
        <f t="shared" ref="J5" si="23" xml:space="preserve"> G5/D5</f>
        <v>0.93199381761978362</v>
      </c>
      <c r="K5" s="33">
        <f t="shared" ref="K5" si="24" xml:space="preserve"> H5/D5</f>
        <v>0.43585780525502316</v>
      </c>
      <c r="L5" s="59">
        <v>111</v>
      </c>
      <c r="M5" s="58">
        <f>_ReleaseData!$Q$26</f>
        <v>115</v>
      </c>
      <c r="N5" s="40">
        <v>111</v>
      </c>
      <c r="O5" s="40">
        <v>106</v>
      </c>
      <c r="P5" s="40">
        <f t="shared" ref="P5" si="25">L5-Q5</f>
        <v>72</v>
      </c>
      <c r="Q5" s="40">
        <v>39</v>
      </c>
      <c r="R5" s="33">
        <f t="shared" ref="R5" si="26" xml:space="preserve"> O5/L5</f>
        <v>0.95495495495495497</v>
      </c>
      <c r="S5" s="33">
        <f t="shared" ref="S5" si="27" xml:space="preserve"> P5/L5</f>
        <v>0.64864864864864868</v>
      </c>
      <c r="T5" s="57">
        <v>79</v>
      </c>
      <c r="U5" s="58">
        <f>_ReleaseData!$Q$27</f>
        <v>60</v>
      </c>
      <c r="V5" s="40">
        <v>79</v>
      </c>
      <c r="W5" s="40">
        <v>79</v>
      </c>
      <c r="X5" s="40">
        <f t="shared" ref="X5" si="28">T5-Y5</f>
        <v>45</v>
      </c>
      <c r="Y5" s="40">
        <v>34</v>
      </c>
      <c r="Z5" s="33">
        <f t="shared" ref="Z5" si="29" xml:space="preserve"> W5/T5</f>
        <v>1</v>
      </c>
      <c r="AA5" s="33">
        <f t="shared" ref="AA5" si="30">X5/T5</f>
        <v>0.569620253164557</v>
      </c>
      <c r="AB5" s="57">
        <v>47</v>
      </c>
      <c r="AC5" s="58">
        <f>_ReleaseData!$Q$28</f>
        <v>30</v>
      </c>
      <c r="AD5" s="40">
        <v>47</v>
      </c>
      <c r="AE5" s="40">
        <v>30</v>
      </c>
      <c r="AF5" s="40">
        <f t="shared" ref="AF5" si="31">AB5-AG5</f>
        <v>8</v>
      </c>
      <c r="AG5" s="40">
        <v>39</v>
      </c>
      <c r="AH5" s="33">
        <f t="shared" ref="AH5" si="32" xml:space="preserve"> AE5/AB5</f>
        <v>0.63829787234042556</v>
      </c>
      <c r="AI5" s="33">
        <f t="shared" ref="AI5" si="33">AF5/AB5</f>
        <v>0.1702127659574468</v>
      </c>
    </row>
    <row r="6" spans="1:42" x14ac:dyDescent="0.45">
      <c r="A6" t="s">
        <v>264</v>
      </c>
      <c r="B6" s="60">
        <v>43523</v>
      </c>
      <c r="C6" s="60">
        <v>43536</v>
      </c>
      <c r="D6" s="57">
        <v>328.5</v>
      </c>
      <c r="E6" s="58">
        <f>_ReleaseData!$Q$25</f>
        <v>300</v>
      </c>
      <c r="F6" s="40">
        <v>328.5</v>
      </c>
      <c r="G6" s="40">
        <v>306.5</v>
      </c>
      <c r="H6" s="40">
        <f t="shared" ref="H6" si="34">D6-I6</f>
        <v>185</v>
      </c>
      <c r="I6" s="40">
        <v>143.5</v>
      </c>
      <c r="J6" s="33">
        <f t="shared" ref="J6" si="35" xml:space="preserve"> G6/D6</f>
        <v>0.9330289193302892</v>
      </c>
      <c r="K6" s="33">
        <f t="shared" ref="K6" si="36" xml:space="preserve"> H6/D6</f>
        <v>0.56316590563165903</v>
      </c>
      <c r="L6" s="59">
        <v>117</v>
      </c>
      <c r="M6" s="58">
        <f>_ReleaseData!$Q$26</f>
        <v>115</v>
      </c>
      <c r="N6" s="40">
        <v>117</v>
      </c>
      <c r="O6" s="40">
        <v>112</v>
      </c>
      <c r="P6" s="40">
        <f t="shared" ref="P6" si="37">L6-Q6</f>
        <v>81</v>
      </c>
      <c r="Q6" s="40">
        <v>36</v>
      </c>
      <c r="R6" s="33">
        <f t="shared" ref="R6" si="38" xml:space="preserve"> O6/L6</f>
        <v>0.95726495726495731</v>
      </c>
      <c r="S6" s="33">
        <f t="shared" ref="S6" si="39" xml:space="preserve"> P6/L6</f>
        <v>0.69230769230769229</v>
      </c>
      <c r="T6" s="57">
        <v>79</v>
      </c>
      <c r="U6" s="58">
        <f>_ReleaseData!$Q$27</f>
        <v>60</v>
      </c>
      <c r="V6" s="40">
        <v>79</v>
      </c>
      <c r="W6" s="40">
        <v>79</v>
      </c>
      <c r="X6" s="40">
        <f t="shared" ref="X6" si="40">T6-Y6</f>
        <v>58</v>
      </c>
      <c r="Y6" s="40">
        <v>21</v>
      </c>
      <c r="Z6" s="33">
        <f t="shared" ref="Z6" si="41" xml:space="preserve"> W6/T6</f>
        <v>1</v>
      </c>
      <c r="AA6" s="33">
        <f t="shared" ref="AA6" si="42">X6/T6</f>
        <v>0.73417721518987344</v>
      </c>
      <c r="AB6" s="57">
        <v>46</v>
      </c>
      <c r="AC6" s="58">
        <f>_ReleaseData!$Q$28</f>
        <v>30</v>
      </c>
      <c r="AD6" s="40">
        <v>46</v>
      </c>
      <c r="AE6" s="40">
        <v>29</v>
      </c>
      <c r="AF6" s="40">
        <f t="shared" ref="AF6" si="43">AB6-AG6</f>
        <v>11</v>
      </c>
      <c r="AG6" s="40">
        <v>35</v>
      </c>
      <c r="AH6" s="33">
        <f t="shared" ref="AH6" si="44" xml:space="preserve"> AE6/AB6</f>
        <v>0.63043478260869568</v>
      </c>
      <c r="AI6" s="33">
        <f t="shared" ref="AI6" si="45">AF6/AB6</f>
        <v>0.2391304347826087</v>
      </c>
    </row>
    <row r="7" spans="1:42" x14ac:dyDescent="0.45">
      <c r="A7" t="s">
        <v>265</v>
      </c>
      <c r="B7" s="60">
        <v>43537</v>
      </c>
      <c r="C7" s="60">
        <v>43550</v>
      </c>
      <c r="D7" s="57">
        <v>359.3</v>
      </c>
      <c r="E7" s="58">
        <f>_ReleaseData!$Q$25</f>
        <v>300</v>
      </c>
      <c r="F7" s="40">
        <v>359.3</v>
      </c>
      <c r="G7" s="40">
        <v>348</v>
      </c>
      <c r="H7" s="40">
        <f t="shared" ref="H7" si="46">D7-I7</f>
        <v>254</v>
      </c>
      <c r="I7" s="40">
        <v>105.3</v>
      </c>
      <c r="J7" s="33">
        <f t="shared" ref="J7" si="47" xml:space="preserve"> G7/D7</f>
        <v>0.96854995825215695</v>
      </c>
      <c r="K7" s="33">
        <f t="shared" ref="K7" si="48" xml:space="preserve"> H7/D7</f>
        <v>0.70693014194266623</v>
      </c>
      <c r="L7" s="59">
        <v>130.5</v>
      </c>
      <c r="M7" s="58">
        <f>_ReleaseData!$Q$26</f>
        <v>115</v>
      </c>
      <c r="N7" s="40">
        <v>130.5</v>
      </c>
      <c r="O7" s="40">
        <v>130.5</v>
      </c>
      <c r="P7" s="40">
        <f t="shared" ref="P7" si="49">L7-Q7</f>
        <v>108</v>
      </c>
      <c r="Q7" s="40">
        <v>22.5</v>
      </c>
      <c r="R7" s="33">
        <f t="shared" ref="R7" si="50" xml:space="preserve"> O7/L7</f>
        <v>1</v>
      </c>
      <c r="S7" s="33">
        <f t="shared" ref="S7" si="51" xml:space="preserve"> P7/L7</f>
        <v>0.82758620689655171</v>
      </c>
      <c r="T7" s="57">
        <v>81</v>
      </c>
      <c r="U7" s="58">
        <f>_ReleaseData!$Q$27</f>
        <v>60</v>
      </c>
      <c r="V7" s="40">
        <v>81</v>
      </c>
      <c r="W7" s="40">
        <v>81</v>
      </c>
      <c r="X7" s="40">
        <f t="shared" ref="X7" si="52">T7-Y7</f>
        <v>79</v>
      </c>
      <c r="Y7" s="40">
        <v>2</v>
      </c>
      <c r="Z7" s="33">
        <f t="shared" ref="Z7" si="53" xml:space="preserve"> W7/T7</f>
        <v>1</v>
      </c>
      <c r="AA7" s="33">
        <f t="shared" ref="AA7" si="54">X7/T7</f>
        <v>0.97530864197530864</v>
      </c>
      <c r="AB7" s="57">
        <v>56</v>
      </c>
      <c r="AC7" s="58">
        <f>_ReleaseData!$Q$28</f>
        <v>30</v>
      </c>
      <c r="AD7" s="40">
        <v>56</v>
      </c>
      <c r="AE7" s="40">
        <v>49</v>
      </c>
      <c r="AF7" s="40">
        <f t="shared" ref="AF7" si="55">AB7-AG7</f>
        <v>18</v>
      </c>
      <c r="AG7" s="40">
        <v>38</v>
      </c>
      <c r="AH7" s="33">
        <f t="shared" ref="AH7" si="56" xml:space="preserve"> AE7/AB7</f>
        <v>0.875</v>
      </c>
      <c r="AI7" s="33">
        <f t="shared" ref="AI7" si="57">AF7/AB7</f>
        <v>0.32142857142857145</v>
      </c>
      <c r="AL7" s="16" t="s">
        <v>135</v>
      </c>
      <c r="AM7" t="s">
        <v>254</v>
      </c>
    </row>
    <row r="8" spans="1:42" x14ac:dyDescent="0.45">
      <c r="A8" t="s">
        <v>266</v>
      </c>
      <c r="B8" s="60">
        <v>43551</v>
      </c>
      <c r="C8" s="60">
        <v>43564</v>
      </c>
      <c r="D8" s="57">
        <v>353.8</v>
      </c>
      <c r="E8" s="58">
        <f>_ReleaseData!$Q$25</f>
        <v>300</v>
      </c>
      <c r="F8" s="40">
        <v>353.8</v>
      </c>
      <c r="G8" s="40">
        <v>349.8</v>
      </c>
      <c r="H8" s="40">
        <f t="shared" ref="H8" si="58">D8-I8</f>
        <v>310.8</v>
      </c>
      <c r="I8" s="40">
        <v>43</v>
      </c>
      <c r="J8" s="33">
        <f t="shared" ref="J8" si="59" xml:space="preserve"> G8/D8</f>
        <v>0.9886941775014132</v>
      </c>
      <c r="K8" s="33">
        <f t="shared" ref="K8" si="60" xml:space="preserve"> H8/D8</f>
        <v>0.87846240814019216</v>
      </c>
      <c r="L8" s="59">
        <v>130.5</v>
      </c>
      <c r="M8" s="58">
        <f>_ReleaseData!$Q$26</f>
        <v>115</v>
      </c>
      <c r="N8" s="40">
        <v>130.5</v>
      </c>
      <c r="O8" s="40">
        <v>130.5</v>
      </c>
      <c r="P8" s="40">
        <f t="shared" ref="P8" si="61">L8-Q8</f>
        <v>130.5</v>
      </c>
      <c r="Q8" s="40">
        <v>0</v>
      </c>
      <c r="R8" s="33">
        <f t="shared" ref="R8" si="62" xml:space="preserve"> O8/L8</f>
        <v>1</v>
      </c>
      <c r="S8" s="33">
        <f t="shared" ref="S8" si="63" xml:space="preserve"> P8/L8</f>
        <v>1</v>
      </c>
      <c r="T8" s="57">
        <v>83</v>
      </c>
      <c r="U8" s="58">
        <f>_ReleaseData!$Q$27</f>
        <v>60</v>
      </c>
      <c r="V8" s="40">
        <v>83</v>
      </c>
      <c r="W8" s="40">
        <v>83</v>
      </c>
      <c r="X8" s="40">
        <f t="shared" ref="X8" si="64">T8-Y8</f>
        <v>83</v>
      </c>
      <c r="Y8" s="40">
        <v>0</v>
      </c>
      <c r="Z8" s="33">
        <f t="shared" ref="Z8" si="65" xml:space="preserve"> W8/T8</f>
        <v>1</v>
      </c>
      <c r="AA8" s="33">
        <f t="shared" ref="AA8" si="66">X8/T8</f>
        <v>1</v>
      </c>
      <c r="AB8" s="57">
        <v>51.5</v>
      </c>
      <c r="AC8" s="58">
        <f>_ReleaseData!$Q$28</f>
        <v>30</v>
      </c>
      <c r="AD8" s="40">
        <v>51.5</v>
      </c>
      <c r="AE8" s="40">
        <v>51.5</v>
      </c>
      <c r="AF8" s="40">
        <f t="shared" ref="AF8" si="67">AB8-AG8</f>
        <v>36</v>
      </c>
      <c r="AG8" s="40">
        <v>15.5</v>
      </c>
      <c r="AH8" s="33">
        <f t="shared" ref="AH8" si="68" xml:space="preserve"> AE8/AB8</f>
        <v>1</v>
      </c>
      <c r="AI8" s="33">
        <f t="shared" ref="AI8" si="69">AF8/AB8</f>
        <v>0.69902912621359226</v>
      </c>
      <c r="AL8" s="16" t="s">
        <v>251</v>
      </c>
      <c r="AM8" t="s">
        <v>221</v>
      </c>
    </row>
    <row r="9" spans="1:42" x14ac:dyDescent="0.45">
      <c r="A9" t="s">
        <v>267</v>
      </c>
      <c r="B9" s="60">
        <v>43565</v>
      </c>
      <c r="C9" s="60">
        <v>43578</v>
      </c>
      <c r="D9" s="57">
        <f>GETPIVOTDATA("Epic Total Estimate", $AL$8, "Type", "Epic")</f>
        <v>2000.125</v>
      </c>
      <c r="E9" s="58">
        <f>_ReleaseData!$Q$25</f>
        <v>300</v>
      </c>
      <c r="F9" s="40">
        <f>GETPIVOTDATA("Stories Estimate", $AL$8, "Type", "Epic")</f>
        <v>0</v>
      </c>
      <c r="G9" s="40">
        <f>GETPIVOTDATA("Epic Decomposed", $AL$8, "Type", "Epic")</f>
        <v>540</v>
      </c>
      <c r="H9" s="40">
        <f t="shared" ref="H9" si="70">D9-I9</f>
        <v>1550.125</v>
      </c>
      <c r="I9" s="40">
        <f>GETPIVOTDATA("Epic Remaining Estimate", $AL$8, "Type", "Epic")</f>
        <v>450</v>
      </c>
      <c r="J9" s="33">
        <f t="shared" ref="J9" si="71" xml:space="preserve"> G9/D9</f>
        <v>0.2699831260546216</v>
      </c>
      <c r="K9" s="33">
        <f t="shared" ref="K9" si="72" xml:space="preserve"> H9/D9</f>
        <v>0.77501406162114872</v>
      </c>
      <c r="L9" s="59">
        <f>GETPIVOTDATA("Epic Total Estimate", $AL$8, "Type", "Epic", "ST:Components", "Reuse")</f>
        <v>200</v>
      </c>
      <c r="M9" s="58">
        <f>_ReleaseData!$Q$26</f>
        <v>115</v>
      </c>
      <c r="N9" s="40">
        <f>GETPIVOTDATA("Stories Estimate", $AL$8, "Type", "Epic", "ST:Components", "Reuse")</f>
        <v>0</v>
      </c>
      <c r="O9" s="40">
        <f>GETPIVOTDATA("Epic Decomposed", $AL$8, "Type", "Epic", "ST:Components", "Reuse")</f>
        <v>180</v>
      </c>
      <c r="P9" s="40">
        <f t="shared" ref="P9" si="73">L9-Q9</f>
        <v>50</v>
      </c>
      <c r="Q9" s="40">
        <f>GETPIVOTDATA("Epic Remaining Estimate", $AL$8, "Type", "Epic", "ST:Components", "Reuse")</f>
        <v>150</v>
      </c>
      <c r="R9" s="33">
        <f t="shared" ref="R9" si="74" xml:space="preserve"> O9/L9</f>
        <v>0.9</v>
      </c>
      <c r="S9" s="33">
        <f t="shared" ref="S9" si="75" xml:space="preserve"> P9/L9</f>
        <v>0.25</v>
      </c>
      <c r="T9" s="57">
        <f>GETPIVOTDATA("Epic Total Estimate", $AL$8, "Type", "Epic", "ST:Components", "Drag &amp; Drop")</f>
        <v>200</v>
      </c>
      <c r="U9" s="58">
        <f>_ReleaseData!$Q$27</f>
        <v>60</v>
      </c>
      <c r="V9" s="40">
        <f>GETPIVOTDATA("Stories Estimate", $AL$8, "Type", "Epic", "ST:Components", "Drag &amp; Drop")</f>
        <v>0</v>
      </c>
      <c r="W9" s="40">
        <f>GETPIVOTDATA("Epic Decomposed", $AL$8, "Type", "Epic", "ST:Components", "Drag &amp; Drop")</f>
        <v>180</v>
      </c>
      <c r="X9" s="40">
        <f t="shared" ref="X9" si="76">T9-Y9</f>
        <v>50</v>
      </c>
      <c r="Y9" s="40">
        <f>GETPIVOTDATA("Epic Remaining Estimate", $AL$8, "Type", "Epic", "ST:Components", "Drag &amp; Drop")</f>
        <v>150</v>
      </c>
      <c r="Z9" s="33">
        <f t="shared" ref="Z9" si="77" xml:space="preserve"> W9/T9</f>
        <v>0.9</v>
      </c>
      <c r="AA9" s="33">
        <f t="shared" ref="AA9" si="78">X9/T9</f>
        <v>0.25</v>
      </c>
      <c r="AB9" s="57">
        <f>GETPIVOTDATA("Epic Total Estimate", $AL$8, "Type", "Epic", "ST:Components", "Diagram Editor")</f>
        <v>200</v>
      </c>
      <c r="AC9" s="58">
        <f>_ReleaseData!$Q$28</f>
        <v>30</v>
      </c>
      <c r="AD9" s="40">
        <f>GETPIVOTDATA("Stories Estimate", $AL$8, "Type", "Epic", "ST:Components", "Diagram Editor")</f>
        <v>0</v>
      </c>
      <c r="AE9" s="40">
        <f>GETPIVOTDATA("Epic Decomposed", $AL$8, "Type", "Epic", "ST:Components", "Diagram Editor")</f>
        <v>180</v>
      </c>
      <c r="AF9" s="40">
        <f t="shared" ref="AF9" si="79">AB9-AG9</f>
        <v>50</v>
      </c>
      <c r="AG9" s="40">
        <f>GETPIVOTDATA("Epic Remaining Estimate", $AL$8, "Type", "Epic", "ST:Components", "Diagram Editor")</f>
        <v>150</v>
      </c>
      <c r="AH9" s="33">
        <f t="shared" ref="AH9" si="80" xml:space="preserve"> AE9/AB9</f>
        <v>0.9</v>
      </c>
      <c r="AI9" s="33">
        <f t="shared" ref="AI9" si="81">AF9/AB9</f>
        <v>0.25</v>
      </c>
    </row>
    <row r="10" spans="1:42" ht="13.9" customHeight="1" x14ac:dyDescent="0.45">
      <c r="B10" s="60"/>
      <c r="C10" s="60"/>
      <c r="D10" s="57"/>
      <c r="E10" s="58"/>
      <c r="F10" s="40"/>
      <c r="G10" s="40"/>
      <c r="H10" s="40"/>
      <c r="I10" s="40"/>
      <c r="J10" s="33"/>
      <c r="K10" s="33"/>
      <c r="L10" s="59"/>
      <c r="M10" s="58"/>
      <c r="N10" s="40"/>
      <c r="O10" s="40"/>
      <c r="P10" s="40"/>
      <c r="Q10" s="40"/>
      <c r="R10" s="33"/>
      <c r="S10" s="33"/>
      <c r="T10" s="57"/>
      <c r="U10" s="58"/>
      <c r="V10" s="40"/>
      <c r="W10" s="40"/>
      <c r="X10" s="40"/>
      <c r="Y10" s="40"/>
      <c r="Z10" s="33"/>
      <c r="AA10" s="33"/>
      <c r="AB10" s="57"/>
      <c r="AC10" s="58"/>
      <c r="AD10" s="40"/>
      <c r="AE10" s="40"/>
      <c r="AF10" s="40"/>
      <c r="AG10" s="40"/>
      <c r="AH10" s="33"/>
      <c r="AI10" s="33"/>
      <c r="AM10" s="16" t="s">
        <v>163</v>
      </c>
    </row>
    <row r="11" spans="1:42" x14ac:dyDescent="0.45">
      <c r="B11" s="60"/>
      <c r="C11" s="60"/>
      <c r="D11" s="57"/>
      <c r="E11" s="58"/>
      <c r="F11" s="40"/>
      <c r="G11" s="40"/>
      <c r="H11" s="40"/>
      <c r="I11" s="40"/>
      <c r="J11" s="33"/>
      <c r="K11" s="33"/>
      <c r="L11" s="59"/>
      <c r="M11" s="58"/>
      <c r="N11" s="40"/>
      <c r="O11" s="40"/>
      <c r="P11" s="40"/>
      <c r="Q11" s="40"/>
      <c r="R11" s="33"/>
      <c r="S11" s="33"/>
      <c r="T11" s="57"/>
      <c r="U11" s="58"/>
      <c r="V11" s="40"/>
      <c r="W11" s="40"/>
      <c r="X11" s="40"/>
      <c r="Y11" s="40"/>
      <c r="Z11" s="33"/>
      <c r="AA11" s="33"/>
      <c r="AB11" s="57"/>
      <c r="AC11" s="58"/>
      <c r="AD11" s="40"/>
      <c r="AE11" s="40"/>
      <c r="AF11" s="40"/>
      <c r="AG11" s="40"/>
      <c r="AH11" s="33"/>
      <c r="AI11" s="33"/>
      <c r="AM11" t="s">
        <v>62</v>
      </c>
    </row>
    <row r="12" spans="1:42" x14ac:dyDescent="0.45">
      <c r="B12" s="60"/>
      <c r="C12" s="60"/>
      <c r="D12" s="57"/>
      <c r="E12" s="58"/>
      <c r="F12" s="40"/>
      <c r="G12" s="40"/>
      <c r="H12" s="40"/>
      <c r="I12" s="40"/>
      <c r="J12" s="33"/>
      <c r="K12" s="33"/>
      <c r="L12" s="59"/>
      <c r="M12" s="58"/>
      <c r="N12" s="40"/>
      <c r="O12" s="40"/>
      <c r="P12" s="40"/>
      <c r="Q12" s="40"/>
      <c r="R12" s="33"/>
      <c r="S12" s="33"/>
      <c r="T12" s="57"/>
      <c r="U12" s="58"/>
      <c r="V12" s="40"/>
      <c r="W12" s="40"/>
      <c r="X12" s="40"/>
      <c r="Y12" s="40"/>
      <c r="Z12" s="33"/>
      <c r="AA12" s="33"/>
      <c r="AB12" s="57"/>
      <c r="AC12" s="58"/>
      <c r="AD12" s="40"/>
      <c r="AE12" s="40"/>
      <c r="AF12" s="40"/>
      <c r="AG12" s="40"/>
      <c r="AH12" s="33"/>
      <c r="AI12" s="33"/>
      <c r="AL12" s="16" t="s">
        <v>140</v>
      </c>
      <c r="AM12" t="s">
        <v>112</v>
      </c>
      <c r="AN12" t="s">
        <v>277</v>
      </c>
      <c r="AO12" t="s">
        <v>278</v>
      </c>
      <c r="AP12" t="s">
        <v>111</v>
      </c>
    </row>
    <row r="13" spans="1:42" x14ac:dyDescent="0.45">
      <c r="B13" s="60"/>
      <c r="C13" s="60"/>
      <c r="D13" s="57"/>
      <c r="E13" s="58"/>
      <c r="F13" s="40"/>
      <c r="G13" s="40"/>
      <c r="H13" s="40"/>
      <c r="I13" s="40"/>
      <c r="J13" s="33"/>
      <c r="K13" s="33"/>
      <c r="L13" s="59"/>
      <c r="M13" s="58"/>
      <c r="N13" s="40"/>
      <c r="O13" s="40"/>
      <c r="P13" s="40"/>
      <c r="Q13" s="40"/>
      <c r="R13" s="33"/>
      <c r="S13" s="33"/>
      <c r="T13" s="57"/>
      <c r="U13" s="58"/>
      <c r="V13" s="40"/>
      <c r="W13" s="40"/>
      <c r="X13" s="40"/>
      <c r="Y13" s="40"/>
      <c r="Z13" s="33"/>
      <c r="AA13" s="33"/>
      <c r="AB13" s="57"/>
      <c r="AC13" s="58"/>
      <c r="AD13" s="40"/>
      <c r="AE13" s="40"/>
      <c r="AF13" s="40"/>
      <c r="AG13" s="40"/>
      <c r="AH13" s="33"/>
      <c r="AI13" s="33"/>
      <c r="AL13" s="17" t="s">
        <v>178</v>
      </c>
      <c r="AM13" s="20">
        <v>200</v>
      </c>
      <c r="AN13" s="20"/>
      <c r="AO13" s="20">
        <v>180</v>
      </c>
      <c r="AP13" s="20">
        <v>150</v>
      </c>
    </row>
    <row r="14" spans="1:42" x14ac:dyDescent="0.45">
      <c r="B14" s="60"/>
      <c r="C14" s="60"/>
      <c r="D14" s="57"/>
      <c r="E14" s="58"/>
      <c r="F14" s="40"/>
      <c r="G14" s="40"/>
      <c r="H14" s="40"/>
      <c r="I14" s="40"/>
      <c r="J14" s="33"/>
      <c r="K14" s="33"/>
      <c r="L14" s="59"/>
      <c r="M14" s="58"/>
      <c r="N14" s="40"/>
      <c r="O14" s="40"/>
      <c r="P14" s="40"/>
      <c r="Q14" s="40"/>
      <c r="R14" s="33"/>
      <c r="S14" s="33"/>
      <c r="T14" s="57"/>
      <c r="U14" s="58"/>
      <c r="V14" s="40"/>
      <c r="W14" s="40"/>
      <c r="X14" s="40"/>
      <c r="Y14" s="40"/>
      <c r="Z14" s="33"/>
      <c r="AA14" s="33"/>
      <c r="AB14" s="57"/>
      <c r="AC14" s="58"/>
      <c r="AD14" s="40"/>
      <c r="AE14" s="40"/>
      <c r="AF14" s="40"/>
      <c r="AG14" s="40"/>
      <c r="AH14" s="33"/>
      <c r="AI14" s="33"/>
      <c r="AL14" s="17" t="s">
        <v>186</v>
      </c>
      <c r="AM14" s="20">
        <v>1400.125</v>
      </c>
      <c r="AN14" s="20"/>
      <c r="AO14" s="20"/>
      <c r="AP14" s="20"/>
    </row>
    <row r="15" spans="1:42" x14ac:dyDescent="0.45">
      <c r="B15" s="60"/>
      <c r="C15" s="60"/>
      <c r="D15" s="57"/>
      <c r="E15" s="58"/>
      <c r="F15" s="40"/>
      <c r="G15" s="40"/>
      <c r="H15" s="40"/>
      <c r="I15" s="40"/>
      <c r="J15" s="33"/>
      <c r="K15" s="33"/>
      <c r="L15" s="59"/>
      <c r="M15" s="58"/>
      <c r="N15" s="40"/>
      <c r="O15" s="40"/>
      <c r="P15" s="40"/>
      <c r="Q15" s="40"/>
      <c r="R15" s="33"/>
      <c r="S15" s="33"/>
      <c r="T15" s="57"/>
      <c r="U15" s="58"/>
      <c r="V15" s="40"/>
      <c r="W15" s="40"/>
      <c r="X15" s="40"/>
      <c r="Y15" s="40"/>
      <c r="Z15" s="33"/>
      <c r="AA15" s="33"/>
      <c r="AB15" s="57"/>
      <c r="AC15" s="58"/>
      <c r="AD15" s="40"/>
      <c r="AE15" s="40"/>
      <c r="AF15" s="40"/>
      <c r="AG15" s="40"/>
      <c r="AH15" s="33"/>
      <c r="AI15" s="33"/>
      <c r="AL15" s="17" t="s">
        <v>260</v>
      </c>
      <c r="AM15" s="20">
        <v>200</v>
      </c>
      <c r="AN15" s="20"/>
      <c r="AO15" s="20">
        <v>180</v>
      </c>
      <c r="AP15" s="20">
        <v>150</v>
      </c>
    </row>
    <row r="16" spans="1:42" x14ac:dyDescent="0.45">
      <c r="B16" s="60"/>
      <c r="C16" s="60"/>
      <c r="D16" s="57"/>
      <c r="E16" s="58"/>
      <c r="F16" s="40"/>
      <c r="G16" s="40"/>
      <c r="H16" s="40"/>
      <c r="I16" s="40"/>
      <c r="J16" s="33"/>
      <c r="K16" s="33"/>
      <c r="L16" s="59"/>
      <c r="M16" s="58"/>
      <c r="N16" s="40"/>
      <c r="O16" s="40"/>
      <c r="P16" s="40"/>
      <c r="Q16" s="40"/>
      <c r="R16" s="33"/>
      <c r="S16" s="33"/>
      <c r="T16" s="57"/>
      <c r="U16" s="58"/>
      <c r="V16" s="40"/>
      <c r="W16" s="40"/>
      <c r="X16" s="40"/>
      <c r="Y16" s="40"/>
      <c r="Z16" s="33"/>
      <c r="AA16" s="33"/>
      <c r="AB16" s="57"/>
      <c r="AC16" s="58"/>
      <c r="AD16" s="40"/>
      <c r="AE16" s="40"/>
      <c r="AF16" s="40"/>
      <c r="AG16" s="40"/>
      <c r="AH16" s="33"/>
      <c r="AI16" s="33"/>
      <c r="AL16" s="17" t="s">
        <v>261</v>
      </c>
      <c r="AM16" s="20">
        <v>200</v>
      </c>
      <c r="AN16" s="20"/>
      <c r="AO16" s="20">
        <v>180</v>
      </c>
      <c r="AP16" s="20">
        <v>150</v>
      </c>
    </row>
    <row r="17" spans="2:42" x14ac:dyDescent="0.45">
      <c r="B17" s="62"/>
      <c r="C17" s="62"/>
      <c r="D17" s="57"/>
      <c r="E17" s="58"/>
      <c r="F17" s="40"/>
      <c r="G17" s="40"/>
      <c r="H17" s="40"/>
      <c r="I17" s="40"/>
      <c r="J17" s="33"/>
      <c r="K17" s="33"/>
      <c r="L17" s="59"/>
      <c r="M17" s="58"/>
      <c r="N17" s="40"/>
      <c r="O17" s="40"/>
      <c r="P17" s="40"/>
      <c r="Q17" s="40"/>
      <c r="R17" s="33"/>
      <c r="S17" s="33"/>
      <c r="T17" s="57"/>
      <c r="U17" s="58"/>
      <c r="V17" s="40"/>
      <c r="W17" s="40"/>
      <c r="X17" s="40"/>
      <c r="Y17" s="40"/>
      <c r="Z17" s="33"/>
      <c r="AA17" s="33"/>
      <c r="AB17" s="57"/>
      <c r="AC17" s="58"/>
      <c r="AD17" s="40"/>
      <c r="AE17" s="40"/>
      <c r="AF17" s="40"/>
      <c r="AG17" s="40"/>
      <c r="AH17" s="33"/>
      <c r="AI17" s="33"/>
      <c r="AL17" s="17" t="s">
        <v>50</v>
      </c>
      <c r="AM17" s="20">
        <v>2000.125</v>
      </c>
      <c r="AN17" s="20"/>
      <c r="AO17" s="20">
        <v>540</v>
      </c>
      <c r="AP17" s="20">
        <v>450</v>
      </c>
    </row>
    <row r="18" spans="2:42" x14ac:dyDescent="0.45">
      <c r="B18" s="63"/>
    </row>
  </sheetData>
  <mergeCells count="5">
    <mergeCell ref="A1:C1"/>
    <mergeCell ref="D1:K1"/>
    <mergeCell ref="L1:S1"/>
    <mergeCell ref="T1:AA1"/>
    <mergeCell ref="AB1:A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21"/>
  <sheetViews>
    <sheetView workbookViewId="0"/>
  </sheetViews>
  <sheetFormatPr defaultRowHeight="14.25" x14ac:dyDescent="0.45"/>
  <cols>
    <col min="2" max="2" width="12.06640625" bestFit="1" customWidth="1"/>
    <col min="3" max="3" width="32.6640625" bestFit="1" customWidth="1"/>
    <col min="4" max="4" width="14.33203125" customWidth="1"/>
    <col min="5" max="5" width="9.46484375" customWidth="1"/>
    <col min="6" max="6" width="8.19921875" bestFit="1" customWidth="1"/>
    <col min="7" max="7" width="12.46484375" bestFit="1" customWidth="1"/>
    <col min="8" max="8" width="16.86328125" bestFit="1" customWidth="1"/>
    <col min="9" max="9" width="10.9296875" bestFit="1" customWidth="1"/>
    <col min="10" max="10" width="10.19921875" bestFit="1" customWidth="1"/>
  </cols>
  <sheetData>
    <row r="1" spans="2:8" x14ac:dyDescent="0.45">
      <c r="B1" s="16" t="s">
        <v>251</v>
      </c>
      <c r="C1" t="s">
        <v>221</v>
      </c>
    </row>
    <row r="2" spans="2:8" x14ac:dyDescent="0.45">
      <c r="G2" s="16" t="s">
        <v>219</v>
      </c>
      <c r="H2" t="s">
        <v>221</v>
      </c>
    </row>
    <row r="3" spans="2:8" x14ac:dyDescent="0.45">
      <c r="B3" s="16" t="s">
        <v>140</v>
      </c>
      <c r="C3" t="s">
        <v>192</v>
      </c>
      <c r="G3" s="16" t="s">
        <v>251</v>
      </c>
      <c r="H3" t="s">
        <v>221</v>
      </c>
    </row>
    <row r="4" spans="2:8" x14ac:dyDescent="0.45">
      <c r="B4" s="17" t="s">
        <v>62</v>
      </c>
      <c r="C4" s="20">
        <v>1460.125</v>
      </c>
    </row>
    <row r="5" spans="2:8" x14ac:dyDescent="0.45">
      <c r="B5" s="17" t="s">
        <v>50</v>
      </c>
      <c r="C5" s="20">
        <v>1460.125</v>
      </c>
      <c r="G5" s="16" t="s">
        <v>140</v>
      </c>
      <c r="H5" t="s">
        <v>144</v>
      </c>
    </row>
    <row r="6" spans="2:8" x14ac:dyDescent="0.45">
      <c r="G6" s="17" t="s">
        <v>186</v>
      </c>
      <c r="H6" s="20">
        <v>20</v>
      </c>
    </row>
    <row r="7" spans="2:8" x14ac:dyDescent="0.45">
      <c r="G7" s="17" t="s">
        <v>226</v>
      </c>
      <c r="H7" s="20">
        <v>15</v>
      </c>
    </row>
    <row r="8" spans="2:8" x14ac:dyDescent="0.45">
      <c r="G8" s="17" t="s">
        <v>50</v>
      </c>
      <c r="H8" s="20">
        <v>35</v>
      </c>
    </row>
    <row r="15" spans="2:8" x14ac:dyDescent="0.45">
      <c r="B15" t="s">
        <v>190</v>
      </c>
      <c r="C15" t="s">
        <v>193</v>
      </c>
      <c r="D15" t="s">
        <v>194</v>
      </c>
    </row>
    <row r="16" spans="2:8" x14ac:dyDescent="0.45">
      <c r="B16" t="s">
        <v>262</v>
      </c>
      <c r="C16">
        <v>55.5</v>
      </c>
      <c r="D16">
        <v>146.5</v>
      </c>
    </row>
    <row r="17" spans="2:4" x14ac:dyDescent="0.45">
      <c r="B17" t="s">
        <v>263</v>
      </c>
      <c r="C17">
        <v>22</v>
      </c>
      <c r="D17">
        <v>98.5</v>
      </c>
    </row>
    <row r="18" spans="2:4" x14ac:dyDescent="0.45">
      <c r="B18" t="s">
        <v>264</v>
      </c>
      <c r="C18">
        <v>22</v>
      </c>
      <c r="D18">
        <v>68.5</v>
      </c>
    </row>
    <row r="19" spans="2:4" x14ac:dyDescent="0.45">
      <c r="B19" t="s">
        <v>265</v>
      </c>
      <c r="C19">
        <v>11.25</v>
      </c>
      <c r="D19">
        <v>46.5</v>
      </c>
    </row>
    <row r="20" spans="2:4" x14ac:dyDescent="0.45">
      <c r="B20" t="s">
        <v>266</v>
      </c>
      <c r="C20">
        <v>60</v>
      </c>
      <c r="D20">
        <v>223.5</v>
      </c>
    </row>
    <row r="21" spans="2:4" x14ac:dyDescent="0.45">
      <c r="B21" t="s">
        <v>267</v>
      </c>
      <c r="C21">
        <f>GETPIVOTDATA("Epic Not Decomposed Estimate",$B$3)</f>
        <v>1460.125</v>
      </c>
      <c r="D21">
        <f>GETPIVOTDATA("Story Points",$G$2)</f>
        <v>35</v>
      </c>
    </row>
  </sheetData>
  <pageMargins left="0.7" right="0.7" top="0.75" bottom="0.75" header="0.3" footer="0.3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</vt:i4>
      </vt:variant>
    </vt:vector>
  </HeadingPairs>
  <TitlesOfParts>
    <vt:vector size="20" baseType="lpstr">
      <vt:lpstr>Release</vt:lpstr>
      <vt:lpstr>Reuse</vt:lpstr>
      <vt:lpstr>Drag &amp; Drop</vt:lpstr>
      <vt:lpstr>UME v3</vt:lpstr>
      <vt:lpstr>_ReleaseData</vt:lpstr>
      <vt:lpstr>_CumulativeFlowData </vt:lpstr>
      <vt:lpstr>Readiness</vt:lpstr>
      <vt:lpstr>_ReadinessData</vt:lpstr>
      <vt:lpstr>Team Backlog</vt:lpstr>
      <vt:lpstr>_TeamBacklogData</vt:lpstr>
      <vt:lpstr>Team Velocity</vt:lpstr>
      <vt:lpstr>_TeamVelocityData</vt:lpstr>
      <vt:lpstr>Active Sprint</vt:lpstr>
      <vt:lpstr>_ActiveSprintData</vt:lpstr>
      <vt:lpstr>Bugs</vt:lpstr>
      <vt:lpstr>_BugsData</vt:lpstr>
      <vt:lpstr>Issues</vt:lpstr>
      <vt:lpstr>Notes</vt:lpstr>
      <vt:lpstr>'UME v3'!Table10</vt:lpstr>
      <vt:lpstr>Table10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2019-04-10T02:06:11Z</dcterms:modified>
</cp:coreProperties>
</file>