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12B623AD-B1BF-4BEC-9AC3-49C52D02BCF5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26" r:id="rId18"/>
  </pivotCaches>
  <fileRecoveryPr autoRecover="0"/>
</workbook>
</file>

<file path=xl/calcChain.xml><?xml version="1.0" encoding="utf-8"?>
<calcChain xmlns="http://schemas.openxmlformats.org/spreadsheetml/2006/main">
  <c r="T15" i="9" l="1"/>
  <c r="R15" i="9"/>
  <c r="P15" i="9"/>
  <c r="P14" i="9"/>
  <c r="R14" i="9"/>
  <c r="O16" i="26"/>
  <c r="V16" i="26"/>
  <c r="N16" i="26"/>
  <c r="Y16" i="26"/>
  <c r="N16" i="9"/>
  <c r="W16" i="26"/>
  <c r="O16" i="9"/>
  <c r="S16" i="9"/>
  <c r="L16" i="26"/>
  <c r="D28" i="24"/>
  <c r="F16" i="26"/>
  <c r="U16" i="9"/>
  <c r="C28" i="24"/>
  <c r="G16" i="26"/>
  <c r="D16" i="26"/>
  <c r="I16" i="26"/>
  <c r="T16" i="26"/>
  <c r="M16" i="9"/>
  <c r="Q16" i="26"/>
  <c r="Q16" i="9"/>
  <c r="X16" i="26" l="1"/>
  <c r="AA16" i="26" s="1"/>
  <c r="P16" i="26"/>
  <c r="S16" i="26" s="1"/>
  <c r="Z16" i="26"/>
  <c r="R16" i="26"/>
  <c r="H16" i="26"/>
  <c r="K16" i="26" s="1"/>
  <c r="J16" i="26"/>
  <c r="P15" i="26"/>
  <c r="S15" i="26" s="1"/>
  <c r="J15" i="26"/>
  <c r="R15" i="26"/>
  <c r="H15" i="26"/>
  <c r="K15" i="26" s="1"/>
  <c r="X15" i="26"/>
  <c r="AA15" i="26" s="1"/>
  <c r="Z15" i="26"/>
  <c r="T3" i="9"/>
  <c r="P3" i="9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E12" i="15"/>
  <c r="K12" i="15"/>
  <c r="B12" i="15"/>
  <c r="B10" i="9"/>
  <c r="H12" i="15"/>
  <c r="B14" i="9"/>
  <c r="B15" i="9" l="1"/>
  <c r="B11" i="9"/>
  <c r="E36" i="9"/>
  <c r="B35" i="9" l="1"/>
  <c r="B6" i="9"/>
  <c r="J4" i="9" l="1"/>
  <c r="E15" i="12" l="1"/>
  <c r="C18" i="14"/>
  <c r="E14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K13" i="9"/>
  <c r="K12" i="9"/>
  <c r="P12" i="9" s="1"/>
  <c r="K15" i="9"/>
  <c r="B7" i="9"/>
  <c r="P13" i="9" l="1"/>
  <c r="R13" i="9"/>
  <c r="R16" i="9"/>
  <c r="R8" i="9"/>
  <c r="R12" i="9"/>
  <c r="R5" i="9"/>
  <c r="R4" i="9"/>
  <c r="R17" i="9"/>
  <c r="R7" i="9"/>
  <c r="R9" i="9"/>
  <c r="R6" i="9"/>
  <c r="R10" i="9"/>
  <c r="R11" i="9"/>
</calcChain>
</file>

<file path=xl/sharedStrings.xml><?xml version="1.0" encoding="utf-8"?>
<sst xmlns="http://schemas.openxmlformats.org/spreadsheetml/2006/main" count="983" uniqueCount="281">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</sst>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0.9568965517241379</c:v>
                </c:pt>
                <c:pt idx="1">
                  <c:v>4.31034482758621E-2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0.82769999999999999</c:v>
                </c:pt>
                <c:pt idx="12">
                  <c:v>0.93130000000000002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180.5</c:v>
                </c:pt>
                <c:pt idx="12">
                  <c:v>68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990.5</c:v>
                </c:pt>
                <c:pt idx="1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990.5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981.5</c:v>
                </c:pt>
                <c:pt idx="1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922.5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0.9568965517241379</c:v>
                </c:pt>
                <c:pt idx="1">
                  <c:v>4.31034482758621E-2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0.79830000000000001</c:v>
                </c:pt>
                <c:pt idx="12">
                  <c:v>0.86060000000000003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189</c:v>
                </c:pt>
                <c:pt idx="12">
                  <c:v>131.5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943</c:v>
                </c:pt>
                <c:pt idx="1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943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943</c:v>
                </c:pt>
                <c:pt idx="1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811.5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_ReadinessData!$C$16:$C$29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770</c:v>
                </c:pt>
                <c:pt idx="11">
                  <c:v>592.5</c:v>
                </c:pt>
                <c:pt idx="12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_ReadinessData!$D$16:$D$29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239.5</c:v>
                </c:pt>
                <c:pt idx="11">
                  <c:v>239.5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0.76429999999999998</c:v>
                </c:pt>
                <c:pt idx="12">
                  <c:v>0.88780000000000003</c:v>
                </c:pt>
                <c:pt idx="1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577.5</c:v>
                </c:pt>
                <c:pt idx="12">
                  <c:v>252.5</c:v>
                </c:pt>
                <c:pt idx="1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2250.5</c:v>
                </c:pt>
                <c:pt idx="1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2247.5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2237.5</c:v>
                </c:pt>
                <c:pt idx="1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1998</c:v>
                </c:pt>
                <c:pt idx="1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0.9568965517241379</c:v>
                </c:pt>
                <c:pt idx="1">
                  <c:v>4.31034482758621E-2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155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68.649329398148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20">
        <s v="$[SUBSTITUTE(SUBSTITUTE(SUBSTITUTE(AE2, &quot;ocket&quot;, &quot;&quot;), &quot;uasar&quot;, &quot;&quot;), &quot;egasus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SUBSTITUTE(SUBSTITUTE(SUBSTITUTE(AE3, &quot;ocket&quot;, &quot;&quot;), &quot;uasar&quot;, &quot;&quot;), &quot;egasus&quot;, &quot;&quot;)]" u="1"/>
        <s v="$[=SUBSTITUTE(SUBSTITUTE(SUBSTITUTE(AE3, &quot;ocket&quot;, &quot;&quot;), &quot;uasar&quot;, &quot;&quot;), &quot;egasus&quot;, &quot;&quot;)]" u="1"/>
        <s v="$[SUBSTITUTE(AE2, &quot;uasar&quot;, &quot;&quot;)]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3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3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3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2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7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x="4"/>
        <item h="1" x="1"/>
        <item t="default"/>
      </items>
    </pivotField>
    <pivotField showAll="0"/>
    <pivotField showAll="0"/>
    <pivotField showAll="0"/>
    <pivotField showAll="0"/>
    <pivotField axis="axisRow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4"/>
    </i>
    <i>
      <x v="6"/>
    </i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h="1" m="1" x="19"/>
        <item h="1" m="1" x="18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m="1" x="17"/>
        <item h="1" m="1" x="16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3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1">
        <item h="1" m="1" x="19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m="1" x="18"/>
        <item h="1" m="1" x="17"/>
        <item h="1" m="1" x="16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9" totalsRowShown="0">
  <autoFilter ref="B15:D2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241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240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239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L16">
        <v>28.5</v>
      </c>
      <c r="M16">
        <v>51.5</v>
      </c>
      <c r="N16">
        <v>54</v>
      </c>
      <c r="O16">
        <v>57.5</v>
      </c>
      <c r="R16">
        <f t="shared" si="0"/>
        <v>191.5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L17">
        <v>18</v>
      </c>
      <c r="M17">
        <v>26</v>
      </c>
      <c r="N17">
        <v>48.5</v>
      </c>
      <c r="O17">
        <v>54</v>
      </c>
      <c r="R17">
        <f t="shared" si="0"/>
        <v>146.5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R18">
        <f t="shared" si="0"/>
        <v>0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239</v>
      </c>
      <c r="L20">
        <f>SUBTOTAL(109,Table1[Alpha])</f>
        <v>230.5</v>
      </c>
      <c r="M20">
        <f>SUBTOTAL(109,Table1[ngStars])</f>
        <v>502</v>
      </c>
      <c r="N20">
        <f>SUBTOTAL(109,Table1[NW])</f>
        <v>611</v>
      </c>
      <c r="O20">
        <f>SUBTOTAL(109,Table1[SoftTeco])</f>
        <v>798</v>
      </c>
      <c r="P20">
        <f>SUBTOTAL(109,Table1[Titan])</f>
        <v>25.5</v>
      </c>
      <c r="Q20">
        <f>SUBTOTAL(109,Table1[QA])</f>
        <v>29.5</v>
      </c>
      <c r="R20">
        <f>SUBTOTAL(109,Table1[Total])</f>
        <v>2196.5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Quasar13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187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221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13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225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232</v>
      </c>
      <c r="AK1" s="1" t="s">
        <v>44</v>
      </c>
      <c r="AL1" s="1" t="s">
        <v>119</v>
      </c>
      <c r="AM1" s="1" t="s">
        <v>120</v>
      </c>
      <c r="AN1" s="1" t="s">
        <v>216</v>
      </c>
      <c r="AO1" s="1" t="s">
        <v>215</v>
      </c>
      <c r="AP1" s="1" t="s">
        <v>217</v>
      </c>
      <c r="AQ1" s="1" t="s">
        <v>128</v>
      </c>
      <c r="AR1" s="1" t="s">
        <v>48</v>
      </c>
      <c r="AS1" s="1" t="s">
        <v>275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280</v>
      </c>
      <c r="AG2" s="15" t="s">
        <v>142</v>
      </c>
      <c r="AH2" s="10" t="s">
        <v>46</v>
      </c>
      <c r="AI2" s="10" t="s">
        <v>191</v>
      </c>
      <c r="AJ2" s="10" t="s">
        <v>231</v>
      </c>
      <c r="AK2" s="14" t="s">
        <v>49</v>
      </c>
      <c r="AL2" s="14" t="s">
        <v>122</v>
      </c>
      <c r="AM2" s="14" t="s">
        <v>121</v>
      </c>
      <c r="AN2" s="11" t="s">
        <v>210</v>
      </c>
      <c r="AO2" s="11" t="s">
        <v>211</v>
      </c>
      <c r="AP2" s="11" t="s">
        <v>212</v>
      </c>
      <c r="AQ2" s="15" t="s">
        <v>129</v>
      </c>
      <c r="AR2" s="15" t="s">
        <v>274</v>
      </c>
      <c r="AS2" s="15" t="s">
        <v>279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228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169</v>
      </c>
      <c r="AG5" s="5" t="s">
        <v>144</v>
      </c>
      <c r="AI5" s="5" t="s">
        <v>221</v>
      </c>
      <c r="AJ5" s="10" t="s">
        <v>229</v>
      </c>
      <c r="AL5" s="4" t="s">
        <v>54</v>
      </c>
      <c r="AM5" s="4" t="s">
        <v>54</v>
      </c>
      <c r="AN5" s="4"/>
      <c r="AO5" s="4"/>
      <c r="AP5" s="4"/>
      <c r="AQ5" s="4"/>
      <c r="AS5" s="5" t="s">
        <v>277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170</v>
      </c>
      <c r="AG6" s="5" t="s">
        <v>276</v>
      </c>
      <c r="AI6" s="5" t="s">
        <v>193</v>
      </c>
      <c r="AJ6" s="10" t="s">
        <v>237</v>
      </c>
      <c r="AL6" s="4" t="s">
        <v>57</v>
      </c>
      <c r="AM6" s="4" t="s">
        <v>57</v>
      </c>
      <c r="AN6" s="4"/>
      <c r="AO6" s="4"/>
      <c r="AP6" s="4"/>
      <c r="AQ6" s="4"/>
      <c r="AS6" s="5" t="s">
        <v>277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171</v>
      </c>
      <c r="AI7" s="5" t="s">
        <v>194</v>
      </c>
      <c r="AJ7" s="10" t="s">
        <v>238</v>
      </c>
      <c r="AL7" s="4" t="s">
        <v>52</v>
      </c>
      <c r="AM7" s="4" t="s">
        <v>52</v>
      </c>
      <c r="AN7" s="4"/>
      <c r="AO7" s="4"/>
      <c r="AP7" s="4"/>
      <c r="AQ7" s="4"/>
      <c r="AS7" s="5" t="s">
        <v>277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  <c r="AS8" s="5" t="s">
        <v>278</v>
      </c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278</v>
      </c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  <c r="AS10" s="5" t="s">
        <v>278</v>
      </c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  <c r="AS14" s="5" t="s">
        <v>277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Quasar13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Quasar13</v>
      </c>
      <c r="AI31" s="5" t="s">
        <v>221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Quasar13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Quasar13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Quasar13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Quasar13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Quasar13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223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224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221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221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221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221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228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229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237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238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5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5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5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5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5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5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5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5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5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5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5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S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251</v>
      </c>
    </row>
    <row r="3" spans="1:2" x14ac:dyDescent="0.45">
      <c r="A3" t="s">
        <v>248</v>
      </c>
    </row>
    <row r="4" spans="1:2" x14ac:dyDescent="0.45">
      <c r="B4" t="s">
        <v>247</v>
      </c>
    </row>
    <row r="5" spans="1:2" x14ac:dyDescent="0.45">
      <c r="A5" t="s">
        <v>268</v>
      </c>
    </row>
    <row r="6" spans="1:2" x14ac:dyDescent="0.45">
      <c r="B6" t="s">
        <v>269</v>
      </c>
    </row>
    <row r="7" spans="1:2" x14ac:dyDescent="0.45">
      <c r="A7" t="s">
        <v>270</v>
      </c>
    </row>
    <row r="8" spans="1:2" x14ac:dyDescent="0.45">
      <c r="B8" t="s">
        <v>249</v>
      </c>
    </row>
    <row r="9" spans="1:2" x14ac:dyDescent="0.45">
      <c r="A9" t="s">
        <v>271</v>
      </c>
    </row>
    <row r="10" spans="1:2" x14ac:dyDescent="0.45">
      <c r="B10" t="s">
        <v>250</v>
      </c>
    </row>
    <row r="11" spans="1:2" x14ac:dyDescent="0.45">
      <c r="A11" t="s">
        <v>272</v>
      </c>
    </row>
    <row r="12" spans="1:2" x14ac:dyDescent="0.45">
      <c r="B12" t="s">
        <v>252</v>
      </c>
    </row>
    <row r="13" spans="1:2" x14ac:dyDescent="0.45">
      <c r="B13" t="s">
        <v>253</v>
      </c>
    </row>
    <row r="14" spans="1:2" x14ac:dyDescent="0.45">
      <c r="A14" t="s">
        <v>273</v>
      </c>
    </row>
    <row r="15" spans="1:2" x14ac:dyDescent="0.45">
      <c r="B15" t="s">
        <v>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>
      <selection activeCell="E6" sqref="E6"/>
    </sheetView>
  </sheetViews>
  <sheetFormatPr defaultRowHeight="14.25" x14ac:dyDescent="0.45"/>
  <cols>
    <col min="1" max="1" width="15" bestFit="1" customWidth="1"/>
    <col min="2" max="2" width="9.664062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22.929687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230</v>
      </c>
      <c r="B1" t="s">
        <v>200</v>
      </c>
      <c r="K1" t="s">
        <v>257</v>
      </c>
      <c r="L1" t="s">
        <v>229</v>
      </c>
      <c r="M1" t="s">
        <v>141</v>
      </c>
      <c r="N1" t="s">
        <v>228</v>
      </c>
      <c r="O1" t="s">
        <v>229</v>
      </c>
      <c r="P1" s="72" t="s">
        <v>141</v>
      </c>
      <c r="Q1" s="72"/>
      <c r="R1" s="72" t="s">
        <v>228</v>
      </c>
      <c r="S1" s="72"/>
      <c r="T1" s="72" t="s">
        <v>229</v>
      </c>
      <c r="U1" s="72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0.9568965517241379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214</v>
      </c>
      <c r="K2" s="22" t="s">
        <v>226</v>
      </c>
      <c r="L2" s="22" t="s">
        <v>226</v>
      </c>
      <c r="M2" s="22" t="s">
        <v>227</v>
      </c>
      <c r="N2" s="22" t="s">
        <v>227</v>
      </c>
      <c r="O2" s="22" t="s">
        <v>227</v>
      </c>
      <c r="P2" s="22" t="s">
        <v>245</v>
      </c>
      <c r="Q2" s="22" t="s">
        <v>246</v>
      </c>
      <c r="R2" s="22" t="s">
        <v>245</v>
      </c>
      <c r="S2" s="22" t="s">
        <v>246</v>
      </c>
      <c r="T2" s="22" t="s">
        <v>245</v>
      </c>
      <c r="U2" s="22" t="s">
        <v>246</v>
      </c>
      <c r="W2" s="27" t="s">
        <v>213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4.31034482758621E-2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235</v>
      </c>
      <c r="E5" s="27" t="s">
        <v>233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236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234</v>
      </c>
      <c r="E6" s="27">
        <f ca="1">TODAY()</f>
        <v>43368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223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224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228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229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v>0.76429999999999998</v>
      </c>
      <c r="N14" s="43">
        <v>0.82769999999999999</v>
      </c>
      <c r="O14" s="43">
        <v>0.79830000000000001</v>
      </c>
      <c r="P14" s="46">
        <f t="shared" si="0"/>
        <v>492.4137931034482</v>
      </c>
      <c r="Q14" s="47">
        <v>577.5</v>
      </c>
      <c r="R14" s="50">
        <f t="shared" si="3"/>
        <v>289.65517241379308</v>
      </c>
      <c r="S14" s="47">
        <v>180.5</v>
      </c>
      <c r="T14" s="46">
        <f t="shared" si="1"/>
        <v>144.82758620689654</v>
      </c>
      <c r="U14" s="47">
        <v>189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3">
        <v>0.88780000000000003</v>
      </c>
      <c r="N15" s="43">
        <v>0.93130000000000002</v>
      </c>
      <c r="O15" s="43">
        <v>0.86060000000000003</v>
      </c>
      <c r="P15" s="46">
        <f t="shared" ref="P15" si="7">2380*(100%-K15)</f>
        <v>307.75862068965512</v>
      </c>
      <c r="Q15" s="47">
        <v>252.5</v>
      </c>
      <c r="R15" s="50">
        <f t="shared" ref="R15" si="8">1400*(100%-K15)</f>
        <v>181.03448275862067</v>
      </c>
      <c r="S15" s="47">
        <v>68</v>
      </c>
      <c r="T15" s="46">
        <f t="shared" ref="T15" si="9">700*(100%-L15)</f>
        <v>90.517241379310335</v>
      </c>
      <c r="U15" s="47">
        <v>131.5</v>
      </c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3">
        <f>100%-GETPIVOTDATA("Epic Remaining Estimate",$Y$4)/GETPIVOTDATA("Epic Total Estimate",$Y$4)</f>
        <v>0.75</v>
      </c>
      <c r="N16" s="43">
        <f>100%-GETPIVOTDATA("Epic Remaining Estimate",$Y$4,"ST:Components","Diagram Editor")/GETPIVOTDATA("Epic Total Estimate",$Y$4,"ST:Components","Diagram Editor")</f>
        <v>0.25</v>
      </c>
      <c r="O16" s="43">
        <f>100%-GETPIVOTDATA("Epic Remaining Estimate",$Y$4,"ST:Components","Artifact List")/GETPIVOTDATA("Epic Total Estimate",$Y$4,"ST:Components","Artifact List")</f>
        <v>0.25</v>
      </c>
      <c r="P16" s="46">
        <f t="shared" si="0"/>
        <v>102.5862068965518</v>
      </c>
      <c r="Q16" s="47">
        <f>GETPIVOTDATA("Epic Remaining Estimate",$Y$4)</f>
        <v>300</v>
      </c>
      <c r="R16" s="50">
        <f t="shared" si="3"/>
        <v>60.344827586206939</v>
      </c>
      <c r="S16" s="47">
        <f>GETPIVOTDATA("Epic Remaining Estimate",$Y$4,"ST:Components","Diagram Editor")</f>
        <v>150</v>
      </c>
      <c r="T16" s="46">
        <f t="shared" si="1"/>
        <v>30.17241379310347</v>
      </c>
      <c r="U16" s="47">
        <f>GETPIVOTDATA("Epic Remaining Estimate",$Y$4,"ST:Components","Artifact List")</f>
        <v>150</v>
      </c>
    </row>
    <row r="17" spans="1:21" x14ac:dyDescent="0.45">
      <c r="A17" s="44" t="s">
        <v>255</v>
      </c>
      <c r="B17" s="44" t="s">
        <v>256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145</v>
      </c>
      <c r="B18" s="52">
        <f ca="1">MAX(NETWORKDAYS($D$3,$E$6,$W$3:$W$12)/NETWORKDAYS($D$3,$E$3,$W$3:$W$12),0%)</f>
        <v>0.9568965517241379</v>
      </c>
    </row>
    <row r="19" spans="1:21" x14ac:dyDescent="0.45">
      <c r="A19" t="s">
        <v>146</v>
      </c>
      <c r="B19" s="32">
        <f ca="1">MAX(100%,B18)-B18</f>
        <v>4.31034482758621E-2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224</v>
      </c>
      <c r="G22" s="16" t="s">
        <v>20</v>
      </c>
      <c r="H22" t="s">
        <v>223</v>
      </c>
    </row>
    <row r="24" spans="1:21" x14ac:dyDescent="0.45">
      <c r="A24" s="16" t="s">
        <v>218</v>
      </c>
      <c r="D24" s="16" t="s">
        <v>218</v>
      </c>
      <c r="G24" s="16" t="s">
        <v>218</v>
      </c>
    </row>
    <row r="25" spans="1:21" x14ac:dyDescent="0.45">
      <c r="A25" s="17" t="s">
        <v>219</v>
      </c>
      <c r="B25" s="20">
        <v>900</v>
      </c>
      <c r="D25" s="17" t="s">
        <v>219</v>
      </c>
      <c r="E25" s="20">
        <v>50</v>
      </c>
      <c r="G25" s="17" t="s">
        <v>219</v>
      </c>
      <c r="H25" s="20">
        <v>50</v>
      </c>
    </row>
    <row r="26" spans="1:21" x14ac:dyDescent="0.45">
      <c r="A26" s="17" t="s">
        <v>220</v>
      </c>
      <c r="B26" s="20">
        <v>80</v>
      </c>
      <c r="D26" s="17" t="s">
        <v>220</v>
      </c>
      <c r="E26" s="20">
        <v>40</v>
      </c>
      <c r="G26" s="17" t="s">
        <v>220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221</v>
      </c>
      <c r="B28" s="20">
        <v>60</v>
      </c>
      <c r="D28" s="17" t="s">
        <v>221</v>
      </c>
      <c r="E28" s="20">
        <v>30</v>
      </c>
      <c r="G28" s="17" t="s">
        <v>221</v>
      </c>
      <c r="H28" s="20">
        <v>30</v>
      </c>
    </row>
    <row r="29" spans="1:21" x14ac:dyDescent="0.45">
      <c r="A29" s="17" t="s">
        <v>222</v>
      </c>
      <c r="B29" s="20">
        <v>840</v>
      </c>
      <c r="D29" s="17" t="s">
        <v>222</v>
      </c>
      <c r="E29" s="20">
        <v>20</v>
      </c>
      <c r="G29" s="17" t="s">
        <v>222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224</v>
      </c>
      <c r="G33" s="16" t="s">
        <v>20</v>
      </c>
      <c r="H33" t="s">
        <v>223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228</v>
      </c>
      <c r="B50" s="20">
        <v>200</v>
      </c>
    </row>
    <row r="51" spans="1:2" x14ac:dyDescent="0.45">
      <c r="A51" s="17" t="s">
        <v>229</v>
      </c>
      <c r="B51" s="20">
        <v>200</v>
      </c>
    </row>
    <row r="52" spans="1:2" x14ac:dyDescent="0.45">
      <c r="A52" s="17" t="s">
        <v>237</v>
      </c>
      <c r="B52" s="20">
        <v>200</v>
      </c>
    </row>
    <row r="53" spans="1:2" x14ac:dyDescent="0.45">
      <c r="A53" s="17" t="s">
        <v>238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141</v>
      </c>
      <c r="E1" s="74"/>
      <c r="F1" s="74"/>
      <c r="G1" s="74"/>
      <c r="H1" s="74"/>
      <c r="I1" s="74"/>
      <c r="J1" s="74"/>
      <c r="K1" s="74"/>
      <c r="L1" s="74" t="s">
        <v>228</v>
      </c>
      <c r="M1" s="74"/>
      <c r="N1" s="74"/>
      <c r="O1" s="74"/>
      <c r="P1" s="74"/>
      <c r="Q1" s="74"/>
      <c r="R1" s="74"/>
      <c r="S1" s="74"/>
      <c r="T1" s="74" t="s">
        <v>229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240</v>
      </c>
      <c r="B2" s="56" t="s">
        <v>130</v>
      </c>
      <c r="C2" s="56" t="s">
        <v>131</v>
      </c>
      <c r="D2" s="57" t="s">
        <v>258</v>
      </c>
      <c r="E2" s="58" t="s">
        <v>259</v>
      </c>
      <c r="F2" s="59" t="s">
        <v>123</v>
      </c>
      <c r="G2" s="59" t="s">
        <v>260</v>
      </c>
      <c r="H2" s="59" t="s">
        <v>261</v>
      </c>
      <c r="I2" s="59" t="s">
        <v>262</v>
      </c>
      <c r="J2" s="59" t="s">
        <v>263</v>
      </c>
      <c r="K2" s="60" t="s">
        <v>264</v>
      </c>
      <c r="L2" s="57" t="s">
        <v>258</v>
      </c>
      <c r="M2" s="58" t="s">
        <v>259</v>
      </c>
      <c r="N2" s="59" t="s">
        <v>123</v>
      </c>
      <c r="O2" s="59" t="s">
        <v>260</v>
      </c>
      <c r="P2" s="59" t="s">
        <v>261</v>
      </c>
      <c r="Q2" s="59" t="s">
        <v>262</v>
      </c>
      <c r="R2" s="59" t="s">
        <v>263</v>
      </c>
      <c r="S2" s="60" t="s">
        <v>264</v>
      </c>
      <c r="T2" s="61" t="s">
        <v>258</v>
      </c>
      <c r="U2" s="58" t="s">
        <v>259</v>
      </c>
      <c r="V2" s="59" t="s">
        <v>123</v>
      </c>
      <c r="W2" s="59" t="s">
        <v>260</v>
      </c>
      <c r="X2" s="59" t="s">
        <v>261</v>
      </c>
      <c r="Y2" s="59" t="s">
        <v>262</v>
      </c>
      <c r="Z2" s="59" t="s">
        <v>263</v>
      </c>
      <c r="AA2" s="60" t="s">
        <v>264</v>
      </c>
      <c r="AB2" s="62"/>
    </row>
    <row r="3" spans="1:34" x14ac:dyDescent="0.45">
      <c r="A3" t="s">
        <v>265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266</v>
      </c>
      <c r="AG12" t="s">
        <v>267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223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v>2450.5</v>
      </c>
      <c r="E14" s="66">
        <v>2380</v>
      </c>
      <c r="F14" s="46">
        <v>2301.5</v>
      </c>
      <c r="G14" s="46">
        <v>2237</v>
      </c>
      <c r="H14" s="46">
        <f t="shared" ref="H14" si="28">D14-I14</f>
        <v>1873</v>
      </c>
      <c r="I14" s="46">
        <v>577.5</v>
      </c>
      <c r="J14" s="36">
        <f t="shared" ref="J14" si="29" xml:space="preserve"> G14/D14</f>
        <v>0.9128749234850031</v>
      </c>
      <c r="K14" s="36">
        <f t="shared" ref="K14" si="30" xml:space="preserve"> H14/D14</f>
        <v>0.76433380942664764</v>
      </c>
      <c r="L14" s="67">
        <v>1047.5</v>
      </c>
      <c r="M14" s="66">
        <v>1400</v>
      </c>
      <c r="N14" s="46">
        <v>1026.5</v>
      </c>
      <c r="O14" s="46">
        <v>1000</v>
      </c>
      <c r="P14" s="46">
        <f t="shared" ref="P14" si="31">L14-Q14</f>
        <v>867</v>
      </c>
      <c r="Q14" s="46">
        <v>180.5</v>
      </c>
      <c r="R14" s="36">
        <f t="shared" ref="R14" si="32" xml:space="preserve"> O14/L14</f>
        <v>0.95465393794749398</v>
      </c>
      <c r="S14" s="36">
        <f t="shared" ref="S14" si="33" xml:space="preserve"> P14/L14</f>
        <v>0.82768496420047732</v>
      </c>
      <c r="T14" s="65">
        <v>937</v>
      </c>
      <c r="U14" s="66">
        <v>700</v>
      </c>
      <c r="V14" s="46">
        <v>922</v>
      </c>
      <c r="W14" s="46">
        <v>917</v>
      </c>
      <c r="X14" s="46">
        <f t="shared" ref="X14" si="34">T14-Y14</f>
        <v>748</v>
      </c>
      <c r="Y14" s="46">
        <v>189</v>
      </c>
      <c r="Z14" s="36">
        <f t="shared" ref="Z14" si="35" xml:space="preserve"> W14/T14</f>
        <v>0.97865528281750269</v>
      </c>
      <c r="AA14" s="36">
        <f t="shared" ref="AA14" si="36">X14/T14</f>
        <v>0.79829242262540023</v>
      </c>
      <c r="AD14" s="17" t="s">
        <v>224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D15" s="65">
        <v>2250.5</v>
      </c>
      <c r="E15" s="66">
        <v>2380</v>
      </c>
      <c r="F15" s="46">
        <v>2247.5</v>
      </c>
      <c r="G15" s="46">
        <v>2237.5</v>
      </c>
      <c r="H15" s="46">
        <f t="shared" ref="H15" si="37">D15-I15</f>
        <v>1998</v>
      </c>
      <c r="I15" s="46">
        <v>252.5</v>
      </c>
      <c r="J15" s="36">
        <f t="shared" ref="J15" si="38" xml:space="preserve"> G15/D15</f>
        <v>0.99422350588758057</v>
      </c>
      <c r="K15" s="36">
        <f t="shared" ref="K15" si="39" xml:space="preserve"> H15/D15</f>
        <v>0.88780271050877579</v>
      </c>
      <c r="L15" s="67">
        <v>990.5</v>
      </c>
      <c r="M15" s="66">
        <v>1400</v>
      </c>
      <c r="N15" s="46">
        <v>990.5</v>
      </c>
      <c r="O15" s="46">
        <v>981.5</v>
      </c>
      <c r="P15" s="46">
        <f t="shared" ref="P15" si="40">L15-Q15</f>
        <v>922.5</v>
      </c>
      <c r="Q15" s="46">
        <v>68</v>
      </c>
      <c r="R15" s="36">
        <f t="shared" ref="R15" si="41" xml:space="preserve"> O15/L15</f>
        <v>0.99091367995961632</v>
      </c>
      <c r="S15" s="36">
        <f t="shared" ref="S15" si="42" xml:space="preserve"> P15/L15</f>
        <v>0.93134780413932361</v>
      </c>
      <c r="T15" s="65">
        <v>943</v>
      </c>
      <c r="U15" s="66">
        <v>700</v>
      </c>
      <c r="V15" s="46">
        <v>943</v>
      </c>
      <c r="W15" s="46">
        <v>943</v>
      </c>
      <c r="X15" s="46">
        <f t="shared" ref="X15" si="43">T15-Y15</f>
        <v>811.5</v>
      </c>
      <c r="Y15" s="46">
        <v>131.5</v>
      </c>
      <c r="Z15" s="36">
        <f t="shared" ref="Z15" si="44" xml:space="preserve"> W15/T15</f>
        <v>1</v>
      </c>
      <c r="AA15" s="36">
        <f t="shared" ref="AA15" si="45">X15/T15</f>
        <v>0.86055143160127257</v>
      </c>
      <c r="AD15" s="17" t="s">
        <v>236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D16" s="65">
        <f>GETPIVOTDATA("Epic Total Estimate", $AD$8, "Type", "Epic")</f>
        <v>1200</v>
      </c>
      <c r="E16" s="66">
        <v>2380</v>
      </c>
      <c r="F16" s="46">
        <f>GETPIVOTDATA("Stories Estimate", $AD$8, "Type", "Epic")</f>
        <v>0</v>
      </c>
      <c r="G16" s="46">
        <f>GETPIVOTDATA("Epic Decomposed", $AD$8, "Type", "Epic")</f>
        <v>360</v>
      </c>
      <c r="H16" s="46">
        <f t="shared" ref="H16" si="46">D16-I16</f>
        <v>900</v>
      </c>
      <c r="I16" s="46">
        <f>GETPIVOTDATA("Epic Remaining Estimate", $AD$8, "Type", "Epic")</f>
        <v>300</v>
      </c>
      <c r="J16" s="36">
        <f t="shared" ref="J16" si="47" xml:space="preserve"> G16/D16</f>
        <v>0.3</v>
      </c>
      <c r="K16" s="36">
        <f t="shared" ref="K16" si="48" xml:space="preserve"> H16/D16</f>
        <v>0.75</v>
      </c>
      <c r="L16" s="67">
        <f>GETPIVOTDATA("Epic Total Estimate", $AD$8, "Type", "Epic", "ST:Components", "Diagram Editor")</f>
        <v>200</v>
      </c>
      <c r="M16" s="66">
        <v>1400</v>
      </c>
      <c r="N16" s="46">
        <f>GETPIVOTDATA("Stories Estimate", $AD$8, "Type", "Epic", "ST:Components", "Diagram Editor")</f>
        <v>0</v>
      </c>
      <c r="O16" s="46">
        <f>GETPIVOTDATA("Epic Decomposed", $AD$8, "Type", "Epic", "ST:Components", "Diagram Editor")</f>
        <v>180</v>
      </c>
      <c r="P16" s="46">
        <f t="shared" ref="P16" si="49">L16-Q16</f>
        <v>50</v>
      </c>
      <c r="Q16" s="46">
        <f>GETPIVOTDATA("Epic Remaining Estimate", $AD$8, "Type", "Epic", "ST:Components", "Diagram Editor")</f>
        <v>150</v>
      </c>
      <c r="R16" s="36">
        <f t="shared" ref="R16" si="50" xml:space="preserve"> O16/L16</f>
        <v>0.9</v>
      </c>
      <c r="S16" s="36">
        <f t="shared" ref="S16" si="51" xml:space="preserve"> P16/L16</f>
        <v>0.25</v>
      </c>
      <c r="T16" s="65">
        <f>GETPIVOTDATA("Epic Total Estimate", $AD$8, "Type", "Epic", "ST:Components", "Artifact List")</f>
        <v>200</v>
      </c>
      <c r="U16" s="66">
        <v>700</v>
      </c>
      <c r="V16" s="46">
        <f>GETPIVOTDATA("Stories Estimate", $AD$8, "Type", "Epic", "ST:Components", "Artifact List")</f>
        <v>0</v>
      </c>
      <c r="W16" s="46">
        <f>GETPIVOTDATA("Epic Decomposed", $AD$8, "Type", "Epic", "ST:Components", "Artifact List")</f>
        <v>180</v>
      </c>
      <c r="X16" s="46">
        <f t="shared" ref="X16" si="52">T16-Y16</f>
        <v>50</v>
      </c>
      <c r="Y16" s="46">
        <f>GETPIVOTDATA("Epic Remaining Estimate", $AD$8, "Type", "Epic", "ST:Components", "Artifact List")</f>
        <v>150</v>
      </c>
      <c r="Z16" s="36">
        <f t="shared" ref="Z16" si="53" xml:space="preserve"> W16/T16</f>
        <v>0.9</v>
      </c>
      <c r="AA16" s="36">
        <f t="shared" ref="AA16" si="54">X16/T16</f>
        <v>0.25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161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9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198</v>
      </c>
    </row>
    <row r="2" spans="2:8" x14ac:dyDescent="0.45">
      <c r="G2" s="16" t="s">
        <v>275</v>
      </c>
      <c r="H2" t="s">
        <v>277</v>
      </c>
    </row>
    <row r="3" spans="2:8" x14ac:dyDescent="0.45">
      <c r="B3" s="16" t="s">
        <v>162</v>
      </c>
      <c r="C3" t="s">
        <v>242</v>
      </c>
    </row>
    <row r="4" spans="2:8" x14ac:dyDescent="0.45">
      <c r="B4" s="17" t="s">
        <v>68</v>
      </c>
      <c r="C4" s="20">
        <v>840</v>
      </c>
      <c r="G4" s="16" t="s">
        <v>162</v>
      </c>
      <c r="H4" t="s">
        <v>189</v>
      </c>
    </row>
    <row r="5" spans="2:8" x14ac:dyDescent="0.45">
      <c r="B5" s="17" t="s">
        <v>50</v>
      </c>
      <c r="C5" s="20">
        <v>840</v>
      </c>
      <c r="G5" s="17" t="s">
        <v>54</v>
      </c>
      <c r="H5" s="20">
        <v>5</v>
      </c>
    </row>
    <row r="6" spans="2:8" x14ac:dyDescent="0.45">
      <c r="G6" s="17" t="s">
        <v>57</v>
      </c>
      <c r="H6" s="20">
        <v>10</v>
      </c>
    </row>
    <row r="7" spans="2:8" x14ac:dyDescent="0.45">
      <c r="G7" s="17" t="s">
        <v>50</v>
      </c>
      <c r="H7" s="20">
        <v>15</v>
      </c>
    </row>
    <row r="15" spans="2:8" x14ac:dyDescent="0.45">
      <c r="B15" t="s">
        <v>240</v>
      </c>
      <c r="C15" t="s">
        <v>243</v>
      </c>
      <c r="D15" t="s">
        <v>244</v>
      </c>
    </row>
    <row r="16" spans="2:8" x14ac:dyDescent="0.45">
      <c r="B16" t="s">
        <v>148</v>
      </c>
      <c r="C16">
        <v>1872.5</v>
      </c>
      <c r="D16">
        <v>227.5</v>
      </c>
    </row>
    <row r="17" spans="2:4" x14ac:dyDescent="0.45">
      <c r="B17" t="s">
        <v>149</v>
      </c>
      <c r="C17">
        <v>1932.75</v>
      </c>
      <c r="D17">
        <v>291</v>
      </c>
    </row>
    <row r="18" spans="2:4" x14ac:dyDescent="0.45">
      <c r="B18" t="s">
        <v>150</v>
      </c>
      <c r="C18">
        <v>1438</v>
      </c>
      <c r="D18">
        <v>286</v>
      </c>
    </row>
    <row r="19" spans="2:4" x14ac:dyDescent="0.45">
      <c r="B19" t="s">
        <v>151</v>
      </c>
      <c r="C19">
        <v>1265</v>
      </c>
      <c r="D19">
        <v>339.5</v>
      </c>
    </row>
    <row r="20" spans="2:4" x14ac:dyDescent="0.45">
      <c r="B20" t="s">
        <v>152</v>
      </c>
      <c r="C20">
        <v>1099</v>
      </c>
      <c r="D20">
        <v>348</v>
      </c>
    </row>
    <row r="21" spans="2:4" x14ac:dyDescent="0.45">
      <c r="B21" t="s">
        <v>153</v>
      </c>
      <c r="C21">
        <v>779</v>
      </c>
      <c r="D21">
        <v>348</v>
      </c>
    </row>
    <row r="22" spans="2:4" x14ac:dyDescent="0.45">
      <c r="B22" t="s">
        <v>154</v>
      </c>
      <c r="C22">
        <v>701</v>
      </c>
      <c r="D22">
        <v>217</v>
      </c>
    </row>
    <row r="23" spans="2:4" x14ac:dyDescent="0.45">
      <c r="B23" t="s">
        <v>155</v>
      </c>
      <c r="C23">
        <v>521</v>
      </c>
      <c r="D23">
        <v>222.5</v>
      </c>
    </row>
    <row r="24" spans="2:4" x14ac:dyDescent="0.45">
      <c r="B24" t="s">
        <v>156</v>
      </c>
      <c r="C24">
        <v>441</v>
      </c>
      <c r="D24">
        <v>205</v>
      </c>
    </row>
    <row r="25" spans="2:4" x14ac:dyDescent="0.45">
      <c r="B25" t="s">
        <v>157</v>
      </c>
      <c r="C25">
        <v>416</v>
      </c>
      <c r="D25">
        <v>161</v>
      </c>
    </row>
    <row r="26" spans="2:4" x14ac:dyDescent="0.45">
      <c r="B26" t="s">
        <v>158</v>
      </c>
      <c r="C26">
        <v>770</v>
      </c>
      <c r="D26">
        <v>239.5</v>
      </c>
    </row>
    <row r="27" spans="2:4" x14ac:dyDescent="0.45">
      <c r="B27" t="s">
        <v>159</v>
      </c>
      <c r="C27">
        <v>592.5</v>
      </c>
      <c r="D27">
        <v>239.5</v>
      </c>
    </row>
    <row r="28" spans="2:4" x14ac:dyDescent="0.45">
      <c r="B28" t="s">
        <v>160</v>
      </c>
      <c r="C28">
        <f t="shared" ref="C28" si="0">GETPIVOTDATA("Epic Not Decomposed Estimate",$B$3)</f>
        <v>840</v>
      </c>
      <c r="D28">
        <f>GETPIVOTDATA("Story Points",$G$1)</f>
        <v>15</v>
      </c>
    </row>
    <row r="29" spans="2:4" x14ac:dyDescent="0.45">
      <c r="B29" t="s">
        <v>161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221</v>
      </c>
      <c r="B9" s="20">
        <v>10</v>
      </c>
      <c r="D9" s="17" t="s">
        <v>221</v>
      </c>
      <c r="E9" s="20">
        <v>20</v>
      </c>
      <c r="G9" s="17" t="s">
        <v>221</v>
      </c>
      <c r="H9" s="20">
        <v>35</v>
      </c>
      <c r="J9" s="17" t="s">
        <v>221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155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155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2018-09-25T19:36:23Z</dcterms:modified>
</cp:coreProperties>
</file>