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F18F94D7-C435-4F7A-B28B-B4E67E04731E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UiPath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46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8" i="26" l="1"/>
  <c r="AC8" i="26"/>
  <c r="U8" i="26"/>
  <c r="M8" i="26"/>
  <c r="E8" i="26"/>
  <c r="C20" i="24"/>
  <c r="D20" i="24"/>
  <c r="AW8" i="26"/>
  <c r="AU8" i="26"/>
  <c r="AT8" i="26"/>
  <c r="AR8" i="26"/>
  <c r="AD8" i="26"/>
  <c r="F8" i="26"/>
  <c r="Q8" i="26"/>
  <c r="AB8" i="26"/>
  <c r="D8" i="26"/>
  <c r="N8" i="26"/>
  <c r="Y8" i="26"/>
  <c r="O8" i="26"/>
  <c r="W8" i="26"/>
  <c r="AG8" i="26"/>
  <c r="T8" i="26"/>
  <c r="L8" i="26"/>
  <c r="V8" i="26"/>
  <c r="I8" i="26"/>
  <c r="AE8" i="26"/>
  <c r="G8" i="26"/>
  <c r="AV8" i="26" l="1"/>
  <c r="AY8" i="26" s="1"/>
  <c r="AX8" i="26"/>
  <c r="J8" i="26"/>
  <c r="AH8" i="26"/>
  <c r="P8" i="26"/>
  <c r="S8" i="26" s="1"/>
  <c r="X8" i="26"/>
  <c r="AA8" i="26" s="1"/>
  <c r="Z8" i="26"/>
  <c r="R8" i="26"/>
  <c r="H8" i="26"/>
  <c r="K8" i="26" s="1"/>
  <c r="AF8" i="26"/>
  <c r="AI8" i="26" s="1"/>
  <c r="H51" i="14"/>
  <c r="G51" i="14"/>
  <c r="F51" i="14"/>
  <c r="E51" i="14"/>
  <c r="D51" i="14"/>
  <c r="C51" i="14"/>
  <c r="H50" i="14"/>
  <c r="G50" i="14"/>
  <c r="F50" i="14"/>
  <c r="E50" i="14"/>
  <c r="D50" i="14"/>
  <c r="C50" i="14"/>
  <c r="B51" i="14"/>
  <c r="B50" i="14"/>
  <c r="H52" i="14"/>
  <c r="G52" i="14"/>
  <c r="F52" i="14"/>
  <c r="E52" i="14"/>
  <c r="D52" i="14"/>
  <c r="C52" i="14"/>
  <c r="AI8" i="9"/>
  <c r="AG8" i="9"/>
  <c r="X8" i="9"/>
  <c r="V8" i="9"/>
  <c r="T8" i="9"/>
  <c r="R8" i="9"/>
  <c r="P8" i="9"/>
  <c r="M8" i="9"/>
  <c r="O8" i="9"/>
  <c r="N8" i="9"/>
  <c r="AF9" i="9" l="1"/>
  <c r="AF7" i="9"/>
  <c r="AF8" i="9"/>
  <c r="AF11" i="9"/>
  <c r="AF12" i="9"/>
  <c r="AS12" i="26" l="1"/>
  <c r="AS11" i="26"/>
  <c r="AC12" i="26"/>
  <c r="AC11" i="26"/>
  <c r="U12" i="26"/>
  <c r="U11" i="26"/>
  <c r="M12" i="26"/>
  <c r="M11" i="26"/>
  <c r="E12" i="26"/>
  <c r="E11" i="26"/>
  <c r="AH12" i="9"/>
  <c r="AH11" i="9"/>
  <c r="AF10" i="9"/>
  <c r="W12" i="9"/>
  <c r="W11" i="9"/>
  <c r="U12" i="9"/>
  <c r="U11" i="9"/>
  <c r="S12" i="9"/>
  <c r="S11" i="9"/>
  <c r="Q12" i="9"/>
  <c r="Q11" i="9"/>
  <c r="L12" i="9"/>
  <c r="L11" i="9"/>
  <c r="L10" i="9"/>
  <c r="L9" i="9"/>
  <c r="L8" i="9"/>
  <c r="L7" i="9"/>
  <c r="L6" i="9"/>
  <c r="L5" i="9"/>
  <c r="L4" i="9"/>
  <c r="K12" i="9"/>
  <c r="K11" i="9"/>
  <c r="K10" i="9"/>
  <c r="K9" i="9"/>
  <c r="K8" i="9"/>
  <c r="K7" i="9"/>
  <c r="K6" i="9"/>
  <c r="K5" i="9"/>
  <c r="K4" i="9"/>
  <c r="J12" i="9"/>
  <c r="J11" i="9"/>
  <c r="I12" i="9"/>
  <c r="H12" i="9"/>
  <c r="I11" i="9"/>
  <c r="H11" i="9"/>
  <c r="B6" i="9"/>
  <c r="AS10" i="26" l="1"/>
  <c r="AS9" i="26"/>
  <c r="AS7" i="26"/>
  <c r="AS6" i="26"/>
  <c r="AY10" i="26"/>
  <c r="AX10" i="26"/>
  <c r="AY9" i="26"/>
  <c r="AX9" i="26"/>
  <c r="AX6" i="26"/>
  <c r="AV6" i="26"/>
  <c r="AY6" i="26" s="1"/>
  <c r="AV7" i="26" l="1"/>
  <c r="AY7" i="26" s="1"/>
  <c r="AX7" i="26"/>
  <c r="N42" i="9" l="1"/>
  <c r="AH10" i="9" l="1"/>
  <c r="AH9" i="9"/>
  <c r="AH8" i="9"/>
  <c r="AH7" i="9"/>
  <c r="AH6" i="9"/>
  <c r="AG21" i="9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6" i="26" l="1"/>
  <c r="AC7" i="26"/>
  <c r="U7" i="26"/>
  <c r="M7" i="26"/>
  <c r="E7" i="26"/>
  <c r="P7" i="26" l="1"/>
  <c r="S7" i="26" s="1"/>
  <c r="R7" i="26"/>
  <c r="H7" i="26"/>
  <c r="K7" i="26" s="1"/>
  <c r="AF7" i="26"/>
  <c r="AI7" i="26" s="1"/>
  <c r="J7" i="26"/>
  <c r="AH7" i="26"/>
  <c r="X7" i="26"/>
  <c r="AA7" i="26" s="1"/>
  <c r="Z7" i="26"/>
  <c r="U6" i="26"/>
  <c r="M6" i="26"/>
  <c r="E6" i="26"/>
  <c r="P6" i="26" l="1"/>
  <c r="S6" i="26" s="1"/>
  <c r="H6" i="26"/>
  <c r="K6" i="26" s="1"/>
  <c r="AF6" i="26"/>
  <c r="AI6" i="26" s="1"/>
  <c r="J6" i="26"/>
  <c r="X6" i="26"/>
  <c r="AA6" i="26" s="1"/>
  <c r="R6" i="26"/>
  <c r="AH6" i="26"/>
  <c r="Z6" i="26"/>
  <c r="AC5" i="26"/>
  <c r="U5" i="26"/>
  <c r="M5" i="26"/>
  <c r="E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AC9" i="26"/>
  <c r="U10" i="26"/>
  <c r="U9" i="26"/>
  <c r="M10" i="26"/>
  <c r="M9" i="26"/>
  <c r="E10" i="26"/>
  <c r="E9" i="26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9" i="14"/>
  <c r="B48" i="14"/>
  <c r="B47" i="14"/>
  <c r="B46" i="14"/>
  <c r="B45" i="14"/>
  <c r="B44" i="14"/>
  <c r="B43" i="14"/>
  <c r="Z10" i="26" l="1"/>
  <c r="K10" i="26"/>
  <c r="AA10" i="26"/>
  <c r="S10" i="26"/>
  <c r="R10" i="26"/>
  <c r="AI10" i="26"/>
  <c r="AH10" i="26"/>
  <c r="J10" i="26"/>
  <c r="B18" i="9"/>
  <c r="B14" i="9"/>
  <c r="AI9" i="26" l="1"/>
  <c r="R9" i="26"/>
  <c r="S9" i="26"/>
  <c r="AH9" i="26"/>
  <c r="K9" i="26"/>
  <c r="Z9" i="26"/>
  <c r="J9" i="26"/>
  <c r="AA9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6" i="22" l="1"/>
  <c r="L16" i="22"/>
  <c r="E6" i="9" l="1"/>
  <c r="B2" i="9" s="1"/>
  <c r="AG17" i="9" l="1"/>
  <c r="AG18" i="9" s="1"/>
  <c r="B22" i="9"/>
  <c r="B23" i="9" s="1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U10" i="9" l="1"/>
  <c r="W10" i="9"/>
  <c r="U4" i="9"/>
  <c r="U8" i="9"/>
  <c r="S7" i="9"/>
  <c r="U6" i="9"/>
  <c r="W9" i="9"/>
  <c r="U7" i="9"/>
  <c r="U9" i="9"/>
  <c r="W8" i="9"/>
  <c r="Q4" i="9"/>
  <c r="W5" i="9"/>
  <c r="U5" i="9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<sst xmlns="http://schemas.openxmlformats.org/spreadsheetml/2006/main" count="1144" uniqueCount="284">
  <si>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</si>
  <si>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</si>
  <si>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</si>
  <si>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</si>
  <si>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</si>
  <si>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</si>
  <si>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</si>
  <si>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</si>
  <si>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</si>
  <si>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</si>
  <si>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</si>
  <si>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</si>
  <si>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</si>
  <si>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</si>
  <si>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</si>
  <si>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</si>
  <si>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</si>
  <si>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</si>
  <si>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</si>
  <si>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</si>
  <si>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</si>
  <si>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</si>
  <si>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</si>
  <si>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</si>
  <si>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</si>
  <si>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</si>
  <si>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</si>
  <si>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</si>
  <si>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</si>
  <si>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</si>
  <si>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</si>
  <si>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</si>
  <si>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</si>
  <si>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</si>
  <si>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</si>
  <si>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</si>
  <si>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</si>
  <si>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</si>
  <si>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</si>
  <si>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</si>
  <si>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</si>
  <si>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</si>
  <si>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</si>
  <si>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</si>
  <si>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</si>
  <si>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</si>
  <si>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</si>
  <si>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</si>
  <si>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</si>
  <si>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</si>
  <si>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</si>
  <si>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</si>
  <si>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</si>
  <si>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</si>
  <si>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</si>
  <si>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</si>
  <si>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</si>
  <si>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</si>
  <si>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</si>
  <si>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</si>
  <si>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</si>
  <si>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</si>
  <si>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</si>
  <si>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</si>
  <si>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</si>
  <si>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</si>
  <si>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</si>
  <si>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</si>
  <si>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</si>
  <si>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</si>
  <si>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</si>
  <si>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</si>
  <si>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</si>
  <si>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</si>
  <si>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</si>
  <si>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</si>
  <si>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</si>
  <si>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</si>
  <si>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</si>
  <si>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</si>
  <si>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</si>
  <si>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</si>
  <si>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</si>
  <si>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</si>
  <si>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</si>
  <si>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</si>
  <si>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</si>
  <si>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</si>
  <si>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</si>
  <si>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</si>
  <si>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</si>
  <si>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</si>
  <si>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</si>
  <si>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</si>
  <si>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</si>
  <si>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</si>
  <si>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</si>
  <si>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</si>
  <si>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</si>
  <si>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</si>
  <si>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</si>
  <si>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</si>
  <si>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</si>
  <si>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</si>
  <si>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</si>
  <si>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</si>
  <si>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</si>
  <si>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</si>
  <si>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</si>
  <si>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</si>
  <si>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</si>
  <si>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</si>
  <si>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</si>
  <si>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</si>
  <si>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</si>
  <si>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</si>
  <si>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</si>
  <si>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</si>
  <si>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</si>
  <si>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</si>
  <si>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</si>
  <si>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</si>
  <si>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</si>
  <si>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</si>
  <si>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</si>
  <si>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</si>
  <si>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</si>
  <si>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</si>
  <si>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</si>
  <si>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</si>
  <si>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</si>
  <si>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</si>
  <si>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</si>
  <si>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</si>
  <si>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</si>
  <si>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</si>
  <si>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</si>
  <si>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</si>
  <si>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</si>
  <si>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</si>
  <si>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</si>
  <si>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</si>
  <si>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</si>
  <si>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</si>
  <si>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</si>
  <si>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</si>
  <si>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</si>
  <si>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</si>
  <si>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</si>
  <si>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</si>
  <si>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</si>
  <si>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</si>
  <si>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</si>
  <si>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</si>
  <si>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</si>
  <si>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</si>
  <si>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</si>
  <si>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</si>
  <si>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</si>
  <si>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</si>
  <si>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</si>
  <si>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</si>
  <si>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</si>
  <si>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</si>
  <si>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</si>
  <si>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</si>
  <si>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</si>
  <si>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</si>
  <si>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</si>
  <si>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</si>
  <si>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</si>
  <si>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</si>
  <si>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</si>
  <si>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</si>
  <si>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</si>
  <si>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</si>
  <si>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</si>
  <si>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</si>
  <si>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</si>
  <si>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</si>
  <si>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</si>
  <si>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</si>
  <si>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</si>
  <si>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</si>
  <si>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</si>
  <si>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</si>
  <si>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</si>
  <si>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</si>
  <si>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</si>
  <si>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</si>
  <si>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</si>
  <si>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</si>
  <si>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</si>
  <si>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</si>
  <si>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</si>
  <si>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</si>
  <si>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</si>
  <si>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</si>
  <si>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</si>
  <si>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</si>
  <si>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</si>
  <si>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</si>
  <si>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</si>
  <si>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</si>
  <si>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</si>
  <si>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</si>
  <si>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</si>
  <si>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</si>
  <si>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</si>
  <si>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</si>
  <si>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</si>
  <si>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</si>
  <si>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</si>
  <si>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</si>
  <si>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</si>
  <si>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</si>
  <si>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</si>
  <si>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</si>
  <si>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</si>
  <si>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</si>
  <si>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</si>
  <si>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</si>
  <si>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</si>
  <si>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</si>
  <si>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</si>
  <si>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</si>
  <si>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</si>
  <si>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</si>
  <si>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</si>
  <si>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</si>
  <si>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</si>
  <si>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</si>
  <si>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</si>
  <si>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</si>
  <si>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</si>
  <si>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</si>
  <si>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</si>
  <si>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</si>
  <si>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</si>
  <si>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</si>
  <si>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</si>
  <si>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</si>
  <si>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</si>
  <si>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</si>
  <si>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</si>
  <si>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</si>
  <si>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</si>
  <si>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</si>
  <si>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</si>
  <si>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</si>
  <si>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</si>
  <si>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</si>
  <si>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</si>
  <si>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</si>
  <si>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</si>
  <si>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</si>
  <si>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</si>
  <si>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</si>
  <si>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</si>
  <si>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</si>
  <si>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</si>
  <si>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</si>
  <si>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</si>
  <si>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</si>
  <si>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</si>
  <si>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</si>
  <si>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</si>
  <si>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</si>
  <si>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</si>
  <si>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</si>
  <si>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</si>
  <si>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</si>
  <si>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</si>
  <si>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</si>
  <si>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</si>
  <si>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</si>
  <si>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</si>
  <si>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</si>
  <si>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</si>
  <si>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</si>
  <si>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</si>
  <si>
    <t>UiPath Integration</t>
  </si>
  <si>
    <t>W8</t>
  </si>
  <si>
    <t>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</si>
</sst>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0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10" fontId="0" fillId="0" borderId="1" xfId="0" applyNumberFormat="1" applyFont="1" applyBorder="1"/>
    <xf numFmtId="167" fontId="0" fillId="0" borderId="1" xfId="0" applyNumberFormat="1" applyFont="1" applyBorder="1"/>
    <xf numFmtId="0" fontId="0" fillId="0" borderId="1" xfId="0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5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6" xfId="0" applyNumberFormat="1" applyBorder="1"/>
    <xf numFmtId="9" fontId="0" fillId="0" borderId="24" xfId="0" applyNumberFormat="1" applyBorder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0.45977011494252873</c:v>
                </c:pt>
                <c:pt idx="1">
                  <c:v>0.54022988505747127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_ReleaseData!$N$3:$N$12</c:f>
              <c:numCache>
                <c:formatCode>0%</c:formatCode>
                <c:ptCount val="10"/>
                <c:pt idx="0">
                  <c:v>0.28999999999999998</c:v>
                </c:pt>
                <c:pt idx="1">
                  <c:v>0.4</c:v>
                </c:pt>
                <c:pt idx="2">
                  <c:v>0.5</c:v>
                </c:pt>
                <c:pt idx="3">
                  <c:v>0.69</c:v>
                </c:pt>
                <c:pt idx="4">
                  <c:v>0.87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_ReleaseData!$S$3:$S$12</c:f>
              <c:numCache>
                <c:formatCode>0.0</c:formatCode>
                <c:ptCount val="10"/>
                <c:pt idx="0">
                  <c:v>260</c:v>
                </c:pt>
                <c:pt idx="1">
                  <c:v>233.10344827586206</c:v>
                </c:pt>
                <c:pt idx="2">
                  <c:v>203.21839080459768</c:v>
                </c:pt>
                <c:pt idx="3">
                  <c:v>173.33333333333334</c:v>
                </c:pt>
                <c:pt idx="4">
                  <c:v>143.44827586206895</c:v>
                </c:pt>
                <c:pt idx="5">
                  <c:v>116.55172413793103</c:v>
                </c:pt>
                <c:pt idx="6">
                  <c:v>86.666666666666671</c:v>
                </c:pt>
                <c:pt idx="7">
                  <c:v>59.77011494252875</c:v>
                </c:pt>
                <c:pt idx="8">
                  <c:v>29.885057471264361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_ReleaseData!$T$3:$T$12</c:f>
              <c:numCache>
                <c:formatCode>0.0</c:formatCode>
                <c:ptCount val="10"/>
                <c:pt idx="0">
                  <c:v>136</c:v>
                </c:pt>
                <c:pt idx="1">
                  <c:v>138.30000000000001</c:v>
                </c:pt>
                <c:pt idx="2">
                  <c:v>139.30000000000001</c:v>
                </c:pt>
                <c:pt idx="3">
                  <c:v>85.3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'!$L$3:$L$12</c:f>
              <c:numCache>
                <c:formatCode>0.0</c:formatCode>
                <c:ptCount val="10"/>
                <c:pt idx="0">
                  <c:v>191.8</c:v>
                </c:pt>
                <c:pt idx="1">
                  <c:v>232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'!$N$3:$N$12</c:f>
              <c:numCache>
                <c:formatCode>0.0</c:formatCode>
                <c:ptCount val="10"/>
                <c:pt idx="0">
                  <c:v>124.8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'!$O$3:$O$12</c:f>
              <c:numCache>
                <c:formatCode>0.0</c:formatCode>
                <c:ptCount val="10"/>
                <c:pt idx="0">
                  <c:v>120.8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'!$P$3:$P$12</c:f>
              <c:numCache>
                <c:formatCode>0.0</c:formatCode>
                <c:ptCount val="10"/>
                <c:pt idx="0">
                  <c:v>55.800000000000011</c:v>
                </c:pt>
                <c:pt idx="1">
                  <c:v>93.699999999999989</c:v>
                </c:pt>
                <c:pt idx="2">
                  <c:v>136.5</c:v>
                </c:pt>
                <c:pt idx="3">
                  <c:v>192.5</c:v>
                </c:pt>
                <c:pt idx="4">
                  <c:v>243.8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'!$M$3:$M$12</c:f>
              <c:numCache>
                <c:formatCode>0</c:formatCode>
                <c:ptCount val="1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0.45977011494252873</c:v>
                </c:pt>
                <c:pt idx="1">
                  <c:v>0.54022988505747127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_ReleaseData!$L$3:$L$12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_ReleaseData!$O$3:$O$12</c:f>
              <c:numCache>
                <c:formatCode>0%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0.26</c:v>
                </c:pt>
                <c:pt idx="3">
                  <c:v>0.39</c:v>
                </c:pt>
                <c:pt idx="4">
                  <c:v>0.39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_ReleaseData!$U$3:$U$12</c:f>
              <c:numCache>
                <c:formatCode>0.0</c:formatCode>
                <c:ptCount val="10"/>
                <c:pt idx="0">
                  <c:v>200</c:v>
                </c:pt>
                <c:pt idx="1">
                  <c:v>179.31034482758622</c:v>
                </c:pt>
                <c:pt idx="2">
                  <c:v>156.32183908045977</c:v>
                </c:pt>
                <c:pt idx="3">
                  <c:v>133.33333333333334</c:v>
                </c:pt>
                <c:pt idx="4">
                  <c:v>110.34482758620689</c:v>
                </c:pt>
                <c:pt idx="5">
                  <c:v>89.65517241379311</c:v>
                </c:pt>
                <c:pt idx="6">
                  <c:v>66.666666666666671</c:v>
                </c:pt>
                <c:pt idx="7">
                  <c:v>45.977011494252885</c:v>
                </c:pt>
                <c:pt idx="8">
                  <c:v>22.988505747126432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_ReleaseData!$V$3:$V$12</c:f>
              <c:numCache>
                <c:formatCode>0.0</c:formatCode>
                <c:ptCount val="10"/>
                <c:pt idx="0">
                  <c:v>178</c:v>
                </c:pt>
                <c:pt idx="1">
                  <c:v>173</c:v>
                </c:pt>
                <c:pt idx="2">
                  <c:v>139</c:v>
                </c:pt>
                <c:pt idx="3">
                  <c:v>115</c:v>
                </c:pt>
                <c:pt idx="4">
                  <c:v>115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'!$T$3:$T$12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'!$V$3:$V$12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'!$W$3:$W$12</c:f>
              <c:numCache>
                <c:formatCode>0.0</c:formatCode>
                <c:ptCount val="10"/>
                <c:pt idx="0">
                  <c:v>117</c:v>
                </c:pt>
                <c:pt idx="1">
                  <c:v>137</c:v>
                </c:pt>
                <c:pt idx="2">
                  <c:v>183</c:v>
                </c:pt>
                <c:pt idx="3">
                  <c:v>188</c:v>
                </c:pt>
                <c:pt idx="4">
                  <c:v>188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'!$X$3:$X$12</c:f>
              <c:numCache>
                <c:formatCode>0.0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49</c:v>
                </c:pt>
                <c:pt idx="3">
                  <c:v>73</c:v>
                </c:pt>
                <c:pt idx="4">
                  <c:v>73</c:v>
                </c:pt>
                <c:pt idx="5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'!$U$3:$U$12</c:f>
              <c:numCache>
                <c:formatCode>0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0.18965517241379309</c:v>
                </c:pt>
                <c:pt idx="1">
                  <c:v>0.81034482758620685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_ReleaseData!$P$3:$P$12</c:f>
              <c:numCache>
                <c:formatCode>0%</c:formatCode>
                <c:ptCount val="10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0.41</c:v>
                </c:pt>
                <c:pt idx="4">
                  <c:v>0.56000000000000005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_ReleaseData!$W$3:$W$12</c:f>
              <c:numCache>
                <c:formatCode>0.0</c:formatCode>
                <c:ptCount val="10"/>
                <c:pt idx="0">
                  <c:v>60</c:v>
                </c:pt>
                <c:pt idx="1">
                  <c:v>53.793103448275865</c:v>
                </c:pt>
                <c:pt idx="2">
                  <c:v>46.896551724137929</c:v>
                </c:pt>
                <c:pt idx="3">
                  <c:v>40.000000000000007</c:v>
                </c:pt>
                <c:pt idx="4">
                  <c:v>33.103448275862071</c:v>
                </c:pt>
                <c:pt idx="5">
                  <c:v>26.896551724137932</c:v>
                </c:pt>
                <c:pt idx="6">
                  <c:v>20.000000000000004</c:v>
                </c:pt>
                <c:pt idx="7">
                  <c:v>13.793103448275865</c:v>
                </c:pt>
                <c:pt idx="8">
                  <c:v>6.8965517241379288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_ReleaseData!$X$3:$X$12</c:f>
              <c:numCache>
                <c:formatCode>0.0</c:formatCode>
                <c:ptCount val="10"/>
                <c:pt idx="0">
                  <c:v>59</c:v>
                </c:pt>
                <c:pt idx="1">
                  <c:v>52</c:v>
                </c:pt>
                <c:pt idx="2">
                  <c:v>52</c:v>
                </c:pt>
                <c:pt idx="3">
                  <c:v>35</c:v>
                </c:pt>
                <c:pt idx="4">
                  <c:v>26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'!$AB$3:$AB$12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'!$AD$3:$AD$12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'!$AE$3:$AE$12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'!$AF$3:$AF$12</c:f>
              <c:numCache>
                <c:formatCode>0.0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24</c:v>
                </c:pt>
                <c:pt idx="4">
                  <c:v>33</c:v>
                </c:pt>
                <c:pt idx="5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'!$AC$3:$AC$12</c:f>
              <c:numCache>
                <c:formatCode>0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UiPath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'!$AR$3:$AR$12</c:f>
              <c:numCache>
                <c:formatCode>0.0</c:formatCode>
                <c:ptCount val="10"/>
                <c:pt idx="3">
                  <c:v>71.3</c:v>
                </c:pt>
                <c:pt idx="4">
                  <c:v>54.3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'!$AT$3:$AT$12</c:f>
              <c:numCache>
                <c:formatCode>0.0</c:formatCode>
                <c:ptCount val="10"/>
                <c:pt idx="3">
                  <c:v>53.3</c:v>
                </c:pt>
                <c:pt idx="4">
                  <c:v>54.3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'!$AU$3:$AU$12</c:f>
              <c:numCache>
                <c:formatCode>0.0</c:formatCode>
                <c:ptCount val="10"/>
                <c:pt idx="3">
                  <c:v>53.3</c:v>
                </c:pt>
                <c:pt idx="4">
                  <c:v>54.3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'!$AV$3:$AV$12</c:f>
              <c:numCache>
                <c:formatCode>0.0</c:formatCode>
                <c:ptCount val="10"/>
                <c:pt idx="3">
                  <c:v>0</c:v>
                </c:pt>
                <c:pt idx="4">
                  <c:v>34.299999999999997</c:v>
                </c:pt>
                <c:pt idx="5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'!$AS$3:$AS$12</c:f>
              <c:numCache>
                <c:formatCode>0</c:formatCode>
                <c:ptCount val="10"/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0.18965517241379309</c:v>
                </c:pt>
                <c:pt idx="1">
                  <c:v>0.81034482758620685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UiPath</a:t>
            </a:r>
            <a:r>
              <a:rPr lang="en-CA" sz="1100" baseline="0"/>
              <a:t> Integration 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_ReleaseData!$M$3:$M$12</c:f>
              <c:numCache>
                <c:formatCode>0%</c:formatCode>
                <c:ptCount val="10"/>
                <c:pt idx="0">
                  <c:v>0.11</c:v>
                </c:pt>
                <c:pt idx="1">
                  <c:v>0.23</c:v>
                </c:pt>
                <c:pt idx="2">
                  <c:v>0.35</c:v>
                </c:pt>
                <c:pt idx="3">
                  <c:v>0.46</c:v>
                </c:pt>
                <c:pt idx="4">
                  <c:v>0.57999999999999996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UiPath</a:t>
            </a:r>
            <a:r>
              <a:rPr lang="en-CA" baseline="0"/>
              <a:t> Integration Progress</a:t>
            </a:r>
            <a:endParaRPr lang="en-CA"/>
          </a:p>
        </c:rich>
      </c:tx>
      <c:layout>
        <c:manualLayout>
          <c:xMode val="edge"/>
          <c:yMode val="edge"/>
          <c:x val="0.26056754479764099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_ReleaseData!$AF$3:$AF$12</c:f>
              <c:numCache>
                <c:formatCode>0%</c:formatCode>
                <c:ptCount val="10"/>
                <c:pt idx="3">
                  <c:v>0</c:v>
                </c:pt>
                <c:pt idx="4">
                  <c:v>0.17241379310344829</c:v>
                </c:pt>
                <c:pt idx="5">
                  <c:v>0.32758620689655171</c:v>
                </c:pt>
                <c:pt idx="6">
                  <c:v>0.5</c:v>
                </c:pt>
                <c:pt idx="7">
                  <c:v>0.65517241379310343</c:v>
                </c:pt>
                <c:pt idx="8">
                  <c:v>0.82758620689655171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_ReleaseData!$AG$3:$AG$12</c:f>
              <c:numCache>
                <c:formatCode>0%</c:formatCode>
                <c:ptCount val="10"/>
                <c:pt idx="3">
                  <c:v>0</c:v>
                </c:pt>
                <c:pt idx="4">
                  <c:v>0.63</c:v>
                </c:pt>
                <c:pt idx="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_ReleaseData!$AH$3:$AH$12</c:f>
              <c:numCache>
                <c:formatCode>0.0</c:formatCode>
                <c:ptCount val="10"/>
                <c:pt idx="3">
                  <c:v>70</c:v>
                </c:pt>
                <c:pt idx="4">
                  <c:v>57.931034482758619</c:v>
                </c:pt>
                <c:pt idx="5">
                  <c:v>47.068965517241381</c:v>
                </c:pt>
                <c:pt idx="6">
                  <c:v>35</c:v>
                </c:pt>
                <c:pt idx="7">
                  <c:v>24.137931034482762</c:v>
                </c:pt>
                <c:pt idx="8">
                  <c:v>12.068965517241381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_ReleaseData!$AI$3:$AI$12</c:f>
              <c:numCache>
                <c:formatCode>0.0</c:formatCode>
                <c:ptCount val="10"/>
                <c:pt idx="3">
                  <c:v>71.25</c:v>
                </c:pt>
                <c:pt idx="4">
                  <c:v>20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_ReadinessData!$B$16:$B$24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_ReadinessData!$C$16:$C$24</c:f>
              <c:numCache>
                <c:formatCode>General</c:formatCode>
                <c:ptCount val="9"/>
                <c:pt idx="0">
                  <c:v>112</c:v>
                </c:pt>
                <c:pt idx="1">
                  <c:v>24.5</c:v>
                </c:pt>
                <c:pt idx="2">
                  <c:v>27.5</c:v>
                </c:pt>
                <c:pt idx="3">
                  <c:v>15.5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_ReadinessData!$B$16:$B$24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_ReadinessData!$D$16:$D$24</c:f>
              <c:numCache>
                <c:formatCode>General</c:formatCode>
                <c:ptCount val="9"/>
                <c:pt idx="0">
                  <c:v>241.5</c:v>
                </c:pt>
                <c:pt idx="1">
                  <c:v>282.25</c:v>
                </c:pt>
                <c:pt idx="2">
                  <c:v>244.25</c:v>
                </c:pt>
                <c:pt idx="3">
                  <c:v>184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_TeamVelocityData!$B$6:$B$15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_TeamVelocityData!$C$6:$C$15</c:f>
              <c:numCache>
                <c:formatCode>General</c:formatCode>
                <c:ptCount val="9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Wavelength5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_BugsData!$C$43:$C$51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_BugsData!$D$43:$D$49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_BugsData!$E$43:$E$49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_BugsData!$F$43:$F$49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_BugsData!$G$43:$G$49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_BugsData!$B$43:$B$51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_BugsData!$H$43:$H$51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UiPath Integration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_ReleaseData!$Q$3:$Q$12</c:f>
              <c:numCache>
                <c:formatCode>0.0</c:formatCode>
                <c:ptCount val="10"/>
                <c:pt idx="0">
                  <c:v>700</c:v>
                </c:pt>
                <c:pt idx="1">
                  <c:v>627.58620689655174</c:v>
                </c:pt>
                <c:pt idx="2">
                  <c:v>547.12643678160919</c:v>
                </c:pt>
                <c:pt idx="3">
                  <c:v>466.66666666666674</c:v>
                </c:pt>
                <c:pt idx="4">
                  <c:v>386.20689655172413</c:v>
                </c:pt>
                <c:pt idx="5">
                  <c:v>313.79310344827587</c:v>
                </c:pt>
                <c:pt idx="6">
                  <c:v>233.33333333333337</c:v>
                </c:pt>
                <c:pt idx="7">
                  <c:v>160.91954022988509</c:v>
                </c:pt>
                <c:pt idx="8">
                  <c:v>80.459770114942515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_ReleaseData!$R$3:$R$12</c:f>
              <c:numCache>
                <c:formatCode>0.0</c:formatCode>
                <c:ptCount val="10"/>
                <c:pt idx="0">
                  <c:v>465</c:v>
                </c:pt>
                <c:pt idx="1">
                  <c:v>442.3</c:v>
                </c:pt>
                <c:pt idx="2">
                  <c:v>408.8</c:v>
                </c:pt>
                <c:pt idx="3">
                  <c:v>387.8</c:v>
                </c:pt>
                <c:pt idx="4">
                  <c:v>311.5</c:v>
                </c:pt>
                <c:pt idx="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'!$D$3:$D$12</c:f>
              <c:numCache>
                <c:formatCode>0.0</c:formatCode>
                <c:ptCount val="10"/>
                <c:pt idx="0">
                  <c:v>520.79999999999995</c:v>
                </c:pt>
                <c:pt idx="1">
                  <c:v>573</c:v>
                </c:pt>
                <c:pt idx="2">
                  <c:v>630.79999999999995</c:v>
                </c:pt>
                <c:pt idx="3">
                  <c:v>723.3</c:v>
                </c:pt>
                <c:pt idx="4">
                  <c:v>745.8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'!$F$3:$F$12</c:f>
              <c:numCache>
                <c:formatCode>0.0</c:formatCode>
                <c:ptCount val="10"/>
                <c:pt idx="0">
                  <c:v>443.8</c:v>
                </c:pt>
                <c:pt idx="1">
                  <c:v>525</c:v>
                </c:pt>
                <c:pt idx="2">
                  <c:v>630.79999999999995</c:v>
                </c:pt>
                <c:pt idx="3">
                  <c:v>705.3</c:v>
                </c:pt>
                <c:pt idx="4">
                  <c:v>745.8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'!$G$3:$G$12</c:f>
              <c:numCache>
                <c:formatCode>0.0</c:formatCode>
                <c:ptCount val="10"/>
                <c:pt idx="0">
                  <c:v>378.3</c:v>
                </c:pt>
                <c:pt idx="1">
                  <c:v>461.5</c:v>
                </c:pt>
                <c:pt idx="2">
                  <c:v>606.29999999999995</c:v>
                </c:pt>
                <c:pt idx="3">
                  <c:v>695.8</c:v>
                </c:pt>
                <c:pt idx="4">
                  <c:v>730.3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'!$H$3:$H$12</c:f>
              <c:numCache>
                <c:formatCode>0.0</c:formatCode>
                <c:ptCount val="10"/>
                <c:pt idx="0">
                  <c:v>55.799999999999955</c:v>
                </c:pt>
                <c:pt idx="1">
                  <c:v>130.69999999999999</c:v>
                </c:pt>
                <c:pt idx="2">
                  <c:v>221.99999999999994</c:v>
                </c:pt>
                <c:pt idx="3">
                  <c:v>335.49999999999994</c:v>
                </c:pt>
                <c:pt idx="4">
                  <c:v>434.29999999999995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0.22686582781803447"/>
                  <c:y val="-4.2691256830601097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F2-4708-BEA0-B7424D955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F2-4708-BEA0-B7424D955A6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'!$E$3:$E$12</c:f>
              <c:numCache>
                <c:formatCode>0</c:formatCode>
                <c:ptCount val="10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0.45977011494252873</c:v>
                </c:pt>
                <c:pt idx="1">
                  <c:v>0.54022988505747127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AFB48E-4367-4E4C-AF01-691B1D55B9D2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chemeClr val="accent1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40" y="919488"/>
          <a:ext cx="739139" cy="37413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5B46E7B-4BB0-485C-A10A-B58A9F4BCA12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24%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29.379585995368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0">
        <s v="${fieldHelper.getFieldValueByName(issue, &quot;ST:Components&quot;)}"/>
        <m/>
        <s v="UiPath Integration"/>
        <s v="Visio Import/Export"/>
        <s v="Logging and Audit"/>
        <s v="Admin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Venus1" u="1"/>
        <s v="Quasar1" u="1"/>
        <s v="Pegasus5" u="1"/>
        <s v="Ursa5" u="1"/>
        <s v="Saturn2" u="1"/>
        <s v="Venus2" u="1"/>
        <s v="Quasar2" u="1"/>
        <s v="Venus3" u="1"/>
        <s v="Saturn3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75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W8"/>
        <s v="W9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$[SUBSTITUTE(SUBSTITUTE(AE2, &quot;enus&quot;, &quot;&quot;), &quot;rsa&quot;, &quot;&quot;)]" u="1"/>
        <s v="P3" u="1"/>
        <s v="V2" u="1"/>
        <s v="Q8" u="1"/>
        <s v="P5" u="1"/>
        <s v="V4" u="1"/>
        <s v="U1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V1" u="1"/>
        <s v="Q7" u="1"/>
        <s v="P4" u="1"/>
        <s v="V3" u="1"/>
        <s v="Q9" u="1"/>
        <s v="$[= SUBSTITUTE('Last Sprint', &quot;uasar&quot;, &quot;&quot;)]" u="1"/>
        <s v="P6" u="1"/>
        <s v="V5" u="1"/>
      </sharedItems>
    </cacheField>
    <cacheField name="Release" numFmtId="0">
      <sharedItems containsBlank="1" count="10">
        <s v="${issue.fixVersions.name}"/>
        <m/>
        <s v="Venus"/>
        <s v="Wavelength"/>
        <s v="Rocket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9">
        <s v="${bpHelper.getWavelengthComponent(issue)}"/>
        <m/>
        <s v="Visio Import"/>
        <s v="Admin"/>
        <s v="BoA Audit"/>
        <s v="DevOps"/>
        <s v="R&amp;D Bucket"/>
        <s v="Other"/>
        <s v="UiPath Integration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2"/>
        <item x="4"/>
        <item x="5"/>
        <item x="8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9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17"/>
    </i>
    <i>
      <x v="18"/>
    </i>
    <i>
      <x v="19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5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6">
        <item h="1" m="1" x="72"/>
        <item h="1" m="1" x="61"/>
        <item h="1" m="1" x="60"/>
        <item h="1" m="1" x="31"/>
        <item h="1" m="1" x="64"/>
        <item h="1" m="1" x="35"/>
        <item h="1" m="1" x="65"/>
        <item h="1" m="1" x="37"/>
        <item h="1" m="1" x="68"/>
        <item h="1" m="1" x="41"/>
        <item h="1" m="1" x="71"/>
        <item h="1" x="1"/>
        <item h="1" m="1" x="20"/>
        <item h="1" m="1" x="22"/>
        <item h="1" m="1" x="25"/>
        <item h="1" m="1" x="27"/>
        <item h="1" m="1" x="29"/>
        <item h="1" m="1" x="45"/>
        <item h="1" m="1" x="34"/>
        <item h="1" m="1" x="33"/>
        <item h="1" m="1" x="36"/>
        <item h="1" m="1" x="66"/>
        <item h="1" m="1" x="39"/>
        <item h="1" m="1" x="69"/>
        <item h="1" m="1" x="42"/>
        <item h="1" m="1" x="73"/>
        <item h="1" m="1" x="24"/>
        <item h="1" m="1" x="56"/>
        <item h="1" m="1" x="28"/>
        <item h="1" m="1" x="59"/>
        <item h="1" m="1" x="30"/>
        <item h="1" m="1" x="62"/>
        <item h="1" m="1" x="32"/>
        <item h="1" m="1" x="52"/>
        <item h="1" m="1" x="19"/>
        <item h="1" m="1" x="54"/>
        <item h="1" m="1" x="23"/>
        <item h="1" m="1" x="55"/>
        <item h="1" m="1" x="26"/>
        <item h="1" m="1" x="58"/>
        <item h="1" m="1" x="57"/>
        <item h="1" m="1" x="12"/>
        <item h="1" m="1" x="15"/>
        <item h="1" m="1" x="49"/>
        <item h="1" m="1" x="17"/>
        <item h="1" m="1" x="51"/>
        <item h="1" m="1" x="18"/>
        <item h="1" m="1" x="53"/>
        <item h="1" m="1" x="21"/>
        <item h="1" m="1" x="44"/>
        <item h="1" m="1" x="11"/>
        <item h="1" m="1" x="47"/>
        <item h="1" m="1" x="14"/>
        <item h="1" m="1" x="48"/>
        <item h="1" m="1" x="16"/>
        <item h="1" m="1" x="50"/>
        <item h="1" m="1" x="63"/>
        <item h="1" m="1" x="38"/>
        <item h="1" m="1" x="67"/>
        <item h="1" m="1" x="40"/>
        <item h="1" m="1" x="70"/>
        <item h="1" m="1" x="43"/>
        <item h="1" m="1" x="74"/>
        <item h="1" m="1" x="46"/>
        <item h="1" m="1" x="13"/>
        <item h="1"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0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18"/>
        <item m="1" x="9"/>
        <item m="1" x="61"/>
        <item m="1" x="46"/>
        <item m="1" x="28"/>
        <item m="1" x="19"/>
        <item m="1" x="11"/>
        <item m="1" x="62"/>
        <item m="1" x="27"/>
        <item m="1" x="65"/>
        <item m="1" x="58"/>
        <item m="1" x="40"/>
        <item m="1" x="25"/>
        <item m="1" x="16"/>
        <item m="1" x="32"/>
        <item m="1" x="36"/>
        <item m="1" x="42"/>
        <item m="1" x="48"/>
        <item m="1" x="52"/>
        <item m="1" x="56"/>
        <item m="1" x="60"/>
        <item m="1" x="63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30"/>
        <item m="1" x="34"/>
        <item m="1" x="37"/>
        <item m="1" x="44"/>
        <item m="1" x="50"/>
        <item m="1" x="53"/>
        <item m="1" x="38"/>
        <item m="1" x="43"/>
        <item m="1" x="47"/>
        <item m="1" x="51"/>
        <item m="1" x="54"/>
        <item m="1" x="57"/>
        <item m="1" x="59"/>
        <item m="1" x="12"/>
        <item m="1" x="64"/>
        <item m="1" x="55"/>
        <item m="1" x="41"/>
        <item m="1" x="29"/>
        <item m="1" x="21"/>
        <item m="1" x="14"/>
        <item m="1" x="26"/>
        <item m="1" x="31"/>
        <item m="1" x="33"/>
        <item m="1" x="35"/>
        <item m="1" x="39"/>
        <item m="1" x="45"/>
        <item m="1" x="49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3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40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6">
        <item h="1" m="1" x="72"/>
        <item h="1" m="1" x="60"/>
        <item h="1" m="1" x="31"/>
        <item h="1" m="1" x="64"/>
        <item h="1" m="1" x="35"/>
        <item h="1" m="1" x="65"/>
        <item h="1" m="1" x="37"/>
        <item h="1" m="1" x="68"/>
        <item h="1" m="1" x="41"/>
        <item h="1" m="1" x="71"/>
        <item h="1" x="1"/>
        <item h="1" m="1" x="20"/>
        <item h="1" m="1" x="22"/>
        <item h="1" m="1" x="25"/>
        <item h="1" m="1" x="27"/>
        <item h="1" m="1" x="29"/>
        <item h="1" m="1" x="61"/>
        <item h="1" m="1" x="45"/>
        <item h="1" m="1" x="34"/>
        <item h="1" m="1" x="33"/>
        <item h="1" m="1" x="36"/>
        <item h="1" m="1" x="66"/>
        <item h="1" m="1" x="39"/>
        <item h="1" m="1" x="69"/>
        <item h="1" m="1" x="42"/>
        <item h="1" m="1" x="73"/>
        <item h="1" m="1" x="24"/>
        <item h="1" m="1" x="56"/>
        <item h="1" m="1" x="28"/>
        <item h="1" m="1" x="59"/>
        <item h="1" m="1" x="30"/>
        <item h="1" m="1" x="62"/>
        <item h="1" m="1" x="32"/>
        <item h="1" m="1" x="52"/>
        <item h="1" m="1" x="19"/>
        <item h="1" m="1" x="54"/>
        <item h="1" m="1" x="23"/>
        <item h="1" m="1" x="55"/>
        <item h="1" m="1" x="26"/>
        <item h="1" m="1" x="58"/>
        <item h="1" m="1" x="57"/>
        <item h="1" m="1" x="12"/>
        <item h="1" m="1" x="15"/>
        <item h="1" m="1" x="49"/>
        <item h="1" m="1" x="17"/>
        <item h="1" m="1" x="51"/>
        <item h="1" m="1" x="18"/>
        <item h="1" m="1" x="53"/>
        <item h="1" m="1" x="21"/>
        <item h="1" m="1" x="44"/>
        <item h="1" m="1" x="11"/>
        <item h="1" m="1" x="47"/>
        <item h="1" m="1" x="14"/>
        <item h="1" m="1" x="48"/>
        <item h="1" m="1" x="16"/>
        <item h="1" m="1" x="50"/>
        <item h="1" m="1" x="63"/>
        <item h="1" m="1" x="38"/>
        <item h="1" m="1" x="67"/>
        <item h="1" m="1" x="40"/>
        <item h="1" m="1" x="70"/>
        <item h="1" m="1" x="43"/>
        <item h="1" m="1" x="74"/>
        <item h="1" m="1" x="46"/>
        <item h="1" m="1" x="13"/>
        <item h="1"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0"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0"/>
        <item x="5"/>
        <item m="1" x="18"/>
        <item m="1" x="12"/>
        <item m="1" x="14"/>
        <item m="1" x="11"/>
        <item m="1" x="8"/>
        <item m="1" x="6"/>
        <item m="1" x="15"/>
        <item m="1" x="10"/>
        <item m="1" x="16"/>
        <item m="1" x="13"/>
        <item x="4"/>
        <item m="1" x="19"/>
        <item m="1" x="7"/>
        <item m="1" x="9"/>
        <item x="2"/>
        <item m="1" x="17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m="1" x="9"/>
        <item m="1" x="8"/>
        <item m="1" x="4"/>
        <item m="1" x="6"/>
        <item m="1" x="5"/>
        <item m="1" x="7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item="3" hier="-1"/>
    <pageField fld="10" item="16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x="1"/>
        <item m="1" x="12"/>
        <item m="1" x="8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9"/>
        <item m="1" x="8"/>
        <item h="1" x="1"/>
        <item m="1" x="4"/>
        <item m="1" x="6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4" totalsRowShown="0">
  <autoFilter ref="B15:D24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6" totalsRowCount="1">
  <autoFilter ref="K6:M1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52" totalsRowShown="0" headerRowDxfId="8" headerRowBorderDxfId="7">
  <autoFilter ref="B42:H52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260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261</v>
      </c>
      <c r="C6" s="20">
        <v>100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262</v>
      </c>
      <c r="C7" s="20">
        <v>60</v>
      </c>
      <c r="K7" t="s">
        <v>261</v>
      </c>
      <c r="L7">
        <v>77.7</v>
      </c>
    </row>
    <row r="8" spans="2:13" x14ac:dyDescent="0.3">
      <c r="B8" s="17" t="s">
        <v>263</v>
      </c>
      <c r="C8" s="20">
        <v>30</v>
      </c>
      <c r="K8" t="s">
        <v>262</v>
      </c>
      <c r="L8">
        <v>91.25</v>
      </c>
    </row>
    <row r="9" spans="2:13" x14ac:dyDescent="0.3">
      <c r="B9" s="17" t="s">
        <v>264</v>
      </c>
      <c r="C9" s="20">
        <v>60</v>
      </c>
      <c r="K9" t="s">
        <v>263</v>
      </c>
      <c r="L9">
        <v>114.7</v>
      </c>
    </row>
    <row r="10" spans="2:13" x14ac:dyDescent="0.3">
      <c r="B10" s="17" t="s">
        <v>265</v>
      </c>
      <c r="C10" s="20">
        <v>60</v>
      </c>
      <c r="K10" t="s">
        <v>264</v>
      </c>
      <c r="L10">
        <v>105.25</v>
      </c>
    </row>
    <row r="11" spans="2:13" x14ac:dyDescent="0.3">
      <c r="B11" s="17" t="s">
        <v>266</v>
      </c>
      <c r="C11" s="20">
        <v>60</v>
      </c>
      <c r="K11" t="s">
        <v>265</v>
      </c>
    </row>
    <row r="12" spans="2:13" x14ac:dyDescent="0.3">
      <c r="B12" s="17" t="s">
        <v>267</v>
      </c>
      <c r="C12" s="20"/>
      <c r="K12" t="s">
        <v>266</v>
      </c>
    </row>
    <row r="13" spans="2:13" x14ac:dyDescent="0.3">
      <c r="B13" s="17" t="s">
        <v>282</v>
      </c>
      <c r="C13" s="20"/>
      <c r="K13" t="s">
        <v>267</v>
      </c>
      <c r="M13" s="20"/>
    </row>
    <row r="14" spans="2:13" x14ac:dyDescent="0.3">
      <c r="B14" s="17" t="s">
        <v>283</v>
      </c>
      <c r="C14" s="20"/>
      <c r="K14" t="s">
        <v>282</v>
      </c>
      <c r="M14" s="20"/>
    </row>
    <row r="15" spans="2:13" x14ac:dyDescent="0.3">
      <c r="B15" s="17" t="s">
        <v>50</v>
      </c>
      <c r="C15" s="20">
        <v>370</v>
      </c>
      <c r="K15" t="s">
        <v>283</v>
      </c>
      <c r="M15" s="20"/>
    </row>
    <row r="16" spans="2:13" x14ac:dyDescent="0.3">
      <c r="K16" t="s">
        <v>186</v>
      </c>
      <c r="L16">
        <f>SUBTOTAL(109,Table1[R&amp;D])</f>
        <v>388.9</v>
      </c>
      <c r="M16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Wavelength5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273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30</v>
      </c>
    </row>
    <row r="13" spans="1:5" x14ac:dyDescent="0.3">
      <c r="D13" s="17" t="s">
        <v>50</v>
      </c>
      <c r="E13" s="20">
        <v>36</v>
      </c>
    </row>
    <row r="15" spans="1:5" x14ac:dyDescent="0.3">
      <c r="D15" t="s">
        <v>50</v>
      </c>
      <c r="E15">
        <f>GETPIVOTDATA("Story Points", $D$5)</f>
        <v>36</v>
      </c>
    </row>
    <row r="16" spans="1:5" x14ac:dyDescent="0.3">
      <c r="D16" t="s">
        <v>251</v>
      </c>
      <c r="E16" t="str">
        <f>"Sprint " &amp; SUBSTITUTE($B$1,"Venus", "") &amp; " Progress"</f>
        <v>Sprint Wavelength5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3"/>
  <sheetViews>
    <sheetView topLeftCell="A28" workbookViewId="0">
      <selection activeCell="A28" sqref="A28"/>
    </sheetView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260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260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261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262</v>
      </c>
      <c r="C32" s="20"/>
      <c r="D32" s="20"/>
      <c r="E32" s="20"/>
      <c r="F32" s="20"/>
      <c r="G32" s="20"/>
      <c r="H32" s="20"/>
    </row>
    <row r="33" spans="2:8" x14ac:dyDescent="0.3">
      <c r="B33" s="17" t="s">
        <v>263</v>
      </c>
      <c r="C33" s="20"/>
      <c r="D33" s="20"/>
      <c r="E33" s="20"/>
      <c r="F33" s="20"/>
      <c r="G33" s="20"/>
      <c r="H33" s="20"/>
    </row>
    <row r="34" spans="2:8" x14ac:dyDescent="0.3">
      <c r="B34" s="17" t="s">
        <v>264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265</v>
      </c>
      <c r="C35" s="20"/>
      <c r="D35" s="20"/>
      <c r="E35" s="20"/>
      <c r="F35" s="20"/>
      <c r="G35" s="20"/>
      <c r="H35" s="20"/>
    </row>
    <row r="36" spans="2:8" x14ac:dyDescent="0.3">
      <c r="B36" s="17" t="s">
        <v>266</v>
      </c>
      <c r="C36" s="20"/>
      <c r="D36" s="20"/>
      <c r="E36" s="20"/>
      <c r="F36" s="20"/>
      <c r="G36" s="20"/>
      <c r="H36" s="20"/>
    </row>
    <row r="37" spans="2:8" x14ac:dyDescent="0.3">
      <c r="B37" s="17" t="s">
        <v>267</v>
      </c>
      <c r="C37" s="20"/>
      <c r="D37" s="20"/>
      <c r="E37" s="20"/>
      <c r="F37" s="20"/>
      <c r="G37" s="20"/>
      <c r="H37" s="20"/>
    </row>
    <row r="38" spans="2:8" x14ac:dyDescent="0.3">
      <c r="B38" s="17" t="s">
        <v>282</v>
      </c>
      <c r="C38" s="20"/>
      <c r="D38" s="20"/>
      <c r="E38" s="20"/>
      <c r="F38" s="20"/>
      <c r="G38" s="20"/>
      <c r="H38" s="20"/>
    </row>
    <row r="39" spans="2:8" x14ac:dyDescent="0.3">
      <c r="B39" s="17" t="s">
        <v>283</v>
      </c>
      <c r="C39" s="20"/>
      <c r="D39" s="20"/>
      <c r="E39" s="20"/>
      <c r="F39" s="20"/>
      <c r="G39" s="20"/>
      <c r="H39" s="20"/>
    </row>
    <row r="40" spans="2:8" x14ac:dyDescent="0.3">
      <c r="B40" s="17" t="s">
        <v>50</v>
      </c>
      <c r="C40" s="20">
        <v>2</v>
      </c>
      <c r="D40" s="20">
        <v>1</v>
      </c>
      <c r="E40" s="20">
        <v>1</v>
      </c>
      <c r="F40" s="20">
        <v>2</v>
      </c>
      <c r="G40" s="20">
        <v>1</v>
      </c>
      <c r="H40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3" t="s">
        <v>139</v>
      </c>
      <c r="C42" s="83" t="s">
        <v>154</v>
      </c>
      <c r="D42" s="83" t="s">
        <v>155</v>
      </c>
      <c r="E42" s="83" t="s">
        <v>156</v>
      </c>
      <c r="F42" s="83" t="s">
        <v>157</v>
      </c>
      <c r="G42" s="83" t="s">
        <v>158</v>
      </c>
      <c r="H42" s="83" t="s">
        <v>50</v>
      </c>
    </row>
    <row r="43" spans="2:8" x14ac:dyDescent="0.3">
      <c r="B43" s="17" t="str">
        <f>B31</f>
        <v>W1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51" si="1">B32</f>
        <v>W2</v>
      </c>
      <c r="C44" s="20" t="str">
        <f t="shared" ref="C44:H51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W4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W5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W6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17" t="str">
        <f t="shared" si="1"/>
        <v>W7</v>
      </c>
      <c r="C49" s="20" t="str">
        <f t="shared" si="2"/>
        <v/>
      </c>
      <c r="D49" s="20" t="str">
        <f t="shared" si="2"/>
        <v/>
      </c>
      <c r="E49" s="20" t="str">
        <f t="shared" si="2"/>
        <v/>
      </c>
      <c r="F49" s="20" t="str">
        <f t="shared" si="2"/>
        <v/>
      </c>
      <c r="G49" s="20" t="str">
        <f t="shared" si="2"/>
        <v/>
      </c>
      <c r="H49" s="20" t="str">
        <f t="shared" si="2"/>
        <v/>
      </c>
    </row>
    <row r="50" spans="2:11" x14ac:dyDescent="0.3">
      <c r="B50" s="17" t="str">
        <f t="shared" si="1"/>
        <v>W8</v>
      </c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 t="str">
        <f t="shared" si="1"/>
        <v>W9</v>
      </c>
      <c r="C51" s="20" t="str">
        <f t="shared" si="2"/>
        <v/>
      </c>
      <c r="D51" s="20" t="str">
        <f t="shared" si="2"/>
        <v/>
      </c>
      <c r="E51" s="20" t="str">
        <f t="shared" si="2"/>
        <v/>
      </c>
      <c r="F51" s="20" t="str">
        <f t="shared" si="2"/>
        <v/>
      </c>
      <c r="G51" s="20" t="str">
        <f t="shared" si="2"/>
        <v/>
      </c>
      <c r="H51" s="20" t="str">
        <f t="shared" si="2"/>
        <v/>
      </c>
    </row>
    <row r="52" spans="2:11" x14ac:dyDescent="0.3">
      <c r="B52" s="80" t="s">
        <v>50</v>
      </c>
      <c r="C52" s="81">
        <f t="shared" ref="C52:G52" si="3">C40</f>
        <v>2</v>
      </c>
      <c r="D52" s="81">
        <f t="shared" si="3"/>
        <v>1</v>
      </c>
      <c r="E52" s="81">
        <f t="shared" si="3"/>
        <v>1</v>
      </c>
      <c r="F52" s="81">
        <f t="shared" si="3"/>
        <v>2</v>
      </c>
      <c r="G52" s="81">
        <f t="shared" si="3"/>
        <v>1</v>
      </c>
      <c r="H52" s="81">
        <f>H40</f>
        <v>7</v>
      </c>
    </row>
    <row r="53" spans="2:11" x14ac:dyDescent="0.3">
      <c r="K53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17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280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256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268</v>
      </c>
      <c r="AG2" s="15" t="s">
        <v>135</v>
      </c>
      <c r="AH2" s="10" t="s">
        <v>46</v>
      </c>
      <c r="AI2" s="10" t="s">
        <v>145</v>
      </c>
      <c r="AJ2" s="10" t="s">
        <v>257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269</v>
      </c>
      <c r="AG4" s="5" t="s">
        <v>255</v>
      </c>
      <c r="AI4" s="5" t="s">
        <v>146</v>
      </c>
      <c r="AJ4" s="10" t="s">
        <v>258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270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271</v>
      </c>
      <c r="AI6" s="5" t="s">
        <v>147</v>
      </c>
      <c r="AJ6" s="5" t="s">
        <v>259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272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273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274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275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270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271</v>
      </c>
      <c r="AF12" s="5" t="s">
        <v>261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272</v>
      </c>
      <c r="AF13" s="5" t="s">
        <v>262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273</v>
      </c>
      <c r="AF14" s="5" t="s">
        <v>263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274</v>
      </c>
      <c r="AF15" s="5" t="s">
        <v>264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269</v>
      </c>
      <c r="AF16" s="5" t="s">
        <v>265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275</v>
      </c>
      <c r="AF17" s="5" t="s">
        <v>266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271</v>
      </c>
      <c r="AF18" s="5" t="s">
        <v>261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272</v>
      </c>
      <c r="AF19" s="5" t="s">
        <v>262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273</v>
      </c>
      <c r="AF20" s="5" t="s">
        <v>263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274</v>
      </c>
      <c r="AF21" s="5" t="s">
        <v>264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269</v>
      </c>
      <c r="AF22" s="5" t="s">
        <v>265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270</v>
      </c>
      <c r="AF23" s="5" t="s">
        <v>266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275</v>
      </c>
      <c r="AF24" s="5" t="s">
        <v>261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272</v>
      </c>
      <c r="AF25" s="5" t="s">
        <v>261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tr">
        <f>_ActiveSprintData!$B$1</f>
        <v>Wavelength5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tr">
        <f>_ActiveSprintData!$B$1</f>
        <v>Wavelength5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tr">
        <f>_ActiveSprintData!$B$1</f>
        <v>Wavelength5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tr">
        <f>_ActiveSprintData!$B$1</f>
        <v>Wavelength5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tr">
        <f>_ActiveSprintData!$B$1</f>
        <v>Wavelength5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tr">
        <f>_ActiveSprintData!$B$1</f>
        <v>Wavelength5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tr">
        <f>_ActiveSprintData!$B$1</f>
        <v>Wavelength5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269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261</v>
      </c>
      <c r="AG40" s="5" t="s">
        <v>260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262</v>
      </c>
      <c r="AG41" s="5" t="s">
        <v>260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263</v>
      </c>
      <c r="AG42" s="5" t="s">
        <v>260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264</v>
      </c>
      <c r="AG43" s="5" t="s">
        <v>260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265</v>
      </c>
      <c r="AG44" s="5" t="s">
        <v>260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266</v>
      </c>
      <c r="AG45" s="5" t="s">
        <v>260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267</v>
      </c>
      <c r="AG46" s="5" t="s">
        <v>260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261</v>
      </c>
      <c r="AG49" s="5" t="s">
        <v>260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281</v>
      </c>
      <c r="P50" s="5">
        <v>100</v>
      </c>
      <c r="Q50" s="5">
        <v>150</v>
      </c>
      <c r="W50" s="5">
        <v>180</v>
      </c>
      <c r="AG50" s="5" t="s">
        <v>260</v>
      </c>
      <c r="AJ50" s="5" t="s">
        <v>281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277</v>
      </c>
      <c r="P51" s="5">
        <v>50</v>
      </c>
      <c r="Q51" s="5">
        <v>150</v>
      </c>
      <c r="W51" s="5">
        <v>180</v>
      </c>
      <c r="AG51" s="5" t="s">
        <v>260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278</v>
      </c>
      <c r="N52" s="5">
        <v>10</v>
      </c>
      <c r="P52" s="5">
        <v>50</v>
      </c>
      <c r="Q52" s="5">
        <v>150</v>
      </c>
      <c r="W52" s="5">
        <v>180</v>
      </c>
      <c r="AG52" s="5" t="s">
        <v>260</v>
      </c>
      <c r="AI52" s="5" t="s">
        <v>146</v>
      </c>
      <c r="AJ52" s="5" t="s">
        <v>259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278</v>
      </c>
      <c r="N53" s="5">
        <v>10</v>
      </c>
      <c r="P53" s="5">
        <v>50</v>
      </c>
      <c r="Q53" s="5">
        <v>150</v>
      </c>
      <c r="AG53" s="5" t="s">
        <v>260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278</v>
      </c>
      <c r="N54" s="5">
        <v>10</v>
      </c>
      <c r="P54" s="5">
        <v>750</v>
      </c>
      <c r="Q54" s="5">
        <v>150</v>
      </c>
      <c r="AG54" s="5" t="s">
        <v>260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260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260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260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260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260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260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260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260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260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F64" s="5" t="s">
        <v>282</v>
      </c>
      <c r="AG64" s="5" t="s">
        <v>260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F65" s="5" t="s">
        <v>283</v>
      </c>
      <c r="AG65" s="5" t="s">
        <v>260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260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260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260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260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260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260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260</v>
      </c>
      <c r="AJ73" s="5" t="s">
        <v>259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260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260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260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260</v>
      </c>
      <c r="AJ77" s="10" t="s">
        <v>258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261</v>
      </c>
      <c r="AG78" s="5" t="s">
        <v>260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262</v>
      </c>
      <c r="AG79" s="5" t="s">
        <v>260</v>
      </c>
      <c r="AJ79" s="10" t="s">
        <v>258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263</v>
      </c>
      <c r="AG80" s="5" t="s">
        <v>260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264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265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266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261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262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263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264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265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266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261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262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261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261</v>
      </c>
      <c r="AG105" s="5" t="s">
        <v>260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261</v>
      </c>
      <c r="AG106" s="5" t="s">
        <v>260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261</v>
      </c>
      <c r="AG107" s="5" t="s">
        <v>260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261</v>
      </c>
      <c r="AG108" s="5" t="s">
        <v>260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261</v>
      </c>
      <c r="AG109" s="5" t="s">
        <v>260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17" bestFit="1" customWidth="1"/>
    <col min="2" max="2" width="24.44140625" bestFit="1" customWidth="1"/>
    <col min="3" max="3" width="10.21875" bestFit="1" customWidth="1"/>
    <col min="4" max="4" width="16" bestFit="1" customWidth="1"/>
    <col min="5" max="5" width="13.77734375" bestFit="1" customWidth="1"/>
    <col min="6" max="6" width="18.21875" bestFit="1" customWidth="1"/>
    <col min="7" max="7" width="16" bestFit="1" customWidth="1"/>
    <col min="8" max="8" width="20.77734375" bestFit="1" customWidth="1"/>
    <col min="9" max="9" width="12" customWidth="1"/>
    <col min="10" max="10" width="16" bestFit="1" customWidth="1"/>
    <col min="11" max="11" width="19.109375" bestFit="1" customWidth="1"/>
    <col min="12" max="12" width="14.5546875" customWidth="1"/>
    <col min="13" max="13" width="24.44140625" bestFit="1" customWidth="1"/>
    <col min="14" max="14" width="19.441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279</v>
      </c>
      <c r="L1" t="s">
        <v>259</v>
      </c>
      <c r="M1" t="s">
        <v>134</v>
      </c>
      <c r="N1" t="s">
        <v>254</v>
      </c>
      <c r="O1" t="s">
        <v>258</v>
      </c>
      <c r="P1" t="s">
        <v>259</v>
      </c>
      <c r="Q1" s="97" t="s">
        <v>134</v>
      </c>
      <c r="R1" s="97"/>
      <c r="S1" s="97" t="s">
        <v>254</v>
      </c>
      <c r="T1" s="97"/>
      <c r="U1" s="97" t="s">
        <v>258</v>
      </c>
      <c r="V1" s="97"/>
      <c r="W1" s="97" t="s">
        <v>259</v>
      </c>
      <c r="X1" s="97"/>
      <c r="AB1" s="16" t="s">
        <v>134</v>
      </c>
      <c r="AC1" t="s">
        <v>260</v>
      </c>
      <c r="AF1" s="97" t="s">
        <v>281</v>
      </c>
      <c r="AG1" s="97"/>
      <c r="AH1" s="97"/>
      <c r="AI1" s="97"/>
    </row>
    <row r="2" spans="1:35" x14ac:dyDescent="0.3">
      <c r="A2" t="s">
        <v>136</v>
      </c>
      <c r="B2" s="44">
        <f ca="1">MAX(NETWORKDAYS($D$3,$E$6,$Z$3:$Z$9)/NETWORKDAYS($D$3,$E$3,$Z$3:$Z$9),0%)</f>
        <v>0.45977011494252873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0.54022988505747127</v>
      </c>
      <c r="D3" s="26">
        <v>43873</v>
      </c>
      <c r="E3" s="27">
        <v>43998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700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246</v>
      </c>
      <c r="AC3" t="s">
        <v>217</v>
      </c>
      <c r="AF3" s="33"/>
      <c r="AG3" s="76"/>
      <c r="AH3" s="40"/>
      <c r="AI3" s="42"/>
    </row>
    <row r="4" spans="1:35" x14ac:dyDescent="0.3">
      <c r="D4" s="45"/>
      <c r="E4" s="46">
        <v>43998</v>
      </c>
      <c r="G4" s="23" t="s">
        <v>261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SUM($J$4:J4)/SUM($J$4:$J$12)</f>
        <v>0.10344827586206896</v>
      </c>
      <c r="L4" s="36">
        <f>SUM($J$4:J4)/SUM($J$4:$J$12)</f>
        <v>0.10344827586206896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627.58620689655174</v>
      </c>
      <c r="R4" s="42">
        <v>442.3</v>
      </c>
      <c r="S4" s="42">
        <f>$Q$26*(100%-K4)</f>
        <v>233.10344827586206</v>
      </c>
      <c r="T4" s="42">
        <v>138.30000000000001</v>
      </c>
      <c r="U4" s="40">
        <f>$Q$27*(100%-L4)</f>
        <v>179.31034482758622</v>
      </c>
      <c r="V4" s="42">
        <v>173</v>
      </c>
      <c r="W4" s="40">
        <f>$Q$28*(100%-K4)</f>
        <v>53.793103448275865</v>
      </c>
      <c r="X4" s="42">
        <v>52</v>
      </c>
      <c r="Z4" s="32">
        <v>43931</v>
      </c>
      <c r="AF4" s="36"/>
      <c r="AG4" s="76"/>
      <c r="AH4" s="40"/>
      <c r="AI4" s="42"/>
    </row>
    <row r="5" spans="1:35" x14ac:dyDescent="0.3">
      <c r="A5" s="39" t="s">
        <v>134</v>
      </c>
      <c r="D5" t="s">
        <v>182</v>
      </c>
      <c r="E5" s="25" t="s">
        <v>180</v>
      </c>
      <c r="G5" s="23" t="s">
        <v>262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SUM($J$4:J5)/SUM($J$4:$J$12)</f>
        <v>0.21839080459770116</v>
      </c>
      <c r="L5" s="36">
        <f>SUM($J$4:J5)/SUM($J$4:$J$12)</f>
        <v>0.21839080459770116</v>
      </c>
      <c r="M5" s="70">
        <v>0.35</v>
      </c>
      <c r="N5" s="76">
        <v>0.5</v>
      </c>
      <c r="O5" s="76">
        <v>0.26</v>
      </c>
      <c r="P5" s="76">
        <v>0.12</v>
      </c>
      <c r="Q5" s="40">
        <f t="shared" ref="Q5:Q9" si="1">$Q$25*(100%-K5)</f>
        <v>547.12643678160919</v>
      </c>
      <c r="R5" s="40">
        <v>408.8</v>
      </c>
      <c r="S5" s="42">
        <f t="shared" ref="S5:S9" si="2">$Q$26*(100%-K5)</f>
        <v>203.21839080459768</v>
      </c>
      <c r="T5" s="42">
        <v>139.30000000000001</v>
      </c>
      <c r="U5" s="40">
        <f t="shared" ref="U5:U9" si="3">$Q$27*(100%-L5)</f>
        <v>156.32183908045977</v>
      </c>
      <c r="V5" s="42">
        <v>139</v>
      </c>
      <c r="W5" s="40">
        <f t="shared" ref="W5:W9" si="4">$Q$28*(100%-K5)</f>
        <v>46.896551724137929</v>
      </c>
      <c r="X5" s="42">
        <v>52</v>
      </c>
      <c r="Z5" s="32">
        <v>43969</v>
      </c>
      <c r="AB5" s="16" t="s">
        <v>139</v>
      </c>
      <c r="AC5" t="s">
        <v>111</v>
      </c>
      <c r="AD5" t="s">
        <v>110</v>
      </c>
      <c r="AF5" s="36"/>
      <c r="AG5" s="76"/>
      <c r="AH5" s="40"/>
      <c r="AI5" s="42"/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43929</v>
      </c>
      <c r="G6" s="23" t="s">
        <v>263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SUM($J$4:J6)/SUM($J$4:$J$12)</f>
        <v>0.33333333333333331</v>
      </c>
      <c r="L6" s="36">
        <f>SUM($J$4:J6)/SUM($J$4:$J$12)</f>
        <v>0.33333333333333331</v>
      </c>
      <c r="M6" s="70">
        <v>0.46</v>
      </c>
      <c r="N6" s="76">
        <v>0.69</v>
      </c>
      <c r="O6" s="76">
        <v>0.39</v>
      </c>
      <c r="P6" s="76">
        <v>0.41</v>
      </c>
      <c r="Q6" s="40">
        <f t="shared" ref="Q6" si="5">$Q$25*(100%-K6)</f>
        <v>466.66666666666674</v>
      </c>
      <c r="R6" s="42">
        <v>387.8</v>
      </c>
      <c r="S6" s="42">
        <f t="shared" ref="S6" si="6">$Q$26*(100%-K6)</f>
        <v>173.33333333333334</v>
      </c>
      <c r="T6" s="42">
        <v>85.3</v>
      </c>
      <c r="U6" s="40">
        <f t="shared" ref="U6" si="7">$Q$27*(100%-L6)</f>
        <v>133.33333333333334</v>
      </c>
      <c r="V6" s="42">
        <v>115</v>
      </c>
      <c r="W6" s="40">
        <f t="shared" ref="W6" si="8">$Q$28*(100%-K6)</f>
        <v>40.000000000000007</v>
      </c>
      <c r="X6" s="42">
        <v>35</v>
      </c>
      <c r="Z6" s="32"/>
      <c r="AB6" s="17" t="s">
        <v>183</v>
      </c>
      <c r="AC6" s="20">
        <v>300</v>
      </c>
      <c r="AD6" s="20"/>
      <c r="AF6" s="36">
        <v>0</v>
      </c>
      <c r="AG6" s="76">
        <v>0</v>
      </c>
      <c r="AH6" s="40">
        <f t="shared" ref="AH6:AH12" si="9">$Q$29*(100%-AF6)</f>
        <v>70</v>
      </c>
      <c r="AI6" s="42">
        <v>71.25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264</v>
      </c>
      <c r="H7" s="24">
        <f t="shared" ref="H7:H9" si="10">I6+1</f>
        <v>43915</v>
      </c>
      <c r="I7" s="24">
        <f t="shared" ref="I7:I12" si="11">I6+14</f>
        <v>43928</v>
      </c>
      <c r="J7" s="35">
        <f t="shared" si="0"/>
        <v>10</v>
      </c>
      <c r="K7" s="36">
        <f>SUM($J$4:J7)/SUM($J$4:$J$12)</f>
        <v>0.44827586206896552</v>
      </c>
      <c r="L7" s="36">
        <f>SUM($J$4:J7)/SUM($J$4:$J$12)</f>
        <v>0.44827586206896552</v>
      </c>
      <c r="M7" s="70">
        <v>0.57999999999999996</v>
      </c>
      <c r="N7" s="76">
        <v>0.87</v>
      </c>
      <c r="O7" s="76">
        <v>0.39</v>
      </c>
      <c r="P7" s="76">
        <v>0.56000000000000005</v>
      </c>
      <c r="Q7" s="40">
        <f t="shared" si="1"/>
        <v>386.20689655172413</v>
      </c>
      <c r="R7" s="42">
        <v>311.5</v>
      </c>
      <c r="S7" s="42">
        <f t="shared" si="2"/>
        <v>143.44827586206895</v>
      </c>
      <c r="T7" s="42">
        <v>36</v>
      </c>
      <c r="U7" s="40">
        <f t="shared" si="3"/>
        <v>110.34482758620689</v>
      </c>
      <c r="V7" s="42">
        <v>115</v>
      </c>
      <c r="W7" s="40">
        <f t="shared" si="4"/>
        <v>33.103448275862071</v>
      </c>
      <c r="X7" s="42">
        <v>26</v>
      </c>
      <c r="Z7" s="32"/>
      <c r="AB7" s="17" t="s">
        <v>254</v>
      </c>
      <c r="AC7" s="20">
        <v>100</v>
      </c>
      <c r="AD7" s="20"/>
      <c r="AF7" s="36">
        <f>SUM($J$7:J7)/SUM($J$7:$J$12)</f>
        <v>0.17241379310344829</v>
      </c>
      <c r="AG7" s="76">
        <v>0.63</v>
      </c>
      <c r="AH7" s="40">
        <f t="shared" si="9"/>
        <v>57.931034482758619</v>
      </c>
      <c r="AI7" s="42">
        <v>20</v>
      </c>
    </row>
    <row r="8" spans="1:35" x14ac:dyDescent="0.3">
      <c r="B8" s="21"/>
      <c r="C8" s="21"/>
      <c r="G8" s="23" t="s">
        <v>265</v>
      </c>
      <c r="H8" s="24">
        <f t="shared" si="10"/>
        <v>43929</v>
      </c>
      <c r="I8" s="24">
        <f t="shared" si="11"/>
        <v>43942</v>
      </c>
      <c r="J8" s="35">
        <f t="shared" si="0"/>
        <v>9</v>
      </c>
      <c r="K8" s="36">
        <f>SUM($J$4:J8)/SUM($J$4:$J$12)</f>
        <v>0.55172413793103448</v>
      </c>
      <c r="L8" s="36">
        <f>SUM($J$4:J8)/SUM($J$4:$J$12)</f>
        <v>0.55172413793103448</v>
      </c>
      <c r="M8" s="70">
        <f>100%-GETPIVOTDATA("Epic Remaining Estimate",$AB$4)/GETPIVOTDATA("Epic Total Estimate",$AB$4)</f>
        <v>0.25</v>
      </c>
      <c r="N8" s="76">
        <f>100%-GETPIVOTDATA("Epic Remaining Estimate",$AB$4,"ST:Components","Admin")/GETPIVOTDATA("Epic Total Estimate",$AB$4,"ST:Components","Admin")</f>
        <v>1</v>
      </c>
      <c r="O8" s="76">
        <f>100%-GETPIVOTDATA("Epic Remaining Estimate",$AB$4,"ST:Components","Visio Import/Export")/GETPIVOTDATA("Epic Total Estimate",$AB$4,"ST:Components","Visio Import/Export")</f>
        <v>-2</v>
      </c>
      <c r="P8" s="76">
        <f>100%-GETPIVOTDATA("Epic Remaining Estimate",$AB$4,"ST:Components","Logging and Audit")/GETPIVOTDATA("Epic Total Estimate",$AB$4,"ST:Components","Logging and Audit")</f>
        <v>-2</v>
      </c>
      <c r="Q8" s="40">
        <f t="shared" si="1"/>
        <v>313.79310344827587</v>
      </c>
      <c r="R8" s="42">
        <f>GETPIVOTDATA("Epic Remaining Estimate",$AB$4)</f>
        <v>450</v>
      </c>
      <c r="S8" s="42">
        <f t="shared" si="2"/>
        <v>116.55172413793103</v>
      </c>
      <c r="T8" s="42">
        <f>GETPIVOTDATA("Epic Remaining Estimate",$AB$4,"ST:Components","Admin")</f>
        <v>0</v>
      </c>
      <c r="U8" s="40">
        <f t="shared" si="3"/>
        <v>89.65517241379311</v>
      </c>
      <c r="V8" s="42">
        <f>GETPIVOTDATA("Epic Remaining Estimate",$AB$4,"ST:Components","Visio Import/Export")</f>
        <v>150</v>
      </c>
      <c r="W8" s="40">
        <f t="shared" si="4"/>
        <v>26.896551724137932</v>
      </c>
      <c r="X8" s="42">
        <f>GETPIVOTDATA("Epic Remaining Estimate",$AB$4,"ST:Components","Logging and Audit")</f>
        <v>150</v>
      </c>
      <c r="Z8" s="32"/>
      <c r="AB8" s="17" t="s">
        <v>277</v>
      </c>
      <c r="AC8" s="20">
        <v>50</v>
      </c>
      <c r="AD8" s="20">
        <v>150</v>
      </c>
      <c r="AF8" s="36">
        <f>SUM($J$7:J8)/SUM($J$7:$J$12)</f>
        <v>0.32758620689655171</v>
      </c>
      <c r="AG8" s="76">
        <f>100%-GETPIVOTDATA("Epic Remaining Estimate",$AB$4,"ST:Components","UiPath Integration")/GETPIVOTDATA("Epic Total Estimate",$AB$4,"ST:Components","UiPath Integration")</f>
        <v>-0.5</v>
      </c>
      <c r="AH8" s="40">
        <f t="shared" si="9"/>
        <v>47.068965517241381</v>
      </c>
      <c r="AI8" s="42">
        <f>GETPIVOTDATA("Epic Remaining Estimate",$AB$4,"ST:Components","UiPath Integration")</f>
        <v>150</v>
      </c>
    </row>
    <row r="9" spans="1:35" x14ac:dyDescent="0.3">
      <c r="A9" s="39" t="s">
        <v>254</v>
      </c>
      <c r="B9" s="21"/>
      <c r="C9" s="21"/>
      <c r="D9" s="21"/>
      <c r="G9" s="67" t="s">
        <v>266</v>
      </c>
      <c r="H9" s="68">
        <f t="shared" si="10"/>
        <v>43943</v>
      </c>
      <c r="I9" s="68">
        <f t="shared" si="11"/>
        <v>43956</v>
      </c>
      <c r="J9" s="69">
        <f t="shared" si="0"/>
        <v>10</v>
      </c>
      <c r="K9" s="36">
        <f>SUM($J$4:J9)/SUM($J$4:$J$12)</f>
        <v>0.66666666666666663</v>
      </c>
      <c r="L9" s="36">
        <f>SUM($J$4:J9)/SUM($J$4:$J$12)</f>
        <v>0.66666666666666663</v>
      </c>
      <c r="M9" s="70"/>
      <c r="N9" s="76"/>
      <c r="O9" s="76"/>
      <c r="P9" s="76"/>
      <c r="Q9" s="42">
        <f t="shared" si="1"/>
        <v>233.33333333333337</v>
      </c>
      <c r="R9" s="42"/>
      <c r="S9" s="42">
        <f t="shared" si="2"/>
        <v>86.666666666666671</v>
      </c>
      <c r="T9" s="42"/>
      <c r="U9" s="42">
        <f t="shared" si="3"/>
        <v>66.666666666666671</v>
      </c>
      <c r="V9" s="42"/>
      <c r="W9" s="42">
        <f t="shared" si="4"/>
        <v>20.000000000000004</v>
      </c>
      <c r="X9" s="42"/>
      <c r="Z9" s="32"/>
      <c r="AB9" s="17" t="s">
        <v>278</v>
      </c>
      <c r="AC9" s="20">
        <v>50</v>
      </c>
      <c r="AD9" s="20">
        <v>150</v>
      </c>
      <c r="AF9" s="36">
        <f>SUM($J$7:J9)/SUM($J$7:$J$12)</f>
        <v>0.5</v>
      </c>
      <c r="AG9" s="76"/>
      <c r="AH9" s="40">
        <f t="shared" si="9"/>
        <v>35</v>
      </c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 t="s">
        <v>267</v>
      </c>
      <c r="H10" s="73">
        <f t="shared" ref="H10:H12" si="12">I9+1</f>
        <v>43957</v>
      </c>
      <c r="I10" s="73">
        <f t="shared" si="11"/>
        <v>43970</v>
      </c>
      <c r="J10" s="74">
        <f t="shared" ref="J10:J12" si="13">NETWORKDAYS(H10,I10,$Z$3:$Z$9)</f>
        <v>9</v>
      </c>
      <c r="K10" s="75">
        <f>SUM($J$4:J10)/SUM($J$4:$J$12)</f>
        <v>0.77011494252873558</v>
      </c>
      <c r="L10" s="75">
        <f>SUM($J$4:J10)/SUM($J$4:$J$12)</f>
        <v>0.77011494252873558</v>
      </c>
      <c r="M10" s="75"/>
      <c r="N10" s="77"/>
      <c r="O10" s="77"/>
      <c r="P10" s="77"/>
      <c r="Q10" s="71">
        <f t="shared" ref="Q10:Q12" si="14">$Q$25*(100%-K10)</f>
        <v>160.91954022988509</v>
      </c>
      <c r="R10" s="71"/>
      <c r="S10" s="71">
        <f t="shared" ref="S10:S12" si="15">$Q$26*(100%-K10)</f>
        <v>59.77011494252875</v>
      </c>
      <c r="T10" s="71"/>
      <c r="U10" s="71">
        <f t="shared" ref="U10:U12" si="16">$Q$27*(100%-L10)</f>
        <v>45.977011494252885</v>
      </c>
      <c r="V10" s="71"/>
      <c r="W10" s="71">
        <f t="shared" ref="W10:W12" si="17">$Q$28*(100%-K10)</f>
        <v>13.793103448275865</v>
      </c>
      <c r="X10" s="71"/>
      <c r="Z10" s="32"/>
      <c r="AB10" s="17" t="s">
        <v>281</v>
      </c>
      <c r="AC10" s="20">
        <v>100</v>
      </c>
      <c r="AD10" s="20">
        <v>150</v>
      </c>
      <c r="AF10" s="75">
        <f>SUM($J$7:J10)/SUM($J$7:$J$12)</f>
        <v>0.65517241379310343</v>
      </c>
      <c r="AG10" s="77"/>
      <c r="AH10" s="71">
        <f t="shared" si="9"/>
        <v>24.137931034482762</v>
      </c>
      <c r="AI10" s="71"/>
    </row>
    <row r="11" spans="1:35" x14ac:dyDescent="0.3">
      <c r="A11" t="s">
        <v>137</v>
      </c>
      <c r="B11" s="30">
        <f>MAX(100%,B10)-B10</f>
        <v>0</v>
      </c>
      <c r="G11" s="84" t="s">
        <v>282</v>
      </c>
      <c r="H11" s="68">
        <f t="shared" si="12"/>
        <v>43971</v>
      </c>
      <c r="I11" s="68">
        <f t="shared" si="11"/>
        <v>43984</v>
      </c>
      <c r="J11" s="69">
        <f t="shared" si="13"/>
        <v>10</v>
      </c>
      <c r="K11" s="36">
        <f>SUM($J$4:J11)/SUM($J$4:$J$12)</f>
        <v>0.88505747126436785</v>
      </c>
      <c r="L11" s="36">
        <f>SUM($J$4:J11)/SUM($J$4:$J$12)</f>
        <v>0.88505747126436785</v>
      </c>
      <c r="M11" s="65"/>
      <c r="N11" s="65"/>
      <c r="O11" s="65"/>
      <c r="P11" s="65"/>
      <c r="Q11" s="42">
        <f t="shared" si="14"/>
        <v>80.459770114942515</v>
      </c>
      <c r="R11" s="66"/>
      <c r="S11" s="42">
        <f t="shared" si="15"/>
        <v>29.885057471264361</v>
      </c>
      <c r="T11" s="66"/>
      <c r="U11" s="42">
        <f t="shared" si="16"/>
        <v>22.988505747126432</v>
      </c>
      <c r="V11" s="66"/>
      <c r="W11" s="42">
        <f t="shared" si="17"/>
        <v>6.8965517241379288</v>
      </c>
      <c r="X11" s="66"/>
      <c r="Z11" s="32"/>
      <c r="AB11" s="17" t="s">
        <v>50</v>
      </c>
      <c r="AC11" s="20">
        <v>600</v>
      </c>
      <c r="AD11" s="20">
        <v>450</v>
      </c>
      <c r="AF11" s="70">
        <f>SUM($J$7:J11)/SUM($J$7:$J$12)</f>
        <v>0.82758620689655171</v>
      </c>
      <c r="AH11" s="42">
        <f t="shared" si="9"/>
        <v>12.068965517241381</v>
      </c>
    </row>
    <row r="12" spans="1:35" x14ac:dyDescent="0.3">
      <c r="G12" s="85" t="s">
        <v>283</v>
      </c>
      <c r="H12" s="73">
        <f t="shared" si="12"/>
        <v>43985</v>
      </c>
      <c r="I12" s="73">
        <f t="shared" si="11"/>
        <v>43998</v>
      </c>
      <c r="J12" s="74">
        <f t="shared" si="13"/>
        <v>10</v>
      </c>
      <c r="K12" s="75">
        <f>SUM($J$4:J12)/SUM($J$4:$J$12)</f>
        <v>1</v>
      </c>
      <c r="L12" s="75">
        <f>SUM($J$4:J12)/SUM($J$4:$J$12)</f>
        <v>1</v>
      </c>
      <c r="M12" s="86"/>
      <c r="N12" s="86"/>
      <c r="O12" s="86"/>
      <c r="P12" s="86"/>
      <c r="Q12" s="71">
        <f t="shared" si="14"/>
        <v>0</v>
      </c>
      <c r="R12" s="87"/>
      <c r="S12" s="71">
        <f t="shared" si="15"/>
        <v>0</v>
      </c>
      <c r="T12" s="87"/>
      <c r="U12" s="71">
        <f t="shared" si="16"/>
        <v>0</v>
      </c>
      <c r="V12" s="87"/>
      <c r="W12" s="71">
        <f t="shared" si="17"/>
        <v>0</v>
      </c>
      <c r="X12" s="87"/>
      <c r="Z12" s="32"/>
      <c r="AF12" s="75">
        <f>SUM($J$7:J12)/SUM($J$7:$J$12)</f>
        <v>1</v>
      </c>
      <c r="AG12" s="88"/>
      <c r="AH12" s="71">
        <f t="shared" si="9"/>
        <v>0</v>
      </c>
      <c r="AI12" s="88"/>
    </row>
    <row r="13" spans="1:35" x14ac:dyDescent="0.3">
      <c r="A13" s="39" t="s">
        <v>258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MAX(NETWORKDAYS($H$7,$E$6,$Z$3:$Z$9)/NETWORKDAYS($H$7,$E$3,$Z$3:$Z$9),0%)</f>
        <v>0.18965517241379309</v>
      </c>
    </row>
    <row r="18" spans="1:33" x14ac:dyDescent="0.3">
      <c r="A18" t="s">
        <v>136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0.81034482758620685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281</v>
      </c>
      <c r="AG20" s="21"/>
    </row>
    <row r="21" spans="1:33" x14ac:dyDescent="0.3">
      <c r="A21" s="39" t="s">
        <v>276</v>
      </c>
      <c r="B21" s="39"/>
      <c r="AF21" t="s">
        <v>136</v>
      </c>
      <c r="AG21" s="44">
        <f>100%-GETPIVOTDATA("Epic Remaining Estimate",$AB$4,"ST:Components","UiPath Integration")/GETPIVOTDATA("Epic Total Estimate",$AB$4,"ST:Components","UiPath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0.45977011494252873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0.54022988505747127</v>
      </c>
    </row>
    <row r="24" spans="1:33" x14ac:dyDescent="0.3">
      <c r="D24" s="16" t="s">
        <v>134</v>
      </c>
      <c r="E24" t="s">
        <v>260</v>
      </c>
      <c r="G24" s="16" t="s">
        <v>134</v>
      </c>
      <c r="H24" t="s">
        <v>260</v>
      </c>
      <c r="J24" s="16" t="s">
        <v>134</v>
      </c>
      <c r="K24" t="s">
        <v>260</v>
      </c>
      <c r="M24" s="16" t="s">
        <v>134</v>
      </c>
      <c r="N24" t="s">
        <v>260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260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700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277</v>
      </c>
      <c r="J26" s="16" t="s">
        <v>20</v>
      </c>
      <c r="K26" t="s">
        <v>278</v>
      </c>
      <c r="M26" s="16" t="s">
        <v>20</v>
      </c>
      <c r="N26" t="s">
        <v>281</v>
      </c>
      <c r="P26" t="s">
        <v>254</v>
      </c>
      <c r="Q26">
        <v>260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258</v>
      </c>
      <c r="Q27">
        <v>200</v>
      </c>
    </row>
    <row r="28" spans="1:33" x14ac:dyDescent="0.3">
      <c r="L28" s="16"/>
      <c r="O28" s="16"/>
      <c r="P28" t="s">
        <v>259</v>
      </c>
      <c r="Q28" s="16">
        <v>60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s="16" t="s">
        <v>281</v>
      </c>
      <c r="Q29" s="16">
        <v>70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260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260</v>
      </c>
      <c r="G37" s="16" t="s">
        <v>134</v>
      </c>
      <c r="H37" t="s">
        <v>260</v>
      </c>
      <c r="J37" s="16" t="s">
        <v>134</v>
      </c>
      <c r="K37" t="s">
        <v>260</v>
      </c>
      <c r="M37" s="16" t="s">
        <v>134</v>
      </c>
      <c r="N37" t="s">
        <v>260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277</v>
      </c>
      <c r="J39" s="16" t="s">
        <v>20</v>
      </c>
      <c r="K39" t="s">
        <v>278</v>
      </c>
      <c r="M39" s="16" t="s">
        <v>20</v>
      </c>
      <c r="N39" t="s">
        <v>281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260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254</v>
      </c>
      <c r="B55" s="20">
        <v>150</v>
      </c>
      <c r="E55" s="17" t="s">
        <v>243</v>
      </c>
      <c r="F55" s="20">
        <v>10</v>
      </c>
    </row>
    <row r="56" spans="1:7" x14ac:dyDescent="0.3">
      <c r="A56" s="17" t="s">
        <v>258</v>
      </c>
      <c r="B56" s="20">
        <v>100</v>
      </c>
      <c r="E56" s="17" t="s">
        <v>244</v>
      </c>
      <c r="F56" s="20">
        <v>10</v>
      </c>
    </row>
    <row r="57" spans="1:7" x14ac:dyDescent="0.3">
      <c r="A57" s="17" t="s">
        <v>259</v>
      </c>
      <c r="B57" s="20">
        <v>150</v>
      </c>
      <c r="E57" s="17" t="s">
        <v>240</v>
      </c>
      <c r="F57" s="20">
        <v>10</v>
      </c>
    </row>
    <row r="58" spans="1:7" x14ac:dyDescent="0.3">
      <c r="A58" s="17" t="s">
        <v>281</v>
      </c>
      <c r="B58" s="20">
        <v>100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9"/>
      <c r="B1" s="99"/>
      <c r="C1" s="99"/>
      <c r="D1" s="98" t="s">
        <v>134</v>
      </c>
      <c r="E1" s="98"/>
      <c r="F1" s="98"/>
      <c r="G1" s="98"/>
      <c r="H1" s="98"/>
      <c r="I1" s="98"/>
      <c r="J1" s="98"/>
      <c r="K1" s="98"/>
      <c r="L1" s="98" t="s">
        <v>254</v>
      </c>
      <c r="M1" s="98"/>
      <c r="N1" s="98"/>
      <c r="O1" s="98"/>
      <c r="P1" s="98"/>
      <c r="Q1" s="98"/>
      <c r="R1" s="98"/>
      <c r="S1" s="98"/>
      <c r="T1" s="98" t="s">
        <v>258</v>
      </c>
      <c r="U1" s="98"/>
      <c r="V1" s="98"/>
      <c r="W1" s="98"/>
      <c r="X1" s="98"/>
      <c r="Y1" s="98"/>
      <c r="Z1" s="98"/>
      <c r="AA1" s="98"/>
      <c r="AB1" s="98" t="s">
        <v>259</v>
      </c>
      <c r="AC1" s="98"/>
      <c r="AD1" s="98"/>
      <c r="AE1" s="98"/>
      <c r="AF1" s="98"/>
      <c r="AG1" s="98"/>
      <c r="AH1" s="98"/>
      <c r="AI1" s="98"/>
      <c r="AR1" s="98" t="s">
        <v>281</v>
      </c>
      <c r="AS1" s="98"/>
      <c r="AT1" s="98"/>
      <c r="AU1" s="98"/>
      <c r="AV1" s="98"/>
      <c r="AW1" s="98"/>
      <c r="AX1" s="98"/>
      <c r="AY1" s="98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520.79999999999995</v>
      </c>
      <c r="E3" s="58">
        <f>_ReleaseData!$Q$25</f>
        <v>700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  <c r="AR3" s="57"/>
      <c r="AS3" s="58"/>
      <c r="AT3" s="40"/>
      <c r="AU3" s="40"/>
      <c r="AV3" s="40"/>
      <c r="AW3" s="40"/>
      <c r="AX3" s="33"/>
      <c r="AY3" s="33"/>
    </row>
    <row r="4" spans="1:51" x14ac:dyDescent="0.3">
      <c r="A4" t="s">
        <v>261</v>
      </c>
      <c r="B4" s="60">
        <v>43873</v>
      </c>
      <c r="C4" s="60">
        <v>43886</v>
      </c>
      <c r="D4" s="57">
        <v>573</v>
      </c>
      <c r="E4" s="58">
        <f>_ReleaseData!$Q$25</f>
        <v>700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  <c r="AR4" s="57"/>
      <c r="AS4" s="58"/>
      <c r="AT4" s="40"/>
      <c r="AU4" s="40"/>
      <c r="AV4" s="40"/>
      <c r="AW4" s="40"/>
      <c r="AX4" s="33"/>
      <c r="AY4" s="33"/>
    </row>
    <row r="5" spans="1:51" x14ac:dyDescent="0.3">
      <c r="A5" t="s">
        <v>262</v>
      </c>
      <c r="B5" s="60">
        <v>43887</v>
      </c>
      <c r="C5" s="60">
        <v>43900</v>
      </c>
      <c r="D5" s="57">
        <v>630.79999999999995</v>
      </c>
      <c r="E5" s="58">
        <f>_ReleaseData!$Q$25</f>
        <v>700</v>
      </c>
      <c r="F5" s="40">
        <v>630.79999999999995</v>
      </c>
      <c r="G5" s="40">
        <v>606.29999999999995</v>
      </c>
      <c r="H5" s="40">
        <f t="shared" ref="H5" si="12">D5-I5</f>
        <v>221.99999999999994</v>
      </c>
      <c r="I5" s="40">
        <v>408.8</v>
      </c>
      <c r="J5" s="33">
        <f t="shared" ref="J5" si="13" xml:space="preserve"> G5/D5</f>
        <v>0.96116043119847816</v>
      </c>
      <c r="K5" s="33">
        <f t="shared" ref="K5" si="14" xml:space="preserve"> H5/D5</f>
        <v>0.35193405199746347</v>
      </c>
      <c r="L5" s="59">
        <v>275.8</v>
      </c>
      <c r="M5" s="58">
        <f>_ReleaseData!$Q$26</f>
        <v>260</v>
      </c>
      <c r="N5" s="40">
        <v>275.8</v>
      </c>
      <c r="O5" s="40">
        <v>275.8</v>
      </c>
      <c r="P5" s="40">
        <f t="shared" ref="P5" si="15">L5-Q5</f>
        <v>136.5</v>
      </c>
      <c r="Q5" s="40">
        <v>139.30000000000001</v>
      </c>
      <c r="R5" s="33">
        <f t="shared" ref="R5" si="16" xml:space="preserve"> O5/L5</f>
        <v>1</v>
      </c>
      <c r="S5" s="33">
        <f t="shared" ref="S5" si="17" xml:space="preserve"> P5/L5</f>
        <v>0.49492385786802029</v>
      </c>
      <c r="T5" s="57">
        <v>188</v>
      </c>
      <c r="U5" s="58">
        <f>_ReleaseData!$Q$27</f>
        <v>200</v>
      </c>
      <c r="V5" s="40">
        <v>188</v>
      </c>
      <c r="W5" s="40">
        <v>183</v>
      </c>
      <c r="X5" s="40">
        <f t="shared" ref="X5" si="18">T5-Y5</f>
        <v>49</v>
      </c>
      <c r="Y5" s="40">
        <v>139</v>
      </c>
      <c r="Z5" s="33">
        <f t="shared" ref="Z5" si="19" xml:space="preserve"> W5/T5</f>
        <v>0.97340425531914898</v>
      </c>
      <c r="AA5" s="33">
        <f t="shared" ref="AA5" si="20">X5/T5</f>
        <v>0.26063829787234044</v>
      </c>
      <c r="AB5" s="57">
        <v>59</v>
      </c>
      <c r="AC5" s="58">
        <f>_ReleaseData!$Q$28</f>
        <v>60</v>
      </c>
      <c r="AD5" s="40">
        <v>59</v>
      </c>
      <c r="AE5" s="40">
        <v>59</v>
      </c>
      <c r="AF5" s="40">
        <f t="shared" ref="AF5" si="21">AB5-AG5</f>
        <v>7</v>
      </c>
      <c r="AG5" s="40">
        <v>52</v>
      </c>
      <c r="AH5" s="33">
        <f t="shared" ref="AH5" si="22" xml:space="preserve"> AE5/AB5</f>
        <v>1</v>
      </c>
      <c r="AI5" s="33">
        <f t="shared" ref="AI5" si="23">AF5/AB5</f>
        <v>0.11864406779661017</v>
      </c>
      <c r="AR5" s="57"/>
      <c r="AS5" s="58"/>
      <c r="AT5" s="40"/>
      <c r="AU5" s="40"/>
      <c r="AV5" s="40"/>
      <c r="AW5" s="40"/>
      <c r="AX5" s="33"/>
      <c r="AY5" s="33"/>
    </row>
    <row r="6" spans="1:51" x14ac:dyDescent="0.3">
      <c r="A6" t="s">
        <v>263</v>
      </c>
      <c r="B6" s="60">
        <v>43901</v>
      </c>
      <c r="C6" s="60">
        <v>43914</v>
      </c>
      <c r="D6" s="57">
        <v>723.3</v>
      </c>
      <c r="E6" s="58">
        <f>_ReleaseData!$Q$25</f>
        <v>700</v>
      </c>
      <c r="F6" s="40">
        <v>705.3</v>
      </c>
      <c r="G6" s="40">
        <v>695.8</v>
      </c>
      <c r="H6" s="40">
        <f t="shared" ref="H6" si="24">D6-I6</f>
        <v>335.49999999999994</v>
      </c>
      <c r="I6" s="40">
        <v>387.8</v>
      </c>
      <c r="J6" s="33">
        <f t="shared" ref="J6" si="25" xml:space="preserve"> G6/D6</f>
        <v>0.96197981473800631</v>
      </c>
      <c r="K6" s="33">
        <f t="shared" ref="K6" si="26" xml:space="preserve"> H6/D6</f>
        <v>0.46384626019632236</v>
      </c>
      <c r="L6" s="59">
        <v>277.8</v>
      </c>
      <c r="M6" s="58">
        <f>_ReleaseData!$Q$26</f>
        <v>260</v>
      </c>
      <c r="N6" s="40">
        <v>277.8</v>
      </c>
      <c r="O6" s="40">
        <v>277.8</v>
      </c>
      <c r="P6" s="40">
        <f t="shared" ref="P6" si="27">L6-Q6</f>
        <v>192.5</v>
      </c>
      <c r="Q6" s="40">
        <v>85.3</v>
      </c>
      <c r="R6" s="33">
        <f t="shared" ref="R6" si="28" xml:space="preserve"> O6/L6</f>
        <v>1</v>
      </c>
      <c r="S6" s="33">
        <f t="shared" ref="S6" si="29" xml:space="preserve"> P6/L6</f>
        <v>0.6929445644348452</v>
      </c>
      <c r="T6" s="57">
        <v>188</v>
      </c>
      <c r="U6" s="58">
        <f>_ReleaseData!$Q$27</f>
        <v>200</v>
      </c>
      <c r="V6" s="40">
        <v>188</v>
      </c>
      <c r="W6" s="40">
        <v>188</v>
      </c>
      <c r="X6" s="40">
        <f t="shared" ref="X6" si="30">T6-Y6</f>
        <v>73</v>
      </c>
      <c r="Y6" s="40">
        <v>115</v>
      </c>
      <c r="Z6" s="33">
        <f t="shared" ref="Z6" si="31" xml:space="preserve"> W6/T6</f>
        <v>1</v>
      </c>
      <c r="AA6" s="33">
        <f t="shared" ref="AA6" si="32">X6/T6</f>
        <v>0.38829787234042551</v>
      </c>
      <c r="AB6" s="57">
        <v>59</v>
      </c>
      <c r="AC6" s="58">
        <f>_ReleaseData!$Q$28</f>
        <v>60</v>
      </c>
      <c r="AD6" s="40">
        <v>59</v>
      </c>
      <c r="AE6" s="40">
        <v>59</v>
      </c>
      <c r="AF6" s="40">
        <f t="shared" ref="AF6" si="33">AB6-AG6</f>
        <v>24</v>
      </c>
      <c r="AG6" s="40">
        <v>35</v>
      </c>
      <c r="AH6" s="33">
        <f t="shared" ref="AH6" si="34" xml:space="preserve"> AE6/AB6</f>
        <v>1</v>
      </c>
      <c r="AI6" s="33">
        <f t="shared" ref="AI6" si="35">AF6/AB6</f>
        <v>0.40677966101694918</v>
      </c>
      <c r="AR6" s="57">
        <v>71.3</v>
      </c>
      <c r="AS6" s="58">
        <f>_ReleaseData!$Q$29</f>
        <v>70</v>
      </c>
      <c r="AT6" s="40">
        <v>53.3</v>
      </c>
      <c r="AU6" s="40">
        <v>53.3</v>
      </c>
      <c r="AV6" s="40">
        <f t="shared" ref="AV6:AV7" si="36">AR6-AW6</f>
        <v>0</v>
      </c>
      <c r="AW6" s="40">
        <v>71.3</v>
      </c>
      <c r="AX6" s="33">
        <f t="shared" ref="AX6:AX10" si="37" xml:space="preserve"> AU6/AR6</f>
        <v>0.74754558204768584</v>
      </c>
      <c r="AY6" s="33">
        <f t="shared" ref="AY6:AY10" si="38">AV6/AR6</f>
        <v>0</v>
      </c>
    </row>
    <row r="7" spans="1:51" x14ac:dyDescent="0.3">
      <c r="A7" t="s">
        <v>264</v>
      </c>
      <c r="B7" s="60">
        <v>43915</v>
      </c>
      <c r="C7" s="60">
        <v>43928</v>
      </c>
      <c r="D7" s="57">
        <v>745.8</v>
      </c>
      <c r="E7" s="58">
        <f>_ReleaseData!$Q$25</f>
        <v>700</v>
      </c>
      <c r="F7" s="40">
        <v>745.8</v>
      </c>
      <c r="G7" s="40">
        <v>730.3</v>
      </c>
      <c r="H7" s="40">
        <f t="shared" ref="H7" si="39">D7-I7</f>
        <v>434.29999999999995</v>
      </c>
      <c r="I7" s="40">
        <v>311.5</v>
      </c>
      <c r="J7" s="33">
        <f t="shared" ref="J7" si="40" xml:space="preserve"> G7/D7</f>
        <v>0.97921694824349692</v>
      </c>
      <c r="K7" s="33">
        <f t="shared" ref="K7" si="41" xml:space="preserve"> H7/D7</f>
        <v>0.58232770179672833</v>
      </c>
      <c r="L7" s="59">
        <v>279.8</v>
      </c>
      <c r="M7" s="58">
        <f>_ReleaseData!$Q$26</f>
        <v>260</v>
      </c>
      <c r="N7" s="40">
        <v>279.8</v>
      </c>
      <c r="O7" s="40">
        <v>279.8</v>
      </c>
      <c r="P7" s="40">
        <f t="shared" ref="P7" si="42">L7-Q7</f>
        <v>243.8</v>
      </c>
      <c r="Q7" s="40">
        <v>36</v>
      </c>
      <c r="R7" s="33">
        <f t="shared" ref="R7" si="43" xml:space="preserve"> O7/L7</f>
        <v>1</v>
      </c>
      <c r="S7" s="33">
        <f t="shared" ref="S7" si="44" xml:space="preserve"> P7/L7</f>
        <v>0.87133666904932094</v>
      </c>
      <c r="T7" s="57">
        <v>188</v>
      </c>
      <c r="U7" s="58">
        <f>_ReleaseData!$Q$27</f>
        <v>200</v>
      </c>
      <c r="V7" s="40">
        <v>188</v>
      </c>
      <c r="W7" s="40">
        <v>188</v>
      </c>
      <c r="X7" s="40">
        <f t="shared" ref="X7" si="45">T7-Y7</f>
        <v>73</v>
      </c>
      <c r="Y7" s="40">
        <v>115</v>
      </c>
      <c r="Z7" s="33">
        <f t="shared" ref="Z7" si="46" xml:space="preserve"> W7/T7</f>
        <v>1</v>
      </c>
      <c r="AA7" s="33">
        <f t="shared" ref="AA7" si="47">X7/T7</f>
        <v>0.38829787234042551</v>
      </c>
      <c r="AB7" s="57">
        <v>59</v>
      </c>
      <c r="AC7" s="58">
        <f>_ReleaseData!$Q$28</f>
        <v>60</v>
      </c>
      <c r="AD7" s="40">
        <v>59</v>
      </c>
      <c r="AE7" s="40">
        <v>59</v>
      </c>
      <c r="AF7" s="40">
        <f t="shared" ref="AF7" si="48">AB7-AG7</f>
        <v>33</v>
      </c>
      <c r="AG7" s="40">
        <v>26</v>
      </c>
      <c r="AH7" s="33">
        <f t="shared" ref="AH7" si="49" xml:space="preserve"> AE7/AB7</f>
        <v>1</v>
      </c>
      <c r="AI7" s="33">
        <f t="shared" ref="AI7" si="50">AF7/AB7</f>
        <v>0.55932203389830504</v>
      </c>
      <c r="AL7" s="16" t="s">
        <v>134</v>
      </c>
      <c r="AM7" t="s">
        <v>260</v>
      </c>
      <c r="AR7" s="57">
        <v>54.3</v>
      </c>
      <c r="AS7" s="58">
        <f>_ReleaseData!$Q$29</f>
        <v>70</v>
      </c>
      <c r="AT7" s="40">
        <v>54.3</v>
      </c>
      <c r="AU7" s="40">
        <v>54.3</v>
      </c>
      <c r="AV7" s="40">
        <f t="shared" si="36"/>
        <v>34.299999999999997</v>
      </c>
      <c r="AW7" s="40">
        <v>20</v>
      </c>
      <c r="AX7" s="33">
        <f t="shared" si="37"/>
        <v>1</v>
      </c>
      <c r="AY7" s="33">
        <f t="shared" si="38"/>
        <v>0.63167587476979736</v>
      </c>
    </row>
    <row r="8" spans="1:51" x14ac:dyDescent="0.3">
      <c r="A8" t="s">
        <v>265</v>
      </c>
      <c r="B8" s="60">
        <v>43929</v>
      </c>
      <c r="C8" s="60">
        <v>43942</v>
      </c>
      <c r="D8" s="57">
        <f>GETPIVOTDATA("Epic Total Estimate", $AL$8, "Type", "Epic")</f>
        <v>600</v>
      </c>
      <c r="E8" s="58">
        <f>_ReleaseData!$Q$25</f>
        <v>700</v>
      </c>
      <c r="F8" s="40">
        <f>GETPIVOTDATA("Stories Estimate", $AL$8, "Type", "Epic")</f>
        <v>0</v>
      </c>
      <c r="G8" s="40">
        <f>GETPIVOTDATA("Epic Decomposed", $AL$8, "Type", "Epic")</f>
        <v>540</v>
      </c>
      <c r="H8" s="40">
        <f t="shared" ref="H8" si="51">D8-I8</f>
        <v>150</v>
      </c>
      <c r="I8" s="40">
        <f>GETPIVOTDATA("Epic Remaining Estimate", $AL$8, "Type", "Epic")</f>
        <v>450</v>
      </c>
      <c r="J8" s="33">
        <f t="shared" ref="J8" si="52" xml:space="preserve"> G8/D8</f>
        <v>0.9</v>
      </c>
      <c r="K8" s="33">
        <f t="shared" ref="K8" si="53" xml:space="preserve"> H8/D8</f>
        <v>0.25</v>
      </c>
      <c r="L8" s="59">
        <f>GETPIVOTDATA("Epic Total Estimate", $AL$8, "Type", "Epic", "ST:Components", "Admin")</f>
        <v>100</v>
      </c>
      <c r="M8" s="58">
        <f>_ReleaseData!$Q$26</f>
        <v>260</v>
      </c>
      <c r="N8" s="40">
        <f>GETPIVOTDATA("Stories Estimate", $AL$8, "Type", "Epic", "ST:Components", "Admin")</f>
        <v>0</v>
      </c>
      <c r="O8" s="40">
        <f>GETPIVOTDATA("Epic Decomposed", $AL$8, "Type", "Epic", "ST:Components", "Admin")</f>
        <v>0</v>
      </c>
      <c r="P8" s="40">
        <f t="shared" ref="P8" si="54">L8-Q8</f>
        <v>100</v>
      </c>
      <c r="Q8" s="40">
        <f>GETPIVOTDATA("Epic Remaining Estimate", $AL$8, "Type", "Epic", "ST:Components", "Admin")</f>
        <v>0</v>
      </c>
      <c r="R8" s="33">
        <f t="shared" ref="R8" si="55" xml:space="preserve"> O8/L8</f>
        <v>0</v>
      </c>
      <c r="S8" s="33">
        <f t="shared" ref="S8" si="56" xml:space="preserve"> P8/L8</f>
        <v>1</v>
      </c>
      <c r="T8" s="57">
        <f>GETPIVOTDATA("Epic Total Estimate", $AL$8, "Type", "Epic", "ST:Components", "Visio Import/Export")</f>
        <v>50</v>
      </c>
      <c r="U8" s="58">
        <f>_ReleaseData!$Q$27</f>
        <v>200</v>
      </c>
      <c r="V8" s="40">
        <f>GETPIVOTDATA("Stories Estimate", $AL$8, "Type", "Epic", "ST:Components", "Visio Import/Export")</f>
        <v>0</v>
      </c>
      <c r="W8" s="40">
        <f>GETPIVOTDATA("Epic Decomposed", $AL$8, "Type", "Epic", "ST:Components", "Visio Import/Export")</f>
        <v>180</v>
      </c>
      <c r="X8" s="40">
        <f t="shared" ref="X8" si="57">T8-Y8</f>
        <v>-100</v>
      </c>
      <c r="Y8" s="40">
        <f>GETPIVOTDATA("Epic Remaining Estimate", $AL$8, "Type", "Epic", "ST:Components", "Visio Import/Export")</f>
        <v>150</v>
      </c>
      <c r="Z8" s="33">
        <f t="shared" ref="Z8" si="58" xml:space="preserve"> W8/T8</f>
        <v>3.6</v>
      </c>
      <c r="AA8" s="33">
        <f t="shared" ref="AA8" si="59">X8/T8</f>
        <v>-2</v>
      </c>
      <c r="AB8" s="57">
        <f>GETPIVOTDATA("Epic Total Estimate", $AL$8, "Type", "Epic", "ST:Components", "Logging and Audit")</f>
        <v>50</v>
      </c>
      <c r="AC8" s="58">
        <f>_ReleaseData!$Q$28</f>
        <v>60</v>
      </c>
      <c r="AD8" s="40">
        <f>GETPIVOTDATA("Stories Estimate", $AL$8, "Type", "Epic", "ST:Components", "Logging and Audit")</f>
        <v>0</v>
      </c>
      <c r="AE8" s="40">
        <f>GETPIVOTDATA("Epic Decomposed", $AL$8, "Type", "Epic", "ST:Components", "Logging and Audit")</f>
        <v>180</v>
      </c>
      <c r="AF8" s="40">
        <f t="shared" ref="AF8" si="60">AB8-AG8</f>
        <v>-100</v>
      </c>
      <c r="AG8" s="40">
        <f>GETPIVOTDATA("Epic Remaining Estimate", $AL$8, "Type", "Epic", "ST:Components", "Logging and Audit")</f>
        <v>150</v>
      </c>
      <c r="AH8" s="33">
        <f t="shared" ref="AH8" si="61" xml:space="preserve"> AE8/AB8</f>
        <v>3.6</v>
      </c>
      <c r="AI8" s="33">
        <f t="shared" ref="AI8" si="62">AF8/AB8</f>
        <v>-2</v>
      </c>
      <c r="AL8" s="16" t="s">
        <v>246</v>
      </c>
      <c r="AM8" t="s">
        <v>217</v>
      </c>
      <c r="AR8" s="57">
        <f>GETPIVOTDATA("Epic Total Estimate", $AL$8, "Type", "Epic", "ST:Components", "UiPath Integration")</f>
        <v>100</v>
      </c>
      <c r="AS8" s="58">
        <f>_ReleaseData!$Q$29</f>
        <v>70</v>
      </c>
      <c r="AT8" s="40">
        <f>GETPIVOTDATA("Stories Estimate", $AL$8, "Type", "Epic", "ST:Components", "UiPath Integration")</f>
        <v>0</v>
      </c>
      <c r="AU8" s="40">
        <f>GETPIVOTDATA("Epic Decomposed", $AL$8, "Type", "Epic", "ST:Components", "UiPath Integration")</f>
        <v>180</v>
      </c>
      <c r="AV8" s="40">
        <f t="shared" ref="AV8" si="63">AR8-AW8</f>
        <v>-50</v>
      </c>
      <c r="AW8" s="40">
        <f>GETPIVOTDATA("Epic Remaining Estimate", $AL$8, "Type", "Epic", "ST:Components", "UiPath Integration")</f>
        <v>150</v>
      </c>
      <c r="AX8" s="33">
        <f t="shared" ref="AX8" si="64" xml:space="preserve"> AU8/AR8</f>
        <v>1.8</v>
      </c>
      <c r="AY8" s="33">
        <f t="shared" ref="AY8" si="65">AV8/AR8</f>
        <v>-0.5</v>
      </c>
    </row>
    <row r="9" spans="1:51" x14ac:dyDescent="0.3">
      <c r="A9" t="s">
        <v>266</v>
      </c>
      <c r="B9" s="60">
        <v>43943</v>
      </c>
      <c r="C9" s="60">
        <v>43956</v>
      </c>
      <c r="D9" s="57"/>
      <c r="E9" s="58">
        <f>_ReleaseData!$Q$25</f>
        <v>700</v>
      </c>
      <c r="F9" s="40"/>
      <c r="G9" s="40"/>
      <c r="H9" s="40"/>
      <c r="I9" s="40"/>
      <c r="J9" s="33" t="e">
        <f t="shared" ref="J9" si="66" xml:space="preserve"> G9/D9</f>
        <v>#DIV/0!</v>
      </c>
      <c r="K9" s="33" t="e">
        <f t="shared" ref="K9" si="67" xml:space="preserve"> H9/D9</f>
        <v>#DIV/0!</v>
      </c>
      <c r="L9" s="59"/>
      <c r="M9" s="58">
        <f>_ReleaseData!$Q$26</f>
        <v>260</v>
      </c>
      <c r="N9" s="40"/>
      <c r="O9" s="40"/>
      <c r="P9" s="40"/>
      <c r="Q9" s="40"/>
      <c r="R9" s="33" t="e">
        <f t="shared" ref="R9" si="68" xml:space="preserve"> O9/L9</f>
        <v>#DIV/0!</v>
      </c>
      <c r="S9" s="33" t="e">
        <f t="shared" ref="S9" si="69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70" xml:space="preserve"> W9/T9</f>
        <v>#DIV/0!</v>
      </c>
      <c r="AA9" s="33" t="e">
        <f t="shared" ref="AA9" si="71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72" xml:space="preserve"> AE9/AB9</f>
        <v>#DIV/0!</v>
      </c>
      <c r="AI9" s="33" t="e">
        <f t="shared" ref="AI9" si="73">AF9/AB9</f>
        <v>#DIV/0!</v>
      </c>
      <c r="AR9" s="57"/>
      <c r="AS9" s="58">
        <f>_ReleaseData!$Q$29</f>
        <v>70</v>
      </c>
      <c r="AT9" s="40"/>
      <c r="AU9" s="40"/>
      <c r="AV9" s="40"/>
      <c r="AW9" s="40"/>
      <c r="AX9" s="33" t="e">
        <f t="shared" si="37"/>
        <v>#DIV/0!</v>
      </c>
      <c r="AY9" s="33" t="e">
        <f t="shared" si="38"/>
        <v>#DIV/0!</v>
      </c>
    </row>
    <row r="10" spans="1:51" ht="13.95" customHeight="1" x14ac:dyDescent="0.3">
      <c r="A10" t="s">
        <v>267</v>
      </c>
      <c r="B10" s="60">
        <v>43957</v>
      </c>
      <c r="C10" s="60">
        <v>43970</v>
      </c>
      <c r="D10" s="57"/>
      <c r="E10" s="58">
        <f>_ReleaseData!$Q$25</f>
        <v>700</v>
      </c>
      <c r="F10" s="40"/>
      <c r="G10" s="40"/>
      <c r="H10" s="40"/>
      <c r="I10" s="40"/>
      <c r="J10" s="33" t="e">
        <f t="shared" ref="J10" si="74" xml:space="preserve"> G10/D10</f>
        <v>#DIV/0!</v>
      </c>
      <c r="K10" s="33" t="e">
        <f t="shared" ref="K10" si="75" xml:space="preserve"> H10/D10</f>
        <v>#DIV/0!</v>
      </c>
      <c r="L10" s="59"/>
      <c r="M10" s="58">
        <f>_ReleaseData!$Q$26</f>
        <v>260</v>
      </c>
      <c r="N10" s="40"/>
      <c r="O10" s="40"/>
      <c r="P10" s="40"/>
      <c r="Q10" s="40"/>
      <c r="R10" s="33" t="e">
        <f t="shared" ref="R10" si="76" xml:space="preserve"> O10/L10</f>
        <v>#DIV/0!</v>
      </c>
      <c r="S10" s="33" t="e">
        <f t="shared" ref="S10" si="77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78" xml:space="preserve"> W10/T10</f>
        <v>#DIV/0!</v>
      </c>
      <c r="AA10" s="33" t="e">
        <f t="shared" ref="AA10" si="79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80" xml:space="preserve"> AE10/AB10</f>
        <v>#DIV/0!</v>
      </c>
      <c r="AI10" s="33" t="e">
        <f t="shared" ref="AI10" si="81">AF10/AB10</f>
        <v>#DIV/0!</v>
      </c>
      <c r="AM10" s="16" t="s">
        <v>161</v>
      </c>
      <c r="AR10" s="57"/>
      <c r="AS10" s="58">
        <f>_ReleaseData!$Q$29</f>
        <v>70</v>
      </c>
      <c r="AT10" s="40"/>
      <c r="AU10" s="40"/>
      <c r="AV10" s="40"/>
      <c r="AW10" s="40"/>
      <c r="AX10" s="33" t="e">
        <f t="shared" si="37"/>
        <v>#DIV/0!</v>
      </c>
      <c r="AY10" s="33" t="e">
        <f t="shared" si="38"/>
        <v>#DIV/0!</v>
      </c>
    </row>
    <row r="11" spans="1:51" x14ac:dyDescent="0.3">
      <c r="A11" s="89" t="s">
        <v>282</v>
      </c>
      <c r="B11" s="90">
        <v>43971</v>
      </c>
      <c r="C11" s="90">
        <v>43984</v>
      </c>
      <c r="D11" s="91"/>
      <c r="E11" s="92">
        <f>_ReleaseData!$Q$25</f>
        <v>700</v>
      </c>
      <c r="F11" s="93"/>
      <c r="G11" s="93"/>
      <c r="H11" s="93"/>
      <c r="I11" s="93"/>
      <c r="J11" s="94"/>
      <c r="K11" s="94"/>
      <c r="L11" s="95"/>
      <c r="M11" s="92">
        <f>_ReleaseData!$Q$26</f>
        <v>260</v>
      </c>
      <c r="N11" s="93"/>
      <c r="O11" s="93"/>
      <c r="P11" s="93"/>
      <c r="Q11" s="93"/>
      <c r="R11" s="94"/>
      <c r="S11" s="94"/>
      <c r="T11" s="91"/>
      <c r="U11" s="92">
        <f>_ReleaseData!$Q$27</f>
        <v>200</v>
      </c>
      <c r="V11" s="93"/>
      <c r="W11" s="93"/>
      <c r="X11" s="93"/>
      <c r="Y11" s="93"/>
      <c r="Z11" s="94"/>
      <c r="AA11" s="94"/>
      <c r="AB11" s="91"/>
      <c r="AC11" s="92">
        <f>_ReleaseData!$Q$28</f>
        <v>60</v>
      </c>
      <c r="AD11" s="93"/>
      <c r="AE11" s="93"/>
      <c r="AF11" s="93"/>
      <c r="AG11" s="93"/>
      <c r="AH11" s="94"/>
      <c r="AI11" s="96"/>
      <c r="AM11" t="s">
        <v>61</v>
      </c>
      <c r="AR11" s="91"/>
      <c r="AS11" s="92">
        <f>_ReleaseData!$Q$29</f>
        <v>70</v>
      </c>
      <c r="AT11" s="93"/>
      <c r="AU11" s="93"/>
      <c r="AV11" s="93"/>
      <c r="AW11" s="93"/>
      <c r="AX11" s="94"/>
      <c r="AY11" s="94"/>
    </row>
    <row r="12" spans="1:51" x14ac:dyDescent="0.3">
      <c r="A12" t="s">
        <v>283</v>
      </c>
      <c r="B12" s="60">
        <v>43985</v>
      </c>
      <c r="C12" s="60">
        <v>43998</v>
      </c>
      <c r="D12" s="57"/>
      <c r="E12" s="58">
        <f>_ReleaseData!$Q$25</f>
        <v>700</v>
      </c>
      <c r="F12" s="40"/>
      <c r="G12" s="40"/>
      <c r="H12" s="40"/>
      <c r="I12" s="40"/>
      <c r="J12" s="33"/>
      <c r="K12" s="33"/>
      <c r="L12" s="59"/>
      <c r="M12" s="58">
        <f>_ReleaseData!$Q$26</f>
        <v>260</v>
      </c>
      <c r="N12" s="40"/>
      <c r="O12" s="40"/>
      <c r="P12" s="40"/>
      <c r="Q12" s="40"/>
      <c r="R12" s="33"/>
      <c r="S12" s="33"/>
      <c r="T12" s="57"/>
      <c r="U12" s="58">
        <f>_ReleaseData!$Q$27</f>
        <v>200</v>
      </c>
      <c r="V12" s="40"/>
      <c r="W12" s="40"/>
      <c r="X12" s="40"/>
      <c r="Y12" s="40"/>
      <c r="Z12" s="33"/>
      <c r="AA12" s="33"/>
      <c r="AB12" s="57"/>
      <c r="AC12" s="58">
        <f>_ReleaseData!$Q$28</f>
        <v>60</v>
      </c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>
        <f>_ReleaseData!$Q$29</f>
        <v>70</v>
      </c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277</v>
      </c>
      <c r="AM15" s="20">
        <v>50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278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281</v>
      </c>
      <c r="AM17" s="20">
        <v>100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261</v>
      </c>
      <c r="C16" s="20">
        <v>112</v>
      </c>
      <c r="D16" s="20">
        <v>241.5</v>
      </c>
    </row>
    <row r="17" spans="2:4" x14ac:dyDescent="0.3">
      <c r="B17" t="s">
        <v>262</v>
      </c>
      <c r="C17" s="20">
        <v>24.5</v>
      </c>
      <c r="D17" s="20">
        <v>282.25</v>
      </c>
    </row>
    <row r="18" spans="2:4" x14ac:dyDescent="0.3">
      <c r="B18" t="s">
        <v>263</v>
      </c>
      <c r="C18" s="20">
        <v>27.5</v>
      </c>
      <c r="D18" s="20">
        <v>244.25</v>
      </c>
    </row>
    <row r="19" spans="2:4" x14ac:dyDescent="0.3">
      <c r="B19" t="s">
        <v>264</v>
      </c>
      <c r="C19" s="20">
        <v>15.5</v>
      </c>
      <c r="D19" s="20">
        <v>184</v>
      </c>
    </row>
    <row r="20" spans="2:4" x14ac:dyDescent="0.3">
      <c r="B20" t="s">
        <v>265</v>
      </c>
      <c r="C20" s="20">
        <f>GETPIVOTDATA("Epic Not Decomposed Estimate",$B$3)</f>
        <v>60</v>
      </c>
      <c r="D20" s="20">
        <f>GETPIVOTDATA("Story Points",$G$5)</f>
        <v>35</v>
      </c>
    </row>
    <row r="21" spans="2:4" x14ac:dyDescent="0.3">
      <c r="B21" t="s">
        <v>266</v>
      </c>
      <c r="C21" s="20"/>
      <c r="D21" s="20"/>
    </row>
    <row r="22" spans="2:4" x14ac:dyDescent="0.3">
      <c r="B22" t="s">
        <v>267</v>
      </c>
      <c r="C22" s="20"/>
      <c r="D22" s="20"/>
    </row>
    <row r="23" spans="2:4" x14ac:dyDescent="0.3">
      <c r="B23" t="s">
        <v>282</v>
      </c>
      <c r="C23" s="20"/>
      <c r="D23" s="20"/>
    </row>
    <row r="24" spans="2:4" x14ac:dyDescent="0.3">
      <c r="B24" t="s">
        <v>283</v>
      </c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Visio Import</vt:lpstr>
      <vt:lpstr>BoA Audit</vt:lpstr>
      <vt:lpstr>UiPath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'UiPath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2020-04-08T13:07:38Z</dcterms:modified>
</cp:coreProperties>
</file>